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jbaker\Documents\PA\deptprofiles\"/>
    </mc:Choice>
  </mc:AlternateContent>
  <bookViews>
    <workbookView xWindow="0" yWindow="0" windowWidth="9630" windowHeight="10575" tabRatio="875" firstSheet="23" activeTab="23"/>
  </bookViews>
  <sheets>
    <sheet name="Dean_AS" sheetId="11" state="hidden" r:id="rId1"/>
    <sheet name="Amer Ethnic Stud" sheetId="29" state="hidden" r:id="rId2"/>
    <sheet name="Art" sheetId="1" state="hidden" r:id="rId3"/>
    <sheet name="Biochem" sheetId="2" state="hidden" r:id="rId4"/>
    <sheet name="Biology" sheetId="3" state="hidden" r:id="rId5"/>
    <sheet name="Chemistry" sheetId="4" state="hidden" r:id="rId6"/>
    <sheet name="Comm Studies " sheetId="31" state="hidden" r:id="rId7"/>
    <sheet name="Economics" sheetId="5" state="hidden" r:id="rId8"/>
    <sheet name="English" sheetId="6" state="hidden" r:id="rId9"/>
    <sheet name="Geography" sheetId="7" state="hidden" r:id="rId10"/>
    <sheet name="Geology" sheetId="8" state="hidden" r:id="rId11"/>
    <sheet name="Hist" sheetId="9" state="hidden" r:id="rId12"/>
    <sheet name="JMC" sheetId="13" state="hidden" r:id="rId13"/>
    <sheet name="Math" sheetId="23" state="hidden" r:id="rId14"/>
    <sheet name="Modern Language" sheetId="22" state="hidden" r:id="rId15"/>
    <sheet name="Music Theatre Dance" sheetId="32" state="hidden" r:id="rId16"/>
    <sheet name="Philosophy" sheetId="20" state="hidden" r:id="rId17"/>
    <sheet name="Physics" sheetId="19" state="hidden" r:id="rId18"/>
    <sheet name="Political Science" sheetId="18" state="hidden" r:id="rId19"/>
    <sheet name="Psych" sheetId="17" state="hidden" r:id="rId20"/>
    <sheet name="SASW" sheetId="16" state="hidden" r:id="rId21"/>
    <sheet name="Stats" sheetId="24" state="hidden" r:id="rId22"/>
    <sheet name="Women's Studies" sheetId="27" state="hidden" r:id="rId23"/>
    <sheet name="A&amp;S 1 Sum" sheetId="14" r:id="rId24"/>
    <sheet name="Kinesiology" sheetId="10" state="hidden" r:id="rId25"/>
    <sheet name="Music -OLD" sheetId="21" state="hidden" r:id="rId26"/>
    <sheet name="Comm Stud Th Dan - OLD" sheetId="15" state="hidden" r:id="rId27"/>
  </sheets>
  <definedNames>
    <definedName name="_xlnm.Print_Area" localSheetId="23">'A&amp;S 1 Sum'!$A$1:$Z$122</definedName>
    <definedName name="_xlnm.Print_Area" localSheetId="1">'Amer Ethnic Stud'!$A$1:$AD$111</definedName>
    <definedName name="_xlnm.Print_Area" localSheetId="2">Art!$A$1:$AC$110</definedName>
    <definedName name="_xlnm.Print_Area" localSheetId="3">Biochem!$A$1:$AC$113</definedName>
    <definedName name="_xlnm.Print_Area" localSheetId="4">Biology!$A$1:$AC$120</definedName>
    <definedName name="_xlnm.Print_Area" localSheetId="5">Chemistry!$A$1:$AC$114</definedName>
    <definedName name="_xlnm.Print_Area" localSheetId="26">'Comm Stud Th Dan - OLD'!$A$1:$Y$117</definedName>
    <definedName name="_xlnm.Print_Area" localSheetId="6">'Comm Studies '!$A$1:$AC$112</definedName>
    <definedName name="_xlnm.Print_Area" localSheetId="0">Dean_AS!$A$1:$AC$169</definedName>
    <definedName name="_xlnm.Print_Area" localSheetId="7">Economics!$A$1:$AD$114</definedName>
    <definedName name="_xlnm.Print_Area" localSheetId="8">English!$A$1:$AC$112</definedName>
    <definedName name="_xlnm.Print_Area" localSheetId="9">Geography!$A$1:$AC$116</definedName>
    <definedName name="_xlnm.Print_Area" localSheetId="10">Geology!$A$1:$AC$111</definedName>
    <definedName name="_xlnm.Print_Area" localSheetId="11">Hist!$A$1:$AC$114</definedName>
    <definedName name="_xlnm.Print_Area" localSheetId="12">JMC!$A$1:$AC$111</definedName>
    <definedName name="_xlnm.Print_Area" localSheetId="24">Kinesiology!$A$1:$Y$114</definedName>
    <definedName name="_xlnm.Print_Area" localSheetId="13">Math!$A$1:$AD$113</definedName>
    <definedName name="_xlnm.Print_Area" localSheetId="14">'Modern Language'!$A$1:$AC$117</definedName>
    <definedName name="_xlnm.Print_Area" localSheetId="25">'Music -OLD'!$A$1:$Y$114</definedName>
    <definedName name="_xlnm.Print_Area" localSheetId="15">'Music Theatre Dance'!$A$1:$AC$119</definedName>
    <definedName name="_xlnm.Print_Area" localSheetId="16">Philosophy!$A$1:$AC$110</definedName>
    <definedName name="_xlnm.Print_Area" localSheetId="17">Physics!$A$1:$AC$113</definedName>
    <definedName name="_xlnm.Print_Area" localSheetId="18">'Political Science'!$A$1:$AC$114</definedName>
    <definedName name="_xlnm.Print_Area" localSheetId="19">Psych!$A$1:$AC$112</definedName>
    <definedName name="_xlnm.Print_Area" localSheetId="20">SASW!$A$1:$AC$117</definedName>
    <definedName name="_xlnm.Print_Area" localSheetId="21">Stats!$A$1:$AC$114</definedName>
    <definedName name="_xlnm.Print_Area" localSheetId="22">'Women''s Studies'!$A$1:$AC$113</definedName>
    <definedName name="_xlnm.Print_Titles" localSheetId="23">'A&amp;S 1 Sum'!$1:$2</definedName>
    <definedName name="_xlnm.Print_Titles" localSheetId="1">'Amer Ethnic Stud'!$1:$4</definedName>
    <definedName name="_xlnm.Print_Titles" localSheetId="2">Art!$1:$4</definedName>
    <definedName name="_xlnm.Print_Titles" localSheetId="3">Biochem!$1:$4</definedName>
    <definedName name="_xlnm.Print_Titles" localSheetId="4">Biology!$1:$4</definedName>
    <definedName name="_xlnm.Print_Titles" localSheetId="5">Chemistry!$1:$4</definedName>
    <definedName name="_xlnm.Print_Titles" localSheetId="26">'Comm Stud Th Dan - OLD'!$1:$4</definedName>
    <definedName name="_xlnm.Print_Titles" localSheetId="6">'Comm Studies '!$1:$4</definedName>
    <definedName name="_xlnm.Print_Titles" localSheetId="0">Dean_AS!$1:$4</definedName>
    <definedName name="_xlnm.Print_Titles" localSheetId="7">Economics!$1:$4</definedName>
    <definedName name="_xlnm.Print_Titles" localSheetId="8">English!$1:$4</definedName>
    <definedName name="_xlnm.Print_Titles" localSheetId="9">Geography!$1:$4</definedName>
    <definedName name="_xlnm.Print_Titles" localSheetId="10">Geology!$1:$4</definedName>
    <definedName name="_xlnm.Print_Titles" localSheetId="11">Hist!$1:$3</definedName>
    <definedName name="_xlnm.Print_Titles" localSheetId="12">JMC!$1:$4</definedName>
    <definedName name="_xlnm.Print_Titles" localSheetId="24">Kinesiology!$1:$4</definedName>
    <definedName name="_xlnm.Print_Titles" localSheetId="13">Math!$1:$4</definedName>
    <definedName name="_xlnm.Print_Titles" localSheetId="14">'Modern Language'!$1:$4</definedName>
    <definedName name="_xlnm.Print_Titles" localSheetId="25">'Music -OLD'!$1:$4</definedName>
    <definedName name="_xlnm.Print_Titles" localSheetId="15">'Music Theatre Dance'!$1:$4</definedName>
    <definedName name="_xlnm.Print_Titles" localSheetId="16">Philosophy!$1:$4</definedName>
    <definedName name="_xlnm.Print_Titles" localSheetId="17">Physics!$1:$4</definedName>
    <definedName name="_xlnm.Print_Titles" localSheetId="18">'Political Science'!$1:$4</definedName>
    <definedName name="_xlnm.Print_Titles" localSheetId="19">Psych!$1:$4</definedName>
    <definedName name="_xlnm.Print_Titles" localSheetId="20">SASW!$1:$4</definedName>
    <definedName name="_xlnm.Print_Titles" localSheetId="21">Stats!$1:$4</definedName>
    <definedName name="_xlnm.Print_Titles" localSheetId="22">'Women''s Studies'!$1:$2</definedName>
  </definedNames>
  <calcPr calcId="152511"/>
</workbook>
</file>

<file path=xl/calcChain.xml><?xml version="1.0" encoding="utf-8"?>
<calcChain xmlns="http://schemas.openxmlformats.org/spreadsheetml/2006/main">
  <c r="AC53" i="14" l="1"/>
  <c r="AC22" i="14"/>
  <c r="AC102" i="14"/>
  <c r="AB102" i="14"/>
  <c r="AC101" i="14"/>
  <c r="AB101" i="14"/>
  <c r="AC100" i="14"/>
  <c r="AB100" i="14"/>
  <c r="AC97" i="14"/>
  <c r="AB97" i="14"/>
  <c r="AC96" i="14"/>
  <c r="AB96" i="14"/>
  <c r="AC95" i="14"/>
  <c r="AB95" i="14"/>
  <c r="AC94" i="14"/>
  <c r="AB94" i="14"/>
  <c r="AC92" i="14"/>
  <c r="AB92" i="14"/>
  <c r="AC91" i="14"/>
  <c r="AB91" i="14"/>
  <c r="AC90" i="14"/>
  <c r="AB90" i="14"/>
  <c r="AC88" i="14"/>
  <c r="AB88" i="14"/>
  <c r="AC87" i="14"/>
  <c r="AB87" i="14"/>
  <c r="AC85" i="14"/>
  <c r="AB85" i="14"/>
  <c r="AC84" i="14"/>
  <c r="AB84" i="14"/>
  <c r="AC83" i="14"/>
  <c r="AB83" i="14"/>
  <c r="AC82" i="14"/>
  <c r="AB82" i="14"/>
  <c r="AC81" i="14"/>
  <c r="AB81" i="14"/>
  <c r="AC80" i="14"/>
  <c r="AB80" i="14"/>
  <c r="AC79" i="14"/>
  <c r="AB79" i="14"/>
  <c r="AC78" i="14"/>
  <c r="AB78" i="14"/>
  <c r="AC76" i="14"/>
  <c r="AC75" i="14"/>
  <c r="AC74" i="14"/>
  <c r="AC72" i="14"/>
  <c r="AC71" i="14"/>
  <c r="AC94" i="27"/>
  <c r="AB94" i="27"/>
  <c r="AC93" i="27"/>
  <c r="AB93" i="27"/>
  <c r="AC92" i="27"/>
  <c r="AB92" i="27"/>
  <c r="AB89" i="27"/>
  <c r="AB88" i="27"/>
  <c r="AB87" i="27"/>
  <c r="AB86" i="27"/>
  <c r="AB84" i="27"/>
  <c r="AB83" i="27"/>
  <c r="AB82" i="27"/>
  <c r="AB80" i="27"/>
  <c r="AB79" i="27"/>
  <c r="AB77" i="27"/>
  <c r="AB76" i="27"/>
  <c r="AB75" i="27"/>
  <c r="AB74" i="27"/>
  <c r="AB73" i="27"/>
  <c r="AB72" i="27"/>
  <c r="AB71" i="27"/>
  <c r="AB70" i="27"/>
  <c r="AC67" i="27"/>
  <c r="AC66" i="27"/>
  <c r="AC64" i="27"/>
  <c r="AC63" i="27"/>
  <c r="Z68" i="27"/>
  <c r="Z88" i="27" s="1"/>
  <c r="AC88" i="27" s="1"/>
  <c r="Z89" i="27"/>
  <c r="AC89" i="27" s="1"/>
  <c r="Z75" i="27"/>
  <c r="AC75" i="27" s="1"/>
  <c r="Z74" i="27"/>
  <c r="AC74" i="27" s="1"/>
  <c r="Z69" i="24"/>
  <c r="Z89" i="24" s="1"/>
  <c r="Z90" i="24"/>
  <c r="Z83" i="24"/>
  <c r="Z81" i="24"/>
  <c r="Z80" i="24"/>
  <c r="Z77" i="24"/>
  <c r="Z75" i="24"/>
  <c r="Z73" i="24"/>
  <c r="Z71" i="24"/>
  <c r="AC98" i="16"/>
  <c r="AB98" i="16"/>
  <c r="AC97" i="16"/>
  <c r="AB97" i="16"/>
  <c r="AC96" i="16"/>
  <c r="AB96" i="16"/>
  <c r="AB93" i="16"/>
  <c r="AB92" i="16"/>
  <c r="AB91" i="16"/>
  <c r="AB90" i="16"/>
  <c r="AB88" i="16"/>
  <c r="AB87" i="16"/>
  <c r="AB86" i="16"/>
  <c r="AB84" i="16"/>
  <c r="AB83" i="16"/>
  <c r="AB81" i="16"/>
  <c r="AB80" i="16"/>
  <c r="AB79" i="16"/>
  <c r="AB78" i="16"/>
  <c r="AB77" i="16"/>
  <c r="AB76" i="16"/>
  <c r="AB75" i="16"/>
  <c r="AB74" i="16"/>
  <c r="AC71" i="16"/>
  <c r="AC70" i="16"/>
  <c r="AC68" i="16"/>
  <c r="AC67" i="16"/>
  <c r="Z72" i="16"/>
  <c r="Z86" i="16" s="1"/>
  <c r="AC86" i="16" s="1"/>
  <c r="Z80" i="16"/>
  <c r="AC80" i="16" s="1"/>
  <c r="AC93" i="17"/>
  <c r="AB93" i="17"/>
  <c r="AC92" i="17"/>
  <c r="AB92" i="17"/>
  <c r="AC91" i="17"/>
  <c r="AB91" i="17"/>
  <c r="AB88" i="17"/>
  <c r="AB87" i="17"/>
  <c r="AB86" i="17"/>
  <c r="AB85" i="17"/>
  <c r="AB83" i="17"/>
  <c r="AB82" i="17"/>
  <c r="AB81" i="17"/>
  <c r="AB79" i="17"/>
  <c r="AB78" i="17"/>
  <c r="AB76" i="17"/>
  <c r="AB75" i="17"/>
  <c r="AB74" i="17"/>
  <c r="AB73" i="17"/>
  <c r="AB72" i="17"/>
  <c r="AB71" i="17"/>
  <c r="AB70" i="17"/>
  <c r="AB69" i="17"/>
  <c r="AC66" i="17"/>
  <c r="AC65" i="17"/>
  <c r="AC63" i="17"/>
  <c r="AC62" i="17"/>
  <c r="Z67" i="17"/>
  <c r="Z87" i="17" s="1"/>
  <c r="AC87" i="17" s="1"/>
  <c r="Z88" i="17"/>
  <c r="AC88" i="17" s="1"/>
  <c r="Z86" i="17"/>
  <c r="AC86" i="17" s="1"/>
  <c r="Z78" i="17"/>
  <c r="AC78" i="17" s="1"/>
  <c r="Z75" i="17"/>
  <c r="AC75" i="17" s="1"/>
  <c r="AB83" i="18"/>
  <c r="AC95" i="18"/>
  <c r="AB95" i="18"/>
  <c r="AC94" i="18"/>
  <c r="AB94" i="18"/>
  <c r="AC93" i="18"/>
  <c r="AB93" i="18"/>
  <c r="AB90" i="18"/>
  <c r="AB89" i="18"/>
  <c r="AB88" i="18"/>
  <c r="AB87" i="18"/>
  <c r="AB85" i="18"/>
  <c r="AB84" i="18"/>
  <c r="AB81" i="18"/>
  <c r="AB80" i="18"/>
  <c r="AB78" i="18"/>
  <c r="AB77" i="18"/>
  <c r="AB76" i="18"/>
  <c r="AB75" i="18"/>
  <c r="AB74" i="18"/>
  <c r="AB73" i="18"/>
  <c r="AB72" i="18"/>
  <c r="AB71" i="18"/>
  <c r="AC68" i="18"/>
  <c r="AC67" i="18"/>
  <c r="AC65" i="18"/>
  <c r="AC64" i="18"/>
  <c r="Z69" i="18"/>
  <c r="Z87" i="18" s="1"/>
  <c r="AC87" i="18" s="1"/>
  <c r="Z90" i="18"/>
  <c r="AC90" i="18" s="1"/>
  <c r="AC92" i="19"/>
  <c r="AC94" i="19"/>
  <c r="AB94" i="19"/>
  <c r="AC93" i="19"/>
  <c r="AB93" i="19"/>
  <c r="AB92" i="19"/>
  <c r="AB89" i="19"/>
  <c r="AB88" i="19"/>
  <c r="AB87" i="19"/>
  <c r="AB86" i="19"/>
  <c r="AB84" i="19"/>
  <c r="AB83" i="19"/>
  <c r="AB82" i="19"/>
  <c r="AB80" i="19"/>
  <c r="AB79" i="19"/>
  <c r="AB77" i="19"/>
  <c r="AB76" i="19"/>
  <c r="AB75" i="19"/>
  <c r="AB74" i="19"/>
  <c r="AB73" i="19"/>
  <c r="AB72" i="19"/>
  <c r="AB71" i="19"/>
  <c r="AB70" i="19"/>
  <c r="AC67" i="19"/>
  <c r="AC66" i="19"/>
  <c r="AC64" i="19"/>
  <c r="AC63" i="19"/>
  <c r="Z68" i="19"/>
  <c r="Z88" i="19" s="1"/>
  <c r="AC88" i="19" s="1"/>
  <c r="Z89" i="19"/>
  <c r="AC89" i="19" s="1"/>
  <c r="Z86" i="19"/>
  <c r="AC86" i="19" s="1"/>
  <c r="Z75" i="19"/>
  <c r="AC75" i="19" s="1"/>
  <c r="Z74" i="19"/>
  <c r="AC74" i="19" s="1"/>
  <c r="AC91" i="20"/>
  <c r="AB91" i="20"/>
  <c r="AC90" i="20"/>
  <c r="AB90" i="20"/>
  <c r="AC89" i="20"/>
  <c r="AB89" i="20"/>
  <c r="AC86" i="20"/>
  <c r="AB86" i="20"/>
  <c r="AB85" i="20"/>
  <c r="AB84" i="20"/>
  <c r="AB83" i="20"/>
  <c r="AB81" i="20"/>
  <c r="AB80" i="20"/>
  <c r="AB79" i="20"/>
  <c r="AB77" i="20"/>
  <c r="AB76" i="20"/>
  <c r="AB74" i="20"/>
  <c r="AB73" i="20"/>
  <c r="AB72" i="20"/>
  <c r="AB71" i="20"/>
  <c r="AB70" i="20"/>
  <c r="AB69" i="20"/>
  <c r="AB68" i="20"/>
  <c r="AB67" i="20"/>
  <c r="AC64" i="20"/>
  <c r="AC63" i="20"/>
  <c r="AC61" i="20"/>
  <c r="AC60" i="20"/>
  <c r="Z65" i="20"/>
  <c r="Z86" i="20" s="1"/>
  <c r="Z84" i="20"/>
  <c r="AC84" i="20" s="1"/>
  <c r="Z83" i="20"/>
  <c r="AC83" i="20" s="1"/>
  <c r="Z72" i="20"/>
  <c r="AC72" i="20" s="1"/>
  <c r="Z74" i="32"/>
  <c r="Z94" i="32" s="1"/>
  <c r="Z92" i="32"/>
  <c r="Z85" i="32"/>
  <c r="Z80" i="32"/>
  <c r="Z79" i="32"/>
  <c r="Z78" i="32"/>
  <c r="Z76" i="32"/>
  <c r="AC98" i="22"/>
  <c r="AB98" i="22"/>
  <c r="AC97" i="22"/>
  <c r="AB97" i="22"/>
  <c r="AC96" i="22"/>
  <c r="AB96" i="22"/>
  <c r="AB93" i="22"/>
  <c r="AB92" i="22"/>
  <c r="AB91" i="22"/>
  <c r="AB90" i="22"/>
  <c r="AB88" i="22"/>
  <c r="AB87" i="22"/>
  <c r="AB86" i="22"/>
  <c r="AB84" i="22"/>
  <c r="AB83" i="22"/>
  <c r="AB81" i="22"/>
  <c r="AB80" i="22"/>
  <c r="AB79" i="22"/>
  <c r="AB78" i="22"/>
  <c r="AB77" i="22"/>
  <c r="AB76" i="22"/>
  <c r="AB75" i="22"/>
  <c r="AB74" i="22"/>
  <c r="AC71" i="22"/>
  <c r="AC70" i="22"/>
  <c r="AC68" i="22"/>
  <c r="AC67" i="22"/>
  <c r="Z72" i="22"/>
  <c r="Z93" i="22" s="1"/>
  <c r="AC93" i="22" s="1"/>
  <c r="Z92" i="22"/>
  <c r="AC92" i="22" s="1"/>
  <c r="Z68" i="23"/>
  <c r="Z84" i="23" s="1"/>
  <c r="AC84" i="23" s="1"/>
  <c r="AC94" i="23"/>
  <c r="AB94" i="23"/>
  <c r="AC93" i="23"/>
  <c r="AB93" i="23"/>
  <c r="AC92" i="23"/>
  <c r="AB92" i="23"/>
  <c r="AB89" i="23"/>
  <c r="AC88" i="23"/>
  <c r="AB88" i="23"/>
  <c r="AB87" i="23"/>
  <c r="AB86" i="23"/>
  <c r="AB84" i="23"/>
  <c r="AB83" i="23"/>
  <c r="AB82" i="23"/>
  <c r="AB80" i="23"/>
  <c r="AB79" i="23"/>
  <c r="AB77" i="23"/>
  <c r="AC76" i="23"/>
  <c r="AB76" i="23"/>
  <c r="AC75" i="23"/>
  <c r="AB75" i="23"/>
  <c r="AB74" i="23"/>
  <c r="AB73" i="23"/>
  <c r="AB72" i="23"/>
  <c r="AB71" i="23"/>
  <c r="AB70" i="23"/>
  <c r="AC68" i="23"/>
  <c r="AC66" i="23"/>
  <c r="AC64" i="23"/>
  <c r="AC63" i="23"/>
  <c r="Z75" i="14"/>
  <c r="Z89" i="23"/>
  <c r="AC89" i="23" s="1"/>
  <c r="Z88" i="23"/>
  <c r="Z87" i="23"/>
  <c r="AC87" i="23" s="1"/>
  <c r="Z86" i="23"/>
  <c r="AC86" i="23" s="1"/>
  <c r="Z83" i="23"/>
  <c r="AC83" i="23" s="1"/>
  <c r="Z82" i="23"/>
  <c r="AC82" i="23" s="1"/>
  <c r="Z80" i="23"/>
  <c r="AC80" i="23" s="1"/>
  <c r="Z79" i="23"/>
  <c r="AC79" i="23" s="1"/>
  <c r="Z77" i="23"/>
  <c r="AC77" i="23" s="1"/>
  <c r="Z76" i="23"/>
  <c r="Z75" i="23"/>
  <c r="Z73" i="23"/>
  <c r="AC73" i="23" s="1"/>
  <c r="Z72" i="23"/>
  <c r="AC72" i="23" s="1"/>
  <c r="Z71" i="23"/>
  <c r="AC71" i="23" s="1"/>
  <c r="Z70" i="23"/>
  <c r="AC70" i="23" s="1"/>
  <c r="Y97" i="14"/>
  <c r="Y96" i="14"/>
  <c r="Y95" i="14"/>
  <c r="Y94" i="14"/>
  <c r="Y92" i="14"/>
  <c r="Y91" i="14"/>
  <c r="Y90" i="14"/>
  <c r="Y88" i="14"/>
  <c r="Y87" i="14"/>
  <c r="Y85" i="14"/>
  <c r="Y84" i="14"/>
  <c r="Y83" i="14"/>
  <c r="Y82" i="14"/>
  <c r="Y81" i="14"/>
  <c r="Y80" i="14"/>
  <c r="Y79" i="14"/>
  <c r="Y78" i="14"/>
  <c r="Z74" i="14"/>
  <c r="Z72" i="14"/>
  <c r="Z71" i="14"/>
  <c r="AC92" i="13"/>
  <c r="AB92" i="13"/>
  <c r="AC91" i="13"/>
  <c r="AB91" i="13"/>
  <c r="AC90" i="13"/>
  <c r="AB90" i="13"/>
  <c r="AB87" i="13"/>
  <c r="AB86" i="13"/>
  <c r="AB85" i="13"/>
  <c r="AB84" i="13"/>
  <c r="AB82" i="13"/>
  <c r="AB81" i="13"/>
  <c r="AB80" i="13"/>
  <c r="AB78" i="13"/>
  <c r="AB77" i="13"/>
  <c r="AB75" i="13"/>
  <c r="AB74" i="13"/>
  <c r="AB73" i="13"/>
  <c r="AB72" i="13"/>
  <c r="AB71" i="13"/>
  <c r="AB70" i="13"/>
  <c r="AB69" i="13"/>
  <c r="AB68" i="13"/>
  <c r="AC65" i="13"/>
  <c r="AC64" i="13"/>
  <c r="AC62" i="13"/>
  <c r="AC61" i="13"/>
  <c r="Z66" i="13"/>
  <c r="Z84" i="13" s="1"/>
  <c r="AC84" i="13" s="1"/>
  <c r="Z74" i="13"/>
  <c r="AC74" i="13" s="1"/>
  <c r="Z69" i="9"/>
  <c r="Z84" i="9" s="1"/>
  <c r="AC84" i="9" s="1"/>
  <c r="AC95" i="9"/>
  <c r="AB95" i="9"/>
  <c r="AC94" i="9"/>
  <c r="AB94" i="9"/>
  <c r="AC93" i="9"/>
  <c r="AB93" i="9"/>
  <c r="AC90" i="9"/>
  <c r="AB90" i="9"/>
  <c r="AB89" i="9"/>
  <c r="AB88" i="9"/>
  <c r="AC87" i="9"/>
  <c r="AB87" i="9"/>
  <c r="AC85" i="9"/>
  <c r="AB85" i="9"/>
  <c r="AB84" i="9"/>
  <c r="AB83" i="9"/>
  <c r="AC81" i="9"/>
  <c r="AB81" i="9"/>
  <c r="AB80" i="9"/>
  <c r="AB78" i="9"/>
  <c r="AB77" i="9"/>
  <c r="AC76" i="9"/>
  <c r="AB76" i="9"/>
  <c r="AB75" i="9"/>
  <c r="AB74" i="9"/>
  <c r="AB73" i="9"/>
  <c r="AC72" i="9"/>
  <c r="AB72" i="9"/>
  <c r="AC71" i="9"/>
  <c r="AB71" i="9"/>
  <c r="AC69" i="9"/>
  <c r="AC68" i="9"/>
  <c r="AC67" i="9"/>
  <c r="AC65" i="9"/>
  <c r="Z90" i="9"/>
  <c r="Z89" i="9"/>
  <c r="AC89" i="9" s="1"/>
  <c r="Z88" i="9"/>
  <c r="AC88" i="9" s="1"/>
  <c r="Z87" i="9"/>
  <c r="Z85" i="9"/>
  <c r="Z83" i="9"/>
  <c r="AC83" i="9" s="1"/>
  <c r="Z81" i="9"/>
  <c r="Z80" i="9"/>
  <c r="AC80" i="9" s="1"/>
  <c r="Z78" i="9"/>
  <c r="AC78" i="9" s="1"/>
  <c r="Z77" i="9"/>
  <c r="AC77" i="9" s="1"/>
  <c r="Z76" i="9"/>
  <c r="Z75" i="9"/>
  <c r="AC75" i="9" s="1"/>
  <c r="Z73" i="9"/>
  <c r="AC73" i="9" s="1"/>
  <c r="Z72" i="9"/>
  <c r="Z71" i="9"/>
  <c r="AC90" i="8"/>
  <c r="AC92" i="8"/>
  <c r="AB92" i="8"/>
  <c r="AC91" i="8"/>
  <c r="AB91" i="8"/>
  <c r="AB90" i="8"/>
  <c r="AC87" i="8"/>
  <c r="AB87" i="8"/>
  <c r="AB86" i="8"/>
  <c r="AB85" i="8"/>
  <c r="AB84" i="8"/>
  <c r="AB82" i="8"/>
  <c r="AB81" i="8"/>
  <c r="AB80" i="8"/>
  <c r="AB78" i="8"/>
  <c r="AB77" i="8"/>
  <c r="AB75" i="8"/>
  <c r="AB74" i="8"/>
  <c r="AB73" i="8"/>
  <c r="AB72" i="8"/>
  <c r="AB71" i="8"/>
  <c r="AB70" i="8"/>
  <c r="AB69" i="8"/>
  <c r="AB68" i="8"/>
  <c r="AC65" i="8"/>
  <c r="AC64" i="8"/>
  <c r="AC62" i="8"/>
  <c r="AC61" i="8"/>
  <c r="Z66" i="8"/>
  <c r="Z87" i="8" s="1"/>
  <c r="Z85" i="8"/>
  <c r="AC85" i="8" s="1"/>
  <c r="Z84" i="8"/>
  <c r="AC84" i="8" s="1"/>
  <c r="Z75" i="8"/>
  <c r="AC75" i="8" s="1"/>
  <c r="AB83" i="7"/>
  <c r="AB82" i="7"/>
  <c r="AC82" i="7"/>
  <c r="Z71" i="7"/>
  <c r="Z86" i="7" s="1"/>
  <c r="AC86" i="7" s="1"/>
  <c r="AC97" i="7"/>
  <c r="AB97" i="7"/>
  <c r="AC96" i="7"/>
  <c r="AB96" i="7"/>
  <c r="AC95" i="7"/>
  <c r="AB95" i="7"/>
  <c r="AB92" i="7"/>
  <c r="AB91" i="7"/>
  <c r="AB90" i="7"/>
  <c r="AB89" i="7"/>
  <c r="AB87" i="7"/>
  <c r="AB86" i="7"/>
  <c r="AB85" i="7"/>
  <c r="AB80" i="7"/>
  <c r="AB79" i="7"/>
  <c r="AB78" i="7"/>
  <c r="AB77" i="7"/>
  <c r="AB76" i="7"/>
  <c r="AB75" i="7"/>
  <c r="AB74" i="7"/>
  <c r="AB73" i="7"/>
  <c r="AC70" i="7"/>
  <c r="AC69" i="7"/>
  <c r="AC67" i="7"/>
  <c r="AC66" i="7"/>
  <c r="Z92" i="7"/>
  <c r="AC92" i="7" s="1"/>
  <c r="Z91" i="7"/>
  <c r="AC91" i="7" s="1"/>
  <c r="Z90" i="7"/>
  <c r="AC90" i="7" s="1"/>
  <c r="Z85" i="7"/>
  <c r="AC85" i="7" s="1"/>
  <c r="Z83" i="7"/>
  <c r="AC83" i="7" s="1"/>
  <c r="Z80" i="7"/>
  <c r="AC80" i="7" s="1"/>
  <c r="Z79" i="7"/>
  <c r="AC79" i="7" s="1"/>
  <c r="Z74" i="7"/>
  <c r="AC74" i="7" s="1"/>
  <c r="AC91" i="6"/>
  <c r="AC93" i="6"/>
  <c r="AB93" i="6"/>
  <c r="AC92" i="6"/>
  <c r="AB92" i="6"/>
  <c r="AB91" i="6"/>
  <c r="AB88" i="6"/>
  <c r="AB87" i="6"/>
  <c r="AB86" i="6"/>
  <c r="AB85" i="6"/>
  <c r="AB83" i="6"/>
  <c r="AB82" i="6"/>
  <c r="AB81" i="6"/>
  <c r="AB79" i="6"/>
  <c r="AB78" i="6"/>
  <c r="AB76" i="6"/>
  <c r="AB75" i="6"/>
  <c r="AB74" i="6"/>
  <c r="AB73" i="6"/>
  <c r="AB72" i="6"/>
  <c r="AB71" i="6"/>
  <c r="AB70" i="6"/>
  <c r="AB69" i="6"/>
  <c r="AC66" i="6"/>
  <c r="AC65" i="6"/>
  <c r="AC63" i="6"/>
  <c r="AC62" i="6"/>
  <c r="Z67" i="6"/>
  <c r="Z81" i="6" s="1"/>
  <c r="AC81" i="6" s="1"/>
  <c r="Z88" i="6"/>
  <c r="AC88" i="6" s="1"/>
  <c r="Z87" i="6"/>
  <c r="AC87" i="6" s="1"/>
  <c r="Z76" i="6"/>
  <c r="AC76" i="6" s="1"/>
  <c r="Z75" i="6"/>
  <c r="AC75" i="6" s="1"/>
  <c r="AC37" i="5"/>
  <c r="AC95" i="5"/>
  <c r="AB95" i="5"/>
  <c r="AC94" i="5"/>
  <c r="AB94" i="5"/>
  <c r="AC93" i="5"/>
  <c r="AB93" i="5"/>
  <c r="AB90" i="5"/>
  <c r="AB89" i="5"/>
  <c r="AB88" i="5"/>
  <c r="AB87" i="5"/>
  <c r="AB85" i="5"/>
  <c r="AB84" i="5"/>
  <c r="AB83" i="5"/>
  <c r="AB81" i="5"/>
  <c r="AB80" i="5"/>
  <c r="AB78" i="5"/>
  <c r="AB77" i="5"/>
  <c r="AB76" i="5"/>
  <c r="AB75" i="5"/>
  <c r="AB74" i="5"/>
  <c r="AB73" i="5"/>
  <c r="AB72" i="5"/>
  <c r="AB71" i="5"/>
  <c r="AC68" i="5"/>
  <c r="AC67" i="5"/>
  <c r="AC65" i="5"/>
  <c r="AC64" i="5"/>
  <c r="Z69" i="5"/>
  <c r="AC69" i="5" s="1"/>
  <c r="Z88" i="31"/>
  <c r="Z87" i="31"/>
  <c r="Z86" i="31"/>
  <c r="Z85" i="31"/>
  <c r="Z83" i="31"/>
  <c r="Z82" i="31"/>
  <c r="Z81" i="31"/>
  <c r="Z79" i="31"/>
  <c r="Z78" i="31"/>
  <c r="Z76" i="31"/>
  <c r="Z75" i="31"/>
  <c r="Z74" i="31"/>
  <c r="Z73" i="31"/>
  <c r="Z72" i="31"/>
  <c r="Z71" i="31"/>
  <c r="Z70" i="31"/>
  <c r="Z69" i="31"/>
  <c r="Z67" i="31"/>
  <c r="AC12" i="4"/>
  <c r="AC95" i="4"/>
  <c r="AC94" i="4"/>
  <c r="AC93" i="4"/>
  <c r="AB95" i="4"/>
  <c r="AB94" i="4"/>
  <c r="AB93" i="4"/>
  <c r="AB90" i="4"/>
  <c r="AB89" i="4"/>
  <c r="AB88" i="4"/>
  <c r="AB87" i="4"/>
  <c r="AB85" i="4"/>
  <c r="AB84" i="4"/>
  <c r="AB83" i="4"/>
  <c r="AB81" i="4"/>
  <c r="AB80" i="4"/>
  <c r="AB78" i="4"/>
  <c r="AB77" i="4"/>
  <c r="AB76" i="4"/>
  <c r="AB75" i="4"/>
  <c r="AB74" i="4"/>
  <c r="AB73" i="4"/>
  <c r="AB72" i="4"/>
  <c r="AB71" i="4"/>
  <c r="AC90" i="4"/>
  <c r="AC68" i="4"/>
  <c r="AC67" i="4"/>
  <c r="AC65" i="4"/>
  <c r="AC64" i="4"/>
  <c r="Z69" i="4"/>
  <c r="Z90" i="4" s="1"/>
  <c r="AC101" i="3"/>
  <c r="AC100" i="3"/>
  <c r="AC99" i="3"/>
  <c r="AB101" i="3"/>
  <c r="AB100" i="3"/>
  <c r="AB99" i="3"/>
  <c r="AB96" i="3"/>
  <c r="AB95" i="3"/>
  <c r="AB94" i="3"/>
  <c r="AB93" i="3"/>
  <c r="AB91" i="3"/>
  <c r="AB90" i="3"/>
  <c r="AB89" i="3"/>
  <c r="AB87" i="3"/>
  <c r="AB86" i="3"/>
  <c r="AB84" i="3"/>
  <c r="AB83" i="3"/>
  <c r="AB82" i="3"/>
  <c r="AB81" i="3"/>
  <c r="AB80" i="3"/>
  <c r="AB79" i="3"/>
  <c r="AB78" i="3"/>
  <c r="AB77" i="3"/>
  <c r="AC74" i="3"/>
  <c r="AC73" i="3"/>
  <c r="AC71" i="3"/>
  <c r="AC70" i="3"/>
  <c r="Z75" i="3"/>
  <c r="Z96" i="3" s="1"/>
  <c r="AC96" i="3" s="1"/>
  <c r="AB12" i="2"/>
  <c r="AC12" i="2"/>
  <c r="AC50" i="2"/>
  <c r="AC94" i="2"/>
  <c r="AC93" i="2"/>
  <c r="AC92" i="2"/>
  <c r="AB94" i="2"/>
  <c r="AB93" i="2"/>
  <c r="AB92" i="2"/>
  <c r="AB89" i="2"/>
  <c r="AB88" i="2"/>
  <c r="AB87" i="2"/>
  <c r="AB86" i="2"/>
  <c r="AB84" i="2"/>
  <c r="AB83" i="2"/>
  <c r="AB82" i="2"/>
  <c r="AB80" i="2"/>
  <c r="AB79" i="2"/>
  <c r="AB77" i="2"/>
  <c r="AB76" i="2"/>
  <c r="AB75" i="2"/>
  <c r="AB74" i="2"/>
  <c r="AB73" i="2"/>
  <c r="AB72" i="2"/>
  <c r="AB71" i="2"/>
  <c r="AB70" i="2"/>
  <c r="AC89" i="2"/>
  <c r="AC88" i="2"/>
  <c r="AC87" i="2"/>
  <c r="AC86" i="2"/>
  <c r="AC84" i="2"/>
  <c r="AC83" i="2"/>
  <c r="AC82" i="2"/>
  <c r="AC80" i="2"/>
  <c r="AC79" i="2"/>
  <c r="AC77" i="2"/>
  <c r="AC76" i="2"/>
  <c r="AC75" i="2"/>
  <c r="AC74" i="2"/>
  <c r="AC73" i="2"/>
  <c r="AC72" i="2"/>
  <c r="AC71" i="2"/>
  <c r="AC70" i="2"/>
  <c r="AC68" i="2"/>
  <c r="AC67" i="2"/>
  <c r="AC66" i="2"/>
  <c r="AC64" i="2"/>
  <c r="AC63" i="2"/>
  <c r="Z68" i="2"/>
  <c r="Z89" i="2" s="1"/>
  <c r="AB91" i="1"/>
  <c r="AB90" i="1"/>
  <c r="AB89" i="1"/>
  <c r="AC91" i="1"/>
  <c r="AC90" i="1"/>
  <c r="AC89" i="1"/>
  <c r="AB86" i="1"/>
  <c r="AB85" i="1"/>
  <c r="AB84" i="1"/>
  <c r="AB83" i="1"/>
  <c r="AB81" i="1"/>
  <c r="AB80" i="1"/>
  <c r="AB79" i="1"/>
  <c r="AB77" i="1"/>
  <c r="AB76" i="1"/>
  <c r="AB74" i="1"/>
  <c r="AB73" i="1"/>
  <c r="AB72" i="1"/>
  <c r="AB71" i="1"/>
  <c r="AB70" i="1"/>
  <c r="AB69" i="1"/>
  <c r="AB68" i="1"/>
  <c r="AC86" i="1"/>
  <c r="AC85" i="1"/>
  <c r="AC84" i="1"/>
  <c r="AC83" i="1"/>
  <c r="AC81" i="1"/>
  <c r="AC80" i="1"/>
  <c r="AC79" i="1"/>
  <c r="AC77" i="1"/>
  <c r="AC76" i="1"/>
  <c r="AC74" i="1"/>
  <c r="AC73" i="1"/>
  <c r="AC72" i="1"/>
  <c r="AC71" i="1"/>
  <c r="AC70" i="1"/>
  <c r="AC69" i="1"/>
  <c r="AC68" i="1"/>
  <c r="AC67" i="1"/>
  <c r="AB67" i="1"/>
  <c r="AC60" i="1"/>
  <c r="AC66" i="29"/>
  <c r="AC65" i="29"/>
  <c r="AC64" i="29"/>
  <c r="AC62" i="29"/>
  <c r="AC61" i="29"/>
  <c r="Z65" i="1"/>
  <c r="Z86" i="1" s="1"/>
  <c r="AC12" i="29"/>
  <c r="AC45" i="29"/>
  <c r="AB92" i="29"/>
  <c r="AB91" i="29"/>
  <c r="AB90" i="29"/>
  <c r="AC92" i="29"/>
  <c r="AC91" i="29"/>
  <c r="AC90" i="29"/>
  <c r="AC87" i="29"/>
  <c r="AB87" i="29"/>
  <c r="AC86" i="29"/>
  <c r="AB86" i="29"/>
  <c r="AC85" i="29"/>
  <c r="AB85" i="29"/>
  <c r="AC84" i="29"/>
  <c r="AB84" i="29"/>
  <c r="AC82" i="29"/>
  <c r="AB82" i="29"/>
  <c r="AC81" i="29"/>
  <c r="AB81" i="29"/>
  <c r="AC80" i="29"/>
  <c r="AB80" i="29"/>
  <c r="AC78" i="29"/>
  <c r="AB78" i="29"/>
  <c r="AC77" i="29"/>
  <c r="AB77" i="29"/>
  <c r="AC75" i="29"/>
  <c r="AB75" i="29"/>
  <c r="AC74" i="29"/>
  <c r="AB74" i="29"/>
  <c r="AC73" i="29"/>
  <c r="AB73" i="29"/>
  <c r="AC72" i="29"/>
  <c r="AB72" i="29"/>
  <c r="AC71" i="29"/>
  <c r="AB71" i="29"/>
  <c r="AC70" i="29"/>
  <c r="AB70" i="29"/>
  <c r="AC69" i="29"/>
  <c r="AB69" i="29"/>
  <c r="AC68" i="29"/>
  <c r="AB68" i="29"/>
  <c r="Z87" i="29"/>
  <c r="Z86" i="29"/>
  <c r="Z85" i="29"/>
  <c r="Z84" i="29"/>
  <c r="Z82" i="29"/>
  <c r="Z81" i="29"/>
  <c r="Z80" i="29"/>
  <c r="Z78" i="29"/>
  <c r="Z77" i="29"/>
  <c r="Z75" i="29"/>
  <c r="Z74" i="29"/>
  <c r="Z73" i="29"/>
  <c r="Z72" i="29"/>
  <c r="Z71" i="29"/>
  <c r="Z70" i="29"/>
  <c r="Z69" i="29"/>
  <c r="Z68" i="29"/>
  <c r="AC103" i="11"/>
  <c r="AC84" i="11"/>
  <c r="AC78" i="11"/>
  <c r="AC150" i="11"/>
  <c r="AC149" i="11"/>
  <c r="AC148" i="11"/>
  <c r="AB148" i="11"/>
  <c r="AC124" i="11"/>
  <c r="AC123" i="11"/>
  <c r="AC122" i="11"/>
  <c r="AC120" i="11"/>
  <c r="AC119" i="11"/>
  <c r="Z79" i="27" l="1"/>
  <c r="AC79" i="27" s="1"/>
  <c r="Z73" i="27"/>
  <c r="AC73" i="27" s="1"/>
  <c r="Z86" i="27"/>
  <c r="AC86" i="27" s="1"/>
  <c r="Z71" i="27"/>
  <c r="AC71" i="27" s="1"/>
  <c r="Z83" i="27"/>
  <c r="AC83" i="27" s="1"/>
  <c r="Z80" i="27"/>
  <c r="AC80" i="27" s="1"/>
  <c r="Z70" i="27"/>
  <c r="AC70" i="27" s="1"/>
  <c r="Z82" i="27"/>
  <c r="AC82" i="27" s="1"/>
  <c r="Z72" i="27"/>
  <c r="AC72" i="27" s="1"/>
  <c r="Z84" i="27"/>
  <c r="AC84" i="27" s="1"/>
  <c r="AC68" i="27"/>
  <c r="Z76" i="27"/>
  <c r="AC76" i="27" s="1"/>
  <c r="Z87" i="27"/>
  <c r="AC87" i="27" s="1"/>
  <c r="Z77" i="27"/>
  <c r="AC77" i="27" s="1"/>
  <c r="Z84" i="24"/>
  <c r="Z72" i="24"/>
  <c r="Z85" i="24"/>
  <c r="Z74" i="24"/>
  <c r="Z87" i="24"/>
  <c r="Z76" i="24"/>
  <c r="Z88" i="24"/>
  <c r="Z78" i="24"/>
  <c r="Z81" i="16"/>
  <c r="AC81" i="16" s="1"/>
  <c r="Z92" i="16"/>
  <c r="AC92" i="16" s="1"/>
  <c r="Z93" i="16"/>
  <c r="AC93" i="16" s="1"/>
  <c r="Z74" i="16"/>
  <c r="AC74" i="16" s="1"/>
  <c r="Z84" i="16"/>
  <c r="AC84" i="16" s="1"/>
  <c r="Z75" i="16"/>
  <c r="AC75" i="16" s="1"/>
  <c r="Z87" i="16"/>
  <c r="AC87" i="16" s="1"/>
  <c r="Z83" i="16"/>
  <c r="AC83" i="16" s="1"/>
  <c r="Z77" i="16"/>
  <c r="AC77" i="16" s="1"/>
  <c r="Z78" i="16"/>
  <c r="AC78" i="16" s="1"/>
  <c r="Z90" i="16"/>
  <c r="AC90" i="16" s="1"/>
  <c r="Z88" i="16"/>
  <c r="AC88" i="16" s="1"/>
  <c r="Z79" i="16"/>
  <c r="AC79" i="16" s="1"/>
  <c r="Z91" i="16"/>
  <c r="AC91" i="16" s="1"/>
  <c r="AC72" i="16"/>
  <c r="Z76" i="16"/>
  <c r="AC76" i="16" s="1"/>
  <c r="Z74" i="17"/>
  <c r="AC74" i="17" s="1"/>
  <c r="Z69" i="17"/>
  <c r="AC69" i="17" s="1"/>
  <c r="Z79" i="17"/>
  <c r="AC79" i="17" s="1"/>
  <c r="Z70" i="17"/>
  <c r="AC70" i="17" s="1"/>
  <c r="Z81" i="17"/>
  <c r="AC81" i="17" s="1"/>
  <c r="Z71" i="17"/>
  <c r="AC71" i="17" s="1"/>
  <c r="Z82" i="17"/>
  <c r="AC82" i="17" s="1"/>
  <c r="Z72" i="17"/>
  <c r="AC72" i="17" s="1"/>
  <c r="Z83" i="17"/>
  <c r="AC83" i="17" s="1"/>
  <c r="Z73" i="17"/>
  <c r="AC73" i="17" s="1"/>
  <c r="Z85" i="17"/>
  <c r="AC85" i="17" s="1"/>
  <c r="AC67" i="17"/>
  <c r="Z76" i="17"/>
  <c r="AC76" i="17" s="1"/>
  <c r="Z75" i="18"/>
  <c r="AC75" i="18" s="1"/>
  <c r="Z77" i="18"/>
  <c r="AC77" i="18" s="1"/>
  <c r="Z78" i="18"/>
  <c r="AC78" i="18" s="1"/>
  <c r="Z88" i="18"/>
  <c r="AC88" i="18" s="1"/>
  <c r="AC69" i="18"/>
  <c r="Z89" i="18"/>
  <c r="AC89" i="18" s="1"/>
  <c r="Z80" i="18"/>
  <c r="AC80" i="18" s="1"/>
  <c r="Z72" i="18"/>
  <c r="AC72" i="18" s="1"/>
  <c r="Z83" i="18"/>
  <c r="AC83" i="18" s="1"/>
  <c r="Z81" i="18"/>
  <c r="AC81" i="18" s="1"/>
  <c r="Z73" i="18"/>
  <c r="AC73" i="18" s="1"/>
  <c r="Z84" i="18"/>
  <c r="AC84" i="18" s="1"/>
  <c r="Z71" i="18"/>
  <c r="AC71" i="18" s="1"/>
  <c r="Z74" i="18"/>
  <c r="AC74" i="18" s="1"/>
  <c r="Z85" i="18"/>
  <c r="AC85" i="18" s="1"/>
  <c r="Z76" i="18"/>
  <c r="AC76" i="18" s="1"/>
  <c r="Z73" i="19"/>
  <c r="AC73" i="19" s="1"/>
  <c r="Z79" i="19"/>
  <c r="AC79" i="19" s="1"/>
  <c r="Z80" i="19"/>
  <c r="AC80" i="19" s="1"/>
  <c r="Z70" i="19"/>
  <c r="AC70" i="19" s="1"/>
  <c r="Z82" i="19"/>
  <c r="AC82" i="19" s="1"/>
  <c r="Z71" i="19"/>
  <c r="AC71" i="19" s="1"/>
  <c r="Z83" i="19"/>
  <c r="AC83" i="19" s="1"/>
  <c r="Z72" i="19"/>
  <c r="AC72" i="19" s="1"/>
  <c r="Z84" i="19"/>
  <c r="AC84" i="19" s="1"/>
  <c r="AC68" i="19"/>
  <c r="Z76" i="19"/>
  <c r="AC76" i="19" s="1"/>
  <c r="Z87" i="19"/>
  <c r="AC87" i="19" s="1"/>
  <c r="Z77" i="19"/>
  <c r="AC77" i="19" s="1"/>
  <c r="Z70" i="20"/>
  <c r="AC70" i="20" s="1"/>
  <c r="Z71" i="20"/>
  <c r="AC71" i="20" s="1"/>
  <c r="Z79" i="20"/>
  <c r="AC79" i="20" s="1"/>
  <c r="Z73" i="20"/>
  <c r="AC73" i="20" s="1"/>
  <c r="Z77" i="20"/>
  <c r="AC77" i="20" s="1"/>
  <c r="Z68" i="20"/>
  <c r="AC68" i="20" s="1"/>
  <c r="Z80" i="20"/>
  <c r="AC80" i="20" s="1"/>
  <c r="Z69" i="20"/>
  <c r="AC69" i="20" s="1"/>
  <c r="Z81" i="20"/>
  <c r="AC81" i="20" s="1"/>
  <c r="AC65" i="20"/>
  <c r="Z74" i="20"/>
  <c r="AC74" i="20" s="1"/>
  <c r="Z85" i="20"/>
  <c r="AC85" i="20" s="1"/>
  <c r="Z67" i="20"/>
  <c r="AC67" i="20" s="1"/>
  <c r="Z76" i="20"/>
  <c r="AC76" i="20" s="1"/>
  <c r="Z88" i="32"/>
  <c r="Z86" i="32"/>
  <c r="Z89" i="32"/>
  <c r="Z77" i="32"/>
  <c r="Z90" i="32"/>
  <c r="Z81" i="32"/>
  <c r="Z93" i="32"/>
  <c r="Z82" i="32"/>
  <c r="Z95" i="32"/>
  <c r="Z83" i="32"/>
  <c r="Z74" i="22"/>
  <c r="AC74" i="22" s="1"/>
  <c r="Z80" i="22"/>
  <c r="Z81" i="22"/>
  <c r="AC81" i="22" s="1"/>
  <c r="Z83" i="22"/>
  <c r="AC83" i="22" s="1"/>
  <c r="Z91" i="22"/>
  <c r="AC91" i="22" s="1"/>
  <c r="Z75" i="22"/>
  <c r="Z84" i="22"/>
  <c r="AC84" i="22" s="1"/>
  <c r="Z76" i="22"/>
  <c r="AC76" i="22" s="1"/>
  <c r="Z86" i="22"/>
  <c r="AC86" i="22" s="1"/>
  <c r="Z77" i="22"/>
  <c r="AC77" i="22" s="1"/>
  <c r="Z87" i="22"/>
  <c r="AC87" i="22" s="1"/>
  <c r="Z78" i="22"/>
  <c r="Z88" i="22"/>
  <c r="AC88" i="22" s="1"/>
  <c r="Z79" i="22"/>
  <c r="AC79" i="22" s="1"/>
  <c r="Z90" i="22"/>
  <c r="AC90" i="22" s="1"/>
  <c r="AC72" i="22"/>
  <c r="Z74" i="23"/>
  <c r="AC74" i="23" s="1"/>
  <c r="AC67" i="23"/>
  <c r="Z87" i="13"/>
  <c r="AC87" i="13" s="1"/>
  <c r="Z77" i="13"/>
  <c r="AC77" i="13" s="1"/>
  <c r="Z78" i="13"/>
  <c r="AC78" i="13" s="1"/>
  <c r="Z68" i="13"/>
  <c r="AC68" i="13" s="1"/>
  <c r="Z80" i="13"/>
  <c r="AC80" i="13" s="1"/>
  <c r="Z69" i="13"/>
  <c r="AC69" i="13" s="1"/>
  <c r="Z81" i="13"/>
  <c r="AC81" i="13" s="1"/>
  <c r="Z70" i="13"/>
  <c r="AC70" i="13" s="1"/>
  <c r="Z85" i="13"/>
  <c r="AC85" i="13" s="1"/>
  <c r="AC66" i="13"/>
  <c r="Z76" i="14"/>
  <c r="Z91" i="14" s="1"/>
  <c r="Z75" i="13"/>
  <c r="AC75" i="13" s="1"/>
  <c r="Z72" i="13"/>
  <c r="AC72" i="13" s="1"/>
  <c r="Z86" i="13"/>
  <c r="AC86" i="13" s="1"/>
  <c r="Z71" i="13"/>
  <c r="AC71" i="13" s="1"/>
  <c r="Z82" i="13"/>
  <c r="AC82" i="13" s="1"/>
  <c r="Z73" i="13"/>
  <c r="AC73" i="13" s="1"/>
  <c r="Z74" i="9"/>
  <c r="AC74" i="9" s="1"/>
  <c r="Z73" i="8"/>
  <c r="AC73" i="8" s="1"/>
  <c r="Z74" i="8"/>
  <c r="AC74" i="8" s="1"/>
  <c r="Z69" i="8"/>
  <c r="AC69" i="8" s="1"/>
  <c r="Z78" i="8"/>
  <c r="AC78" i="8" s="1"/>
  <c r="Z68" i="8"/>
  <c r="AC68" i="8" s="1"/>
  <c r="Z77" i="8"/>
  <c r="AC77" i="8" s="1"/>
  <c r="Z70" i="8"/>
  <c r="AC70" i="8" s="1"/>
  <c r="Z80" i="8"/>
  <c r="AC80" i="8" s="1"/>
  <c r="Z71" i="8"/>
  <c r="AC71" i="8" s="1"/>
  <c r="Z81" i="8"/>
  <c r="AC81" i="8" s="1"/>
  <c r="Z72" i="8"/>
  <c r="AC72" i="8" s="1"/>
  <c r="Z82" i="8"/>
  <c r="AC82" i="8" s="1"/>
  <c r="AC66" i="8"/>
  <c r="Z86" i="8"/>
  <c r="AC86" i="8" s="1"/>
  <c r="Z77" i="7"/>
  <c r="AC77" i="7" s="1"/>
  <c r="Z78" i="7"/>
  <c r="AC78" i="7" s="1"/>
  <c r="Z73" i="7"/>
  <c r="AC73" i="7" s="1"/>
  <c r="Z89" i="7"/>
  <c r="AC89" i="7" s="1"/>
  <c r="AC71" i="7"/>
  <c r="Z82" i="7"/>
  <c r="Z75" i="7"/>
  <c r="AC75" i="7" s="1"/>
  <c r="Z87" i="7"/>
  <c r="AC87" i="7" s="1"/>
  <c r="Z76" i="7"/>
  <c r="AC76" i="7" s="1"/>
  <c r="Z78" i="6"/>
  <c r="AC78" i="6" s="1"/>
  <c r="Z79" i="6"/>
  <c r="AC79" i="6" s="1"/>
  <c r="Z70" i="6"/>
  <c r="AC70" i="6" s="1"/>
  <c r="Z72" i="6"/>
  <c r="AC72" i="6" s="1"/>
  <c r="Z83" i="6"/>
  <c r="AC83" i="6" s="1"/>
  <c r="Z69" i="6"/>
  <c r="AC69" i="6" s="1"/>
  <c r="Z82" i="6"/>
  <c r="AC82" i="6" s="1"/>
  <c r="Z73" i="6"/>
  <c r="AC73" i="6" s="1"/>
  <c r="Z85" i="6"/>
  <c r="AC85" i="6" s="1"/>
  <c r="Z74" i="6"/>
  <c r="AC74" i="6" s="1"/>
  <c r="Z86" i="6"/>
  <c r="AC86" i="6" s="1"/>
  <c r="AC67" i="6"/>
  <c r="Z71" i="6"/>
  <c r="AC71" i="6" s="1"/>
  <c r="Z77" i="5"/>
  <c r="AC77" i="5" s="1"/>
  <c r="Z88" i="5"/>
  <c r="AC88" i="5" s="1"/>
  <c r="Z71" i="5"/>
  <c r="AC71" i="5" s="1"/>
  <c r="Z90" i="5"/>
  <c r="AC90" i="5" s="1"/>
  <c r="Z72" i="5"/>
  <c r="AC72" i="5" s="1"/>
  <c r="Z81" i="5"/>
  <c r="AC81" i="5" s="1"/>
  <c r="Z83" i="5"/>
  <c r="AC83" i="5" s="1"/>
  <c r="Z74" i="5"/>
  <c r="AC74" i="5" s="1"/>
  <c r="Z84" i="5"/>
  <c r="AC84" i="5" s="1"/>
  <c r="Z80" i="5"/>
  <c r="AC80" i="5" s="1"/>
  <c r="Z75" i="5"/>
  <c r="AC75" i="5" s="1"/>
  <c r="Z85" i="5"/>
  <c r="AC85" i="5" s="1"/>
  <c r="Z78" i="5"/>
  <c r="AC78" i="5" s="1"/>
  <c r="Z89" i="5"/>
  <c r="AC89" i="5" s="1"/>
  <c r="Z73" i="5"/>
  <c r="AC73" i="5" s="1"/>
  <c r="Z76" i="5"/>
  <c r="AC76" i="5" s="1"/>
  <c r="Z87" i="5"/>
  <c r="AC87" i="5" s="1"/>
  <c r="Z81" i="4"/>
  <c r="AC81" i="4" s="1"/>
  <c r="Z83" i="4"/>
  <c r="AC83" i="4" s="1"/>
  <c r="Z88" i="4"/>
  <c r="AC88" i="4" s="1"/>
  <c r="Z72" i="4"/>
  <c r="AC72" i="4" s="1"/>
  <c r="Z73" i="4"/>
  <c r="AC73" i="4" s="1"/>
  <c r="Z74" i="4"/>
  <c r="AC74" i="4" s="1"/>
  <c r="Z75" i="4"/>
  <c r="AC75" i="4" s="1"/>
  <c r="Z77" i="4"/>
  <c r="AC77" i="4" s="1"/>
  <c r="AC69" i="4"/>
  <c r="Z85" i="4"/>
  <c r="AC85" i="4" s="1"/>
  <c r="Z84" i="4"/>
  <c r="AC84" i="4" s="1"/>
  <c r="Z76" i="4"/>
  <c r="AC76" i="4" s="1"/>
  <c r="Z87" i="4"/>
  <c r="AC87" i="4" s="1"/>
  <c r="Z78" i="4"/>
  <c r="AC78" i="4" s="1"/>
  <c r="Z89" i="4"/>
  <c r="AC89" i="4" s="1"/>
  <c r="Z71" i="4"/>
  <c r="AC71" i="4" s="1"/>
  <c r="Z80" i="4"/>
  <c r="AC80" i="4" s="1"/>
  <c r="Z79" i="3"/>
  <c r="AC79" i="3" s="1"/>
  <c r="Z80" i="3"/>
  <c r="AC80" i="3" s="1"/>
  <c r="AC75" i="3"/>
  <c r="Z81" i="3"/>
  <c r="AC81" i="3" s="1"/>
  <c r="Z82" i="3"/>
  <c r="AC82" i="3" s="1"/>
  <c r="Z83" i="3"/>
  <c r="AC83" i="3" s="1"/>
  <c r="Z87" i="3"/>
  <c r="AC87" i="3" s="1"/>
  <c r="Z91" i="3"/>
  <c r="AC91" i="3" s="1"/>
  <c r="Z78" i="3"/>
  <c r="AC78" i="3" s="1"/>
  <c r="Z93" i="3"/>
  <c r="AC93" i="3" s="1"/>
  <c r="Z90" i="3"/>
  <c r="AC90" i="3" s="1"/>
  <c r="Z89" i="3"/>
  <c r="AC89" i="3" s="1"/>
  <c r="Z94" i="3"/>
  <c r="AC94" i="3" s="1"/>
  <c r="Z84" i="3"/>
  <c r="AC84" i="3" s="1"/>
  <c r="Z95" i="3"/>
  <c r="AC95" i="3" s="1"/>
  <c r="Z77" i="3"/>
  <c r="AC77" i="3" s="1"/>
  <c r="Z86" i="3"/>
  <c r="AC86" i="3" s="1"/>
  <c r="Z71" i="2"/>
  <c r="Z72" i="2"/>
  <c r="Z73" i="2"/>
  <c r="Z76" i="2"/>
  <c r="Z80" i="2"/>
  <c r="Z82" i="2"/>
  <c r="Z83" i="2"/>
  <c r="Z87" i="2"/>
  <c r="Z74" i="2"/>
  <c r="Z84" i="2"/>
  <c r="Z75" i="2"/>
  <c r="Z86" i="2"/>
  <c r="Z77" i="2"/>
  <c r="Z88" i="2"/>
  <c r="Z70" i="2"/>
  <c r="Z79" i="2"/>
  <c r="Z68" i="1"/>
  <c r="Z69" i="1"/>
  <c r="Z70" i="1"/>
  <c r="Z81" i="1"/>
  <c r="Z73" i="1"/>
  <c r="Z84" i="1"/>
  <c r="Z77" i="1"/>
  <c r="Z79" i="1"/>
  <c r="Z80" i="1"/>
  <c r="Z71" i="1"/>
  <c r="Z72" i="1"/>
  <c r="Z74" i="1"/>
  <c r="Z85" i="1"/>
  <c r="Z83" i="1"/>
  <c r="Z67" i="1"/>
  <c r="Z76" i="1"/>
  <c r="Z90" i="14" l="1"/>
  <c r="Z78" i="14"/>
  <c r="Z95" i="14"/>
  <c r="Z81" i="14"/>
  <c r="Z88" i="14"/>
  <c r="Z94" i="14"/>
  <c r="Z83" i="14"/>
  <c r="Z80" i="14"/>
  <c r="Z96" i="14"/>
  <c r="Z79" i="14"/>
  <c r="Z92" i="14"/>
  <c r="Z97" i="14"/>
  <c r="Z85" i="14"/>
  <c r="Z84" i="14"/>
  <c r="Z82" i="14"/>
  <c r="Z87" i="14"/>
  <c r="Z102" i="14" l="1"/>
  <c r="Y102" i="14"/>
  <c r="Z101" i="14"/>
  <c r="Y101" i="14"/>
  <c r="Z100" i="14"/>
  <c r="Y100" i="14"/>
  <c r="W100" i="14"/>
  <c r="X103" i="11" l="1"/>
  <c r="X47" i="19" l="1"/>
  <c r="X63" i="14" l="1"/>
  <c r="X64" i="14"/>
  <c r="AC55" i="27"/>
  <c r="AC56" i="24"/>
  <c r="AC59" i="16"/>
  <c r="AC50" i="16"/>
  <c r="AC54" i="17"/>
  <c r="AC56" i="18"/>
  <c r="AC48" i="18"/>
  <c r="AC55" i="19"/>
  <c r="AC52" i="20"/>
  <c r="AC44" i="20"/>
  <c r="AC61" i="32"/>
  <c r="AC60" i="22"/>
  <c r="AC59" i="22"/>
  <c r="AC53" i="22"/>
  <c r="AC52" i="22"/>
  <c r="AC56" i="23"/>
  <c r="AC55" i="23"/>
  <c r="AC48" i="23"/>
  <c r="AC47" i="23"/>
  <c r="AC54" i="13"/>
  <c r="AC53" i="13"/>
  <c r="AC46" i="13"/>
  <c r="AC45" i="13"/>
  <c r="AC57" i="9"/>
  <c r="AC56" i="9"/>
  <c r="AC48" i="9"/>
  <c r="AC54" i="8"/>
  <c r="AC53" i="8"/>
  <c r="AC46" i="8"/>
  <c r="AC45" i="8"/>
  <c r="AC59" i="7"/>
  <c r="AC58" i="7"/>
  <c r="AC51" i="7"/>
  <c r="AC50" i="7"/>
  <c r="AC55" i="6"/>
  <c r="AC54" i="6"/>
  <c r="AC47" i="6"/>
  <c r="AC46" i="6"/>
  <c r="AC57" i="5"/>
  <c r="AC56" i="5"/>
  <c r="AC49" i="5"/>
  <c r="AC48" i="5"/>
  <c r="AC53" i="31"/>
  <c r="AC57" i="4"/>
  <c r="AC56" i="4"/>
  <c r="AC49" i="4"/>
  <c r="AC48" i="4"/>
  <c r="X63" i="3"/>
  <c r="X62" i="3"/>
  <c r="AC62" i="3" s="1"/>
  <c r="AC63" i="3"/>
  <c r="AC54" i="3"/>
  <c r="AC53" i="3"/>
  <c r="AC56" i="2"/>
  <c r="AC55" i="2"/>
  <c r="AC47" i="2"/>
  <c r="AC46" i="2"/>
  <c r="AC53" i="1"/>
  <c r="AC52" i="1"/>
  <c r="AC45" i="1"/>
  <c r="AC44" i="1"/>
  <c r="AC54" i="29"/>
  <c r="AC53" i="29"/>
  <c r="AC46" i="29"/>
  <c r="X111" i="11"/>
  <c r="AC111" i="11"/>
  <c r="AC112" i="11"/>
  <c r="AC104" i="11"/>
  <c r="X51" i="14" l="1"/>
  <c r="X50" i="14"/>
  <c r="AC106" i="11" l="1"/>
  <c r="AB19" i="22" l="1"/>
  <c r="AC19" i="22"/>
  <c r="AC17" i="22"/>
  <c r="AC18" i="22"/>
  <c r="AB17" i="22"/>
  <c r="AB18" i="22"/>
  <c r="AC26" i="11" l="1"/>
  <c r="AC28" i="11"/>
  <c r="AC28" i="14" l="1"/>
  <c r="AC47" i="27"/>
  <c r="AC11" i="27"/>
  <c r="AB83" i="24"/>
  <c r="AC83" i="24"/>
  <c r="AC95" i="24"/>
  <c r="AB95" i="24"/>
  <c r="AC94" i="24"/>
  <c r="AB94" i="24"/>
  <c r="AC93" i="24"/>
  <c r="AB93" i="24"/>
  <c r="AC90" i="24"/>
  <c r="AB90" i="24"/>
  <c r="AC89" i="24"/>
  <c r="AB89" i="24"/>
  <c r="AC88" i="24"/>
  <c r="AB88" i="24"/>
  <c r="AC87" i="24"/>
  <c r="AB87" i="24"/>
  <c r="AC85" i="24"/>
  <c r="AB85" i="24"/>
  <c r="AC84" i="24"/>
  <c r="AB84" i="24"/>
  <c r="AC81" i="24"/>
  <c r="AB81" i="24"/>
  <c r="AC80" i="24"/>
  <c r="AB80" i="24"/>
  <c r="AC78" i="24"/>
  <c r="AB78" i="24"/>
  <c r="AC77" i="24"/>
  <c r="AB77" i="24"/>
  <c r="AC76" i="24"/>
  <c r="AB76" i="24"/>
  <c r="AC75" i="24"/>
  <c r="AB75" i="24"/>
  <c r="AC74" i="24"/>
  <c r="AB74" i="24"/>
  <c r="AC73" i="24"/>
  <c r="AB73" i="24"/>
  <c r="AC72" i="24"/>
  <c r="AB72" i="24"/>
  <c r="AC71" i="24"/>
  <c r="AB71" i="24"/>
  <c r="AC69" i="24"/>
  <c r="AC68" i="24"/>
  <c r="AC67" i="24"/>
  <c r="AC65" i="24"/>
  <c r="AC64" i="24"/>
  <c r="AC47" i="24"/>
  <c r="AC26" i="24"/>
  <c r="AC16" i="24"/>
  <c r="AC19" i="16"/>
  <c r="AB12" i="16"/>
  <c r="AC46" i="17"/>
  <c r="AC12" i="17"/>
  <c r="AB31" i="18"/>
  <c r="AC23" i="18"/>
  <c r="AC46" i="19"/>
  <c r="AC35" i="19"/>
  <c r="AC25" i="19"/>
  <c r="AC13" i="20"/>
  <c r="AC53" i="32"/>
  <c r="AB36" i="32"/>
  <c r="AC35" i="32"/>
  <c r="AC34" i="32"/>
  <c r="AC12" i="32"/>
  <c r="AB30" i="23"/>
  <c r="AC29" i="23"/>
  <c r="AC28" i="23"/>
  <c r="AC16" i="23"/>
  <c r="AC24" i="13"/>
  <c r="AC14" i="13"/>
  <c r="AC29" i="9"/>
  <c r="AB31" i="9" s="1"/>
  <c r="AC11" i="9"/>
  <c r="AC43" i="8"/>
  <c r="AC24" i="8"/>
  <c r="AC12" i="8"/>
  <c r="AB33" i="7"/>
  <c r="AC29" i="7"/>
  <c r="AC12" i="7"/>
  <c r="AC44" i="6"/>
  <c r="AC27" i="6"/>
  <c r="AC21" i="6"/>
  <c r="AC12" i="6"/>
  <c r="AC51" i="5"/>
  <c r="AB31" i="5"/>
  <c r="AC30" i="5"/>
  <c r="AC29" i="5"/>
  <c r="AC26" i="5"/>
  <c r="AB12" i="5"/>
  <c r="AC12" i="5"/>
  <c r="AC54" i="31"/>
  <c r="AC35" i="31"/>
  <c r="AC24" i="31"/>
  <c r="AC12" i="31"/>
  <c r="AB51" i="4"/>
  <c r="AC37" i="4"/>
  <c r="AC27" i="4"/>
  <c r="AB12" i="4"/>
  <c r="AC57" i="3"/>
  <c r="AC42" i="3"/>
  <c r="AB36" i="3"/>
  <c r="AC28" i="3"/>
  <c r="AC12" i="3"/>
  <c r="AB12" i="3"/>
  <c r="AB50" i="2"/>
  <c r="AC35" i="2"/>
  <c r="AC27" i="2"/>
  <c r="AC21" i="2"/>
  <c r="AC65" i="1"/>
  <c r="AC64" i="1"/>
  <c r="AC63" i="1"/>
  <c r="AC61" i="1"/>
  <c r="AC36" i="1"/>
  <c r="AC25" i="1"/>
  <c r="AC26" i="1"/>
  <c r="AB27" i="1"/>
  <c r="AC19" i="1"/>
  <c r="AC12" i="1"/>
  <c r="AB12" i="1"/>
  <c r="AC34" i="29"/>
  <c r="AC26" i="29"/>
  <c r="AC20" i="29"/>
  <c r="AB12" i="29"/>
  <c r="AB145" i="11"/>
  <c r="AB144" i="11"/>
  <c r="AB143" i="11"/>
  <c r="AB142" i="11"/>
  <c r="AB140" i="11"/>
  <c r="AB139" i="11"/>
  <c r="AB138" i="11"/>
  <c r="AB136" i="11"/>
  <c r="AB135" i="11"/>
  <c r="AB133" i="11"/>
  <c r="AB132" i="11"/>
  <c r="AB131" i="11"/>
  <c r="AB130" i="11"/>
  <c r="AB129" i="11"/>
  <c r="AB128" i="11"/>
  <c r="AB127" i="11"/>
  <c r="AB126" i="11"/>
  <c r="AB106" i="11"/>
  <c r="AC81" i="11"/>
  <c r="AB26" i="11"/>
  <c r="AC71" i="11"/>
  <c r="AB71" i="11"/>
  <c r="AC64" i="11"/>
  <c r="AC60" i="11"/>
  <c r="AB60" i="11"/>
  <c r="AB58" i="11"/>
  <c r="AB56" i="11"/>
  <c r="AB54" i="11"/>
  <c r="AB52" i="11"/>
  <c r="AB48" i="11"/>
  <c r="AB46" i="11"/>
  <c r="AB44" i="11"/>
  <c r="AB42" i="11"/>
  <c r="AB40" i="11"/>
  <c r="AB38" i="11"/>
  <c r="AB36" i="11"/>
  <c r="AC30" i="11"/>
  <c r="AB30" i="11"/>
  <c r="AB28" i="11"/>
  <c r="AC24" i="11"/>
  <c r="AB24" i="11"/>
  <c r="AB22" i="11"/>
  <c r="AB20" i="11"/>
  <c r="AB19" i="11"/>
  <c r="AC16" i="11"/>
  <c r="AB16" i="11"/>
  <c r="AC12" i="11"/>
  <c r="AB12" i="11"/>
  <c r="AC58" i="14"/>
  <c r="AB58" i="14"/>
  <c r="Z36" i="24" l="1"/>
  <c r="X57" i="14" l="1"/>
  <c r="X59" i="14" s="1"/>
  <c r="X57" i="3"/>
  <c r="X50" i="19"/>
  <c r="W50" i="19"/>
  <c r="X54" i="14"/>
  <c r="T55" i="14"/>
  <c r="W57" i="14"/>
  <c r="W59" i="14" s="1"/>
  <c r="X53" i="14"/>
  <c r="W53" i="14"/>
  <c r="W55" i="14" s="1"/>
  <c r="AC56" i="27"/>
  <c r="AC52" i="27"/>
  <c r="AB52" i="27"/>
  <c r="AC50" i="27"/>
  <c r="AB50" i="27"/>
  <c r="AC48" i="27"/>
  <c r="AC57" i="24"/>
  <c r="AC53" i="24"/>
  <c r="AB53" i="24"/>
  <c r="AC51" i="24"/>
  <c r="AB51" i="24"/>
  <c r="AC48" i="24"/>
  <c r="AB54" i="16"/>
  <c r="AC54" i="16"/>
  <c r="AB56" i="16"/>
  <c r="AC56" i="16"/>
  <c r="AC60" i="16"/>
  <c r="AC51" i="16"/>
  <c r="AC55" i="17"/>
  <c r="AC51" i="17"/>
  <c r="AB51" i="17"/>
  <c r="AC49" i="17"/>
  <c r="AB49" i="17"/>
  <c r="AC47" i="17"/>
  <c r="AC57" i="18"/>
  <c r="AC53" i="18"/>
  <c r="AB53" i="18"/>
  <c r="AC51" i="18"/>
  <c r="AB51" i="18"/>
  <c r="AC49" i="18"/>
  <c r="AB50" i="19"/>
  <c r="AC50" i="19"/>
  <c r="AB52" i="19"/>
  <c r="AC52" i="19"/>
  <c r="AC56" i="19"/>
  <c r="AC47" i="19"/>
  <c r="AC53" i="20"/>
  <c r="AC49" i="20"/>
  <c r="AB49" i="20"/>
  <c r="AC47" i="20"/>
  <c r="AB47" i="20"/>
  <c r="AC45" i="20"/>
  <c r="AC62" i="32"/>
  <c r="AC58" i="32"/>
  <c r="AB58" i="32"/>
  <c r="AC56" i="32"/>
  <c r="AB56" i="32"/>
  <c r="AC54" i="32"/>
  <c r="AC57" i="22"/>
  <c r="AB57" i="22"/>
  <c r="AC55" i="22"/>
  <c r="AB55" i="22"/>
  <c r="AC52" i="23"/>
  <c r="AB52" i="23"/>
  <c r="AC50" i="23"/>
  <c r="AB50" i="23"/>
  <c r="AC50" i="13"/>
  <c r="AB50" i="13"/>
  <c r="AC48" i="13"/>
  <c r="AB48" i="13"/>
  <c r="AC53" i="9"/>
  <c r="AB53" i="9"/>
  <c r="AC51" i="9"/>
  <c r="AB51" i="9"/>
  <c r="AC50" i="8"/>
  <c r="AB50" i="8"/>
  <c r="AC48" i="8"/>
  <c r="AB48" i="8"/>
  <c r="AB53" i="7"/>
  <c r="AC55" i="7"/>
  <c r="AB55" i="7"/>
  <c r="AC53" i="7"/>
  <c r="AC51" i="6"/>
  <c r="AC49" i="6"/>
  <c r="AB51" i="6"/>
  <c r="AB49" i="6"/>
  <c r="AC53" i="5"/>
  <c r="AB53" i="5"/>
  <c r="AB51" i="5"/>
  <c r="AC53" i="4"/>
  <c r="AC51" i="4"/>
  <c r="AB53" i="4"/>
  <c r="AC59" i="3"/>
  <c r="AB59" i="3"/>
  <c r="AB57" i="3"/>
  <c r="AC52" i="2"/>
  <c r="AB52" i="2"/>
  <c r="AB108" i="11"/>
  <c r="X55" i="14" l="1"/>
  <c r="X22" i="14"/>
  <c r="AC16" i="14"/>
  <c r="O16" i="14"/>
  <c r="P16" i="14"/>
  <c r="Q16" i="14"/>
  <c r="R16" i="14"/>
  <c r="S16" i="14"/>
  <c r="T16" i="14"/>
  <c r="U16" i="14"/>
  <c r="V16" i="14"/>
  <c r="W16" i="14"/>
  <c r="X16" i="14"/>
  <c r="Y16" i="14"/>
  <c r="M16" i="14"/>
  <c r="N16" i="14"/>
  <c r="Y13" i="14"/>
  <c r="X23" i="14"/>
  <c r="X24" i="14"/>
  <c r="X25" i="14"/>
  <c r="X26" i="27"/>
  <c r="AC25" i="27"/>
  <c r="AC24" i="27"/>
  <c r="AC23" i="27"/>
  <c r="AC22" i="27"/>
  <c r="AC14" i="27"/>
  <c r="AC13" i="27"/>
  <c r="AC12" i="27"/>
  <c r="X26" i="24"/>
  <c r="AC25" i="24"/>
  <c r="AC24" i="24"/>
  <c r="AC23" i="24"/>
  <c r="AC22" i="24"/>
  <c r="AC15" i="24"/>
  <c r="AC14" i="24"/>
  <c r="AC13" i="24"/>
  <c r="AC12" i="24"/>
  <c r="X29" i="16"/>
  <c r="AC29" i="16" s="1"/>
  <c r="AC18" i="16"/>
  <c r="AC28" i="16"/>
  <c r="AC27" i="16"/>
  <c r="AC26" i="16"/>
  <c r="AC25" i="16"/>
  <c r="AC16" i="16"/>
  <c r="AC14" i="16"/>
  <c r="AC13" i="16"/>
  <c r="Y12" i="17"/>
  <c r="X25" i="17"/>
  <c r="AC25" i="17" s="1"/>
  <c r="AC24" i="17"/>
  <c r="AC23" i="17"/>
  <c r="AC22" i="17"/>
  <c r="AC21" i="17"/>
  <c r="AC15" i="17"/>
  <c r="AC14" i="17"/>
  <c r="AC13" i="17"/>
  <c r="X27" i="18"/>
  <c r="AC27" i="18" s="1"/>
  <c r="AC26" i="18"/>
  <c r="AC25" i="18"/>
  <c r="AC24" i="18"/>
  <c r="AC17" i="18"/>
  <c r="AC16" i="18"/>
  <c r="AC14" i="18"/>
  <c r="AC13" i="18"/>
  <c r="AC12" i="18"/>
  <c r="X25" i="19"/>
  <c r="AC24" i="19"/>
  <c r="AC23" i="19"/>
  <c r="AC22" i="19"/>
  <c r="AC21" i="19"/>
  <c r="AC15" i="19"/>
  <c r="AC14" i="19"/>
  <c r="AC13" i="19"/>
  <c r="AC12" i="19"/>
  <c r="X23" i="20"/>
  <c r="AC23" i="20" s="1"/>
  <c r="AC22" i="20"/>
  <c r="AC21" i="20"/>
  <c r="AC20" i="20"/>
  <c r="AC19" i="20"/>
  <c r="AC12" i="20"/>
  <c r="X32" i="32"/>
  <c r="AC32" i="32" s="1"/>
  <c r="AC31" i="32"/>
  <c r="AC30" i="32"/>
  <c r="AC29" i="32"/>
  <c r="AC28" i="32"/>
  <c r="AC22" i="32"/>
  <c r="AC21" i="32"/>
  <c r="AC20" i="32"/>
  <c r="AC19" i="32"/>
  <c r="AC17" i="32"/>
  <c r="AC15" i="32"/>
  <c r="AC14" i="32"/>
  <c r="AC13" i="32"/>
  <c r="X31" i="22"/>
  <c r="AC30" i="22"/>
  <c r="AC29" i="22"/>
  <c r="AC28" i="22"/>
  <c r="AC27" i="22"/>
  <c r="AC21" i="22"/>
  <c r="AC20" i="22"/>
  <c r="AC16" i="22"/>
  <c r="AC15" i="22"/>
  <c r="AC14" i="22"/>
  <c r="AC13" i="22"/>
  <c r="X26" i="23"/>
  <c r="AC26" i="23"/>
  <c r="AC25" i="23"/>
  <c r="AC24" i="23"/>
  <c r="AC23" i="23"/>
  <c r="AC22" i="23"/>
  <c r="AC14" i="23"/>
  <c r="AC13" i="23"/>
  <c r="AC12" i="23"/>
  <c r="Y12" i="13"/>
  <c r="X24" i="13"/>
  <c r="AC23" i="13"/>
  <c r="AC22" i="13"/>
  <c r="AC21" i="13"/>
  <c r="AC20" i="13"/>
  <c r="AC13" i="13"/>
  <c r="AC12" i="13"/>
  <c r="X27" i="9"/>
  <c r="AC26" i="9"/>
  <c r="AC25" i="9"/>
  <c r="AC24" i="9"/>
  <c r="AC23" i="9"/>
  <c r="AC17" i="9"/>
  <c r="AC16" i="9"/>
  <c r="AC14" i="9"/>
  <c r="AC13" i="9"/>
  <c r="AC12" i="9"/>
  <c r="X24" i="8"/>
  <c r="AC23" i="8"/>
  <c r="AC22" i="8"/>
  <c r="AC21" i="8"/>
  <c r="AC20" i="8"/>
  <c r="AC14" i="8"/>
  <c r="AC13" i="8"/>
  <c r="X29" i="7"/>
  <c r="AC28" i="7"/>
  <c r="AC27" i="7"/>
  <c r="AC26" i="7"/>
  <c r="AC25" i="7"/>
  <c r="AC18" i="7"/>
  <c r="AC17" i="7"/>
  <c r="AC15" i="7"/>
  <c r="AC14" i="7"/>
  <c r="AC13" i="7"/>
  <c r="X25" i="6"/>
  <c r="AC25" i="6"/>
  <c r="AC23" i="6"/>
  <c r="AC22" i="6"/>
  <c r="AC15" i="6"/>
  <c r="AC14" i="6"/>
  <c r="AC13" i="6"/>
  <c r="X27" i="5"/>
  <c r="AC27" i="5" s="1"/>
  <c r="AC25" i="5"/>
  <c r="AC24" i="5"/>
  <c r="AC23" i="5"/>
  <c r="AC16" i="5"/>
  <c r="AC15" i="5"/>
  <c r="AC14" i="5"/>
  <c r="AC13" i="5"/>
  <c r="X24" i="31"/>
  <c r="AC22" i="31"/>
  <c r="AC21" i="31"/>
  <c r="AC20" i="31"/>
  <c r="AC14" i="31"/>
  <c r="AC13" i="31"/>
  <c r="X27" i="4"/>
  <c r="AC26" i="4"/>
  <c r="AC25" i="4"/>
  <c r="AC24" i="4"/>
  <c r="AC23" i="4"/>
  <c r="AC15" i="4"/>
  <c r="AC14" i="4"/>
  <c r="AC13" i="4"/>
  <c r="X32" i="3"/>
  <c r="AC21" i="3"/>
  <c r="AC20" i="3"/>
  <c r="AC19" i="3"/>
  <c r="AC17" i="3"/>
  <c r="AC15" i="3"/>
  <c r="AC14" i="3"/>
  <c r="AC13" i="3"/>
  <c r="AC32" i="3"/>
  <c r="AC31" i="3"/>
  <c r="AC30" i="3"/>
  <c r="AC29" i="3"/>
  <c r="X25" i="2"/>
  <c r="AC25" i="2" s="1"/>
  <c r="AC24" i="2"/>
  <c r="AC23" i="2"/>
  <c r="AC22" i="2"/>
  <c r="AC23" i="1"/>
  <c r="AC22" i="1"/>
  <c r="AC21" i="1"/>
  <c r="AC20" i="1"/>
  <c r="X23" i="1"/>
  <c r="AC24" i="29"/>
  <c r="AC21" i="29"/>
  <c r="X24" i="29"/>
  <c r="AC14" i="2"/>
  <c r="AC13" i="2"/>
  <c r="AC13" i="1"/>
  <c r="AC13" i="29"/>
  <c r="Y62" i="11" l="1"/>
  <c r="Y10" i="14" s="1"/>
  <c r="V79" i="11" l="1"/>
  <c r="V78" i="11"/>
  <c r="T79" i="11"/>
  <c r="T78" i="11"/>
  <c r="R30" i="32" l="1"/>
  <c r="R29" i="32"/>
  <c r="R28" i="32"/>
  <c r="X13" i="14" l="1"/>
  <c r="X12" i="14"/>
  <c r="X14" i="14"/>
  <c r="X10" i="14"/>
  <c r="X15" i="14"/>
  <c r="V10" i="14"/>
  <c r="V12" i="14"/>
  <c r="V14" i="14"/>
  <c r="V15" i="14"/>
  <c r="AC30" i="14" l="1"/>
  <c r="AC29" i="14"/>
  <c r="AC38" i="27"/>
  <c r="AC36" i="27"/>
  <c r="AC30" i="27"/>
  <c r="AC29" i="27"/>
  <c r="AB14" i="27"/>
  <c r="AB11" i="27"/>
  <c r="AB12" i="27"/>
  <c r="AC43" i="24"/>
  <c r="AC41" i="24"/>
  <c r="AC38" i="24"/>
  <c r="AC37" i="24"/>
  <c r="AC36" i="24"/>
  <c r="AC30" i="24"/>
  <c r="AB30" i="24"/>
  <c r="AC29" i="24"/>
  <c r="AC28" i="24"/>
  <c r="AB16" i="24"/>
  <c r="AB15" i="24"/>
  <c r="AB14" i="24"/>
  <c r="AB13" i="24"/>
  <c r="Z39" i="24"/>
  <c r="AC46" i="16"/>
  <c r="AC41" i="16"/>
  <c r="AC40" i="16"/>
  <c r="AC39" i="16"/>
  <c r="AC33" i="16"/>
  <c r="AC32" i="16"/>
  <c r="AC31" i="16"/>
  <c r="AB19" i="16"/>
  <c r="AB18" i="16"/>
  <c r="AB16" i="16"/>
  <c r="AB14" i="16"/>
  <c r="AB13" i="16"/>
  <c r="AC43" i="17"/>
  <c r="AC37" i="17"/>
  <c r="AC36" i="17"/>
  <c r="AC35" i="17"/>
  <c r="AC29" i="17"/>
  <c r="AC28" i="17"/>
  <c r="AC27" i="17"/>
  <c r="AB15" i="17"/>
  <c r="AB14" i="17"/>
  <c r="AB13" i="17"/>
  <c r="AC45" i="18"/>
  <c r="AC39" i="18"/>
  <c r="AC37" i="18"/>
  <c r="AC30" i="18"/>
  <c r="AB17" i="18"/>
  <c r="AB16" i="18"/>
  <c r="AB14" i="18"/>
  <c r="AB13" i="18"/>
  <c r="AC43" i="19"/>
  <c r="AC37" i="19"/>
  <c r="AC36" i="19"/>
  <c r="AC29" i="19"/>
  <c r="AC28" i="19"/>
  <c r="AB15" i="19"/>
  <c r="AB14" i="19"/>
  <c r="AB13" i="19"/>
  <c r="AC41" i="20"/>
  <c r="AC35" i="20"/>
  <c r="AC33" i="20"/>
  <c r="AC27" i="20"/>
  <c r="AC26" i="20"/>
  <c r="AC25" i="20"/>
  <c r="AB13" i="20"/>
  <c r="AB12" i="20"/>
  <c r="AC50" i="32"/>
  <c r="AC44" i="32"/>
  <c r="AC42" i="32"/>
  <c r="AB22" i="32"/>
  <c r="AB21" i="32"/>
  <c r="AB20" i="32"/>
  <c r="AB19" i="32"/>
  <c r="AB17" i="32"/>
  <c r="AB15" i="32"/>
  <c r="AB14" i="32"/>
  <c r="AB13" i="32"/>
  <c r="AC43" i="22"/>
  <c r="AC42" i="22"/>
  <c r="AC41" i="22"/>
  <c r="AC34" i="22"/>
  <c r="AB35" i="22" s="1"/>
  <c r="AB21" i="22"/>
  <c r="AB16" i="22"/>
  <c r="AB15" i="22"/>
  <c r="AB13" i="22"/>
  <c r="AC44" i="23"/>
  <c r="AC38" i="23"/>
  <c r="AC37" i="23"/>
  <c r="AC36" i="23"/>
  <c r="AB14" i="23"/>
  <c r="AB13" i="23"/>
  <c r="AB12" i="23"/>
  <c r="AC41" i="13"/>
  <c r="AC36" i="13"/>
  <c r="AC34" i="13"/>
  <c r="AC28" i="13"/>
  <c r="AB28" i="13"/>
  <c r="AC27" i="13"/>
  <c r="AC26" i="13"/>
  <c r="AB14" i="13"/>
  <c r="AB13" i="13"/>
  <c r="AB12" i="13"/>
  <c r="AC39" i="9"/>
  <c r="AC37" i="9"/>
  <c r="AB14" i="9"/>
  <c r="AB13" i="9"/>
  <c r="AB12" i="9"/>
  <c r="AB17" i="9"/>
  <c r="AB16" i="9"/>
  <c r="AC42" i="8"/>
  <c r="AC36" i="8"/>
  <c r="AC35" i="8"/>
  <c r="AC34" i="8"/>
  <c r="AC28" i="8"/>
  <c r="AC27" i="8"/>
  <c r="AC26" i="8"/>
  <c r="AB14" i="8"/>
  <c r="AB13" i="8"/>
  <c r="AB12" i="8"/>
  <c r="AC47" i="7"/>
  <c r="AC41" i="7"/>
  <c r="AC40" i="7"/>
  <c r="AC39" i="7"/>
  <c r="AC32" i="7"/>
  <c r="AB18" i="7"/>
  <c r="AB17" i="7"/>
  <c r="AB15" i="7"/>
  <c r="AB14" i="7"/>
  <c r="AB13" i="7"/>
  <c r="AB12" i="7"/>
  <c r="AC43" i="6"/>
  <c r="AC37" i="6"/>
  <c r="AC36" i="6"/>
  <c r="AC35" i="6"/>
  <c r="AC29" i="6"/>
  <c r="AC28" i="6"/>
  <c r="AB15" i="6"/>
  <c r="AB14" i="6"/>
  <c r="AB13" i="6"/>
  <c r="AB12" i="6"/>
  <c r="AC45" i="5"/>
  <c r="AC39" i="5"/>
  <c r="AC38" i="5"/>
  <c r="AB16" i="5"/>
  <c r="AB15" i="5"/>
  <c r="AB14" i="5"/>
  <c r="AB13" i="5"/>
  <c r="AC42" i="31"/>
  <c r="AC36" i="31"/>
  <c r="AC34" i="31"/>
  <c r="AB14" i="31"/>
  <c r="AB13" i="31"/>
  <c r="AB12" i="31"/>
  <c r="AC30" i="4"/>
  <c r="AC29" i="4"/>
  <c r="AB15" i="4"/>
  <c r="AB14" i="4"/>
  <c r="AB13" i="4"/>
  <c r="AC38" i="4"/>
  <c r="AC39" i="4"/>
  <c r="AC49" i="3"/>
  <c r="AC48" i="3"/>
  <c r="AC47" i="3"/>
  <c r="AC44" i="3"/>
  <c r="AC43" i="3"/>
  <c r="AC35" i="3"/>
  <c r="AB21" i="3"/>
  <c r="AB20" i="3"/>
  <c r="AB19" i="3"/>
  <c r="AB17" i="3"/>
  <c r="AB15" i="3"/>
  <c r="AB14" i="3"/>
  <c r="AB13" i="3"/>
  <c r="AC42" i="2"/>
  <c r="AC41" i="2"/>
  <c r="AC40" i="2"/>
  <c r="AC37" i="2"/>
  <c r="AC36" i="2"/>
  <c r="AC29" i="2"/>
  <c r="AC28" i="2"/>
  <c r="AB14" i="2"/>
  <c r="AB13" i="2"/>
  <c r="AC49" i="1"/>
  <c r="AB49" i="1"/>
  <c r="AC47" i="1"/>
  <c r="AB47" i="1"/>
  <c r="AC41" i="1"/>
  <c r="AC35" i="1"/>
  <c r="AC34" i="1"/>
  <c r="AC33" i="1"/>
  <c r="AB13" i="1"/>
  <c r="AB12" i="32"/>
  <c r="AB12" i="19"/>
  <c r="AB12" i="18"/>
  <c r="AB12" i="17"/>
  <c r="AB12" i="24"/>
  <c r="Y29" i="2"/>
  <c r="AB29" i="2" s="1"/>
  <c r="Z38" i="2"/>
  <c r="AC38" i="2" s="1"/>
  <c r="Z43" i="2"/>
  <c r="AC43" i="2" s="1"/>
  <c r="Y36" i="3"/>
  <c r="Z38" i="14"/>
  <c r="Y31" i="4"/>
  <c r="Z40" i="4"/>
  <c r="AC40" i="4" s="1"/>
  <c r="Z45" i="4"/>
  <c r="Y28" i="31"/>
  <c r="Z37" i="31"/>
  <c r="AC37" i="31" s="1"/>
  <c r="Z42" i="31"/>
  <c r="Z43" i="31" s="1"/>
  <c r="AC43" i="31" s="1"/>
  <c r="Y31" i="5"/>
  <c r="Z40" i="5"/>
  <c r="AC40" i="5" s="1"/>
  <c r="Z45" i="5"/>
  <c r="Y29" i="6"/>
  <c r="AB29" i="6" s="1"/>
  <c r="Z38" i="6"/>
  <c r="AC38" i="6" s="1"/>
  <c r="Z43" i="6"/>
  <c r="Y33" i="7"/>
  <c r="Z42" i="7"/>
  <c r="AC42" i="7" s="1"/>
  <c r="Z47" i="7"/>
  <c r="Y28" i="8"/>
  <c r="AB28" i="8" s="1"/>
  <c r="Z37" i="8"/>
  <c r="AC37" i="8" s="1"/>
  <c r="Z42" i="8"/>
  <c r="Y31" i="9"/>
  <c r="Z40" i="9"/>
  <c r="Z46" i="9" s="1"/>
  <c r="Y28" i="13"/>
  <c r="Z37" i="13"/>
  <c r="AC37" i="13" s="1"/>
  <c r="Z42" i="13"/>
  <c r="AC42" i="13" s="1"/>
  <c r="Y30" i="23"/>
  <c r="Z39" i="23"/>
  <c r="AC39" i="23" s="1"/>
  <c r="Z44" i="23"/>
  <c r="Z45" i="23"/>
  <c r="AC45" i="23" s="1"/>
  <c r="Y35" i="22"/>
  <c r="Z44" i="22"/>
  <c r="Z49" i="22"/>
  <c r="Y36" i="32"/>
  <c r="Z45" i="32"/>
  <c r="AC45" i="32" s="1"/>
  <c r="Z50" i="32"/>
  <c r="Y27" i="20"/>
  <c r="AB27" i="20" s="1"/>
  <c r="Z36" i="20"/>
  <c r="AC36" i="20" s="1"/>
  <c r="Z41" i="20"/>
  <c r="Y29" i="19"/>
  <c r="AB29" i="19" s="1"/>
  <c r="Z38" i="19"/>
  <c r="Z44" i="19" s="1"/>
  <c r="AC44" i="19" s="1"/>
  <c r="Z43" i="19"/>
  <c r="Y31" i="18"/>
  <c r="Z40" i="18"/>
  <c r="AC40" i="18" s="1"/>
  <c r="Z45" i="18"/>
  <c r="Z46" i="18"/>
  <c r="AC46" i="18" s="1"/>
  <c r="Y29" i="17"/>
  <c r="AB29" i="17" s="1"/>
  <c r="Z38" i="17"/>
  <c r="Z44" i="17" s="1"/>
  <c r="AC44" i="17" s="1"/>
  <c r="Z43" i="17"/>
  <c r="Y33" i="16"/>
  <c r="Z42" i="16"/>
  <c r="Z47" i="16"/>
  <c r="Z48" i="16" s="1"/>
  <c r="Y30" i="24"/>
  <c r="Z44" i="24"/>
  <c r="AC44" i="24" s="1"/>
  <c r="Y30" i="27"/>
  <c r="Z39" i="27"/>
  <c r="Z44" i="27"/>
  <c r="Y11" i="14"/>
  <c r="Y12" i="14"/>
  <c r="Y14" i="14"/>
  <c r="Y15" i="14"/>
  <c r="Y30" i="14"/>
  <c r="AB30" i="14" s="1"/>
  <c r="Z37" i="14"/>
  <c r="Z41" i="14"/>
  <c r="Z42" i="14"/>
  <c r="Z43" i="14"/>
  <c r="Y27" i="1"/>
  <c r="Z36" i="1"/>
  <c r="Z41" i="1"/>
  <c r="AC50" i="29"/>
  <c r="AB50" i="29"/>
  <c r="AB48" i="29"/>
  <c r="AC48" i="29"/>
  <c r="AC42" i="29"/>
  <c r="AC37" i="29"/>
  <c r="AC28" i="29"/>
  <c r="Y28" i="29"/>
  <c r="AC27" i="29"/>
  <c r="Z37" i="29"/>
  <c r="Z42" i="29"/>
  <c r="Z43" i="29" s="1"/>
  <c r="AC43" i="29" s="1"/>
  <c r="AB150" i="11"/>
  <c r="AB149" i="11"/>
  <c r="AC99" i="11"/>
  <c r="AC85" i="11"/>
  <c r="AB86" i="11" s="1"/>
  <c r="T135" i="11"/>
  <c r="Z82" i="11"/>
  <c r="Y86" i="11"/>
  <c r="Z95" i="11"/>
  <c r="Z100" i="11"/>
  <c r="Z101" i="11"/>
  <c r="Z50" i="22" l="1"/>
  <c r="Z45" i="24"/>
  <c r="AC45" i="24" s="1"/>
  <c r="AC39" i="24"/>
  <c r="AC38" i="17"/>
  <c r="AC38" i="19"/>
  <c r="Z51" i="32"/>
  <c r="AC51" i="32" s="1"/>
  <c r="Z43" i="8"/>
  <c r="Z48" i="7"/>
  <c r="AC48" i="7" s="1"/>
  <c r="Z46" i="5"/>
  <c r="AC46" i="5" s="1"/>
  <c r="Z46" i="4"/>
  <c r="AC46" i="4" s="1"/>
  <c r="Z45" i="27"/>
  <c r="Z42" i="20"/>
  <c r="AC42" i="20" s="1"/>
  <c r="Z44" i="6"/>
  <c r="Z44" i="2"/>
  <c r="AC44" i="2" s="1"/>
  <c r="Z42" i="1"/>
  <c r="AC42" i="1" s="1"/>
  <c r="Z45" i="3"/>
  <c r="AC45" i="3" s="1"/>
  <c r="Z36" i="14"/>
  <c r="Z43" i="13"/>
  <c r="AC43" i="13" s="1"/>
  <c r="Z50" i="3"/>
  <c r="W102" i="14"/>
  <c r="W101" i="14"/>
  <c r="X102" i="14"/>
  <c r="X101" i="14"/>
  <c r="X100" i="14"/>
  <c r="Z44" i="14" l="1"/>
  <c r="AC50" i="3"/>
  <c r="Z51" i="3"/>
  <c r="Z39" i="14"/>
  <c r="W12" i="14"/>
  <c r="Z45" i="14" l="1"/>
  <c r="Z47" i="14" s="1"/>
  <c r="AC51" i="3"/>
  <c r="W83" i="6"/>
  <c r="W81" i="6"/>
  <c r="W86" i="27" l="1"/>
  <c r="W82" i="27"/>
  <c r="W70" i="27"/>
  <c r="W80" i="27"/>
  <c r="W91" i="16"/>
  <c r="W90" i="16"/>
  <c r="W76" i="16"/>
  <c r="W74" i="16"/>
  <c r="W84" i="16"/>
  <c r="W83" i="16"/>
  <c r="W83" i="20"/>
  <c r="W79" i="20"/>
  <c r="W76" i="20"/>
  <c r="W67" i="20"/>
  <c r="W94" i="32"/>
  <c r="W93" i="32"/>
  <c r="W92" i="32"/>
  <c r="W76" i="32"/>
  <c r="W86" i="32"/>
  <c r="W85" i="32"/>
  <c r="W91" i="22"/>
  <c r="W95" i="14" s="1"/>
  <c r="W90" i="22"/>
  <c r="W88" i="22"/>
  <c r="W86" i="22"/>
  <c r="W90" i="14" s="1"/>
  <c r="W84" i="22"/>
  <c r="W83" i="22"/>
  <c r="W76" i="22"/>
  <c r="W80" i="14" s="1"/>
  <c r="W74" i="22"/>
  <c r="W86" i="23"/>
  <c r="W84" i="23"/>
  <c r="W82" i="23"/>
  <c r="W79" i="23"/>
  <c r="W70" i="23"/>
  <c r="W85" i="13"/>
  <c r="W82" i="13"/>
  <c r="W68" i="13"/>
  <c r="W78" i="13"/>
  <c r="W77" i="13"/>
  <c r="W87" i="9"/>
  <c r="W85" i="9"/>
  <c r="W81" i="9"/>
  <c r="W80" i="9"/>
  <c r="W71" i="9"/>
  <c r="W84" i="8"/>
  <c r="W82" i="8"/>
  <c r="W80" i="8"/>
  <c r="W68" i="8"/>
  <c r="W77" i="8"/>
  <c r="W86" i="6"/>
  <c r="W85" i="6"/>
  <c r="W79" i="6"/>
  <c r="W78" i="6"/>
  <c r="W69" i="6"/>
  <c r="W87" i="5"/>
  <c r="W83" i="5"/>
  <c r="W80" i="5"/>
  <c r="W71" i="5"/>
  <c r="W86" i="31"/>
  <c r="W85" i="31"/>
  <c r="W83" i="31"/>
  <c r="W81" i="31"/>
  <c r="W79" i="31"/>
  <c r="W78" i="31"/>
  <c r="W84" i="1"/>
  <c r="W67" i="1"/>
  <c r="W77" i="1"/>
  <c r="W76" i="1"/>
  <c r="W87" i="24"/>
  <c r="W83" i="24"/>
  <c r="W80" i="24"/>
  <c r="W71" i="24"/>
  <c r="W85" i="17"/>
  <c r="W83" i="17"/>
  <c r="W81" i="17"/>
  <c r="W79" i="17"/>
  <c r="W78" i="17"/>
  <c r="W69" i="17"/>
  <c r="W86" i="19"/>
  <c r="W82" i="19"/>
  <c r="W75" i="19"/>
  <c r="W70" i="19"/>
  <c r="W79" i="19"/>
  <c r="W94" i="3"/>
  <c r="W93" i="3"/>
  <c r="W91" i="3"/>
  <c r="W89" i="3"/>
  <c r="W87" i="3"/>
  <c r="W86" i="3"/>
  <c r="W77" i="3"/>
  <c r="X75" i="14"/>
  <c r="X74" i="14"/>
  <c r="X72" i="14"/>
  <c r="X71" i="14"/>
  <c r="W97" i="14"/>
  <c r="W96" i="14"/>
  <c r="W91" i="14"/>
  <c r="W87" i="14"/>
  <c r="W85" i="14"/>
  <c r="W84" i="14"/>
  <c r="W83" i="14"/>
  <c r="W82" i="14"/>
  <c r="W81" i="14"/>
  <c r="W79" i="14"/>
  <c r="W92" i="14" l="1"/>
  <c r="W88" i="14"/>
  <c r="W78" i="14"/>
  <c r="W94" i="14"/>
  <c r="V62" i="3"/>
  <c r="V111" i="11"/>
  <c r="V63" i="3"/>
  <c r="V63" i="14" l="1"/>
  <c r="V64" i="14"/>
  <c r="V103" i="11" l="1"/>
  <c r="V47" i="19"/>
  <c r="V54" i="3"/>
  <c r="V50" i="14" l="1"/>
  <c r="V51" i="14"/>
  <c r="W14" i="14" l="1"/>
  <c r="U57" i="14" l="1"/>
  <c r="V57" i="14"/>
  <c r="V59" i="14" l="1"/>
  <c r="U59" i="14"/>
  <c r="U54" i="14"/>
  <c r="AB54" i="14" s="1"/>
  <c r="V54" i="14"/>
  <c r="AC54" i="14" s="1"/>
  <c r="V53" i="14"/>
  <c r="U53" i="14"/>
  <c r="V55" i="14" l="1"/>
  <c r="U55" i="14"/>
  <c r="X36" i="24"/>
  <c r="X37" i="19" l="1"/>
  <c r="X36" i="19"/>
  <c r="X35" i="19"/>
  <c r="X36" i="13"/>
  <c r="X41" i="13"/>
  <c r="X34" i="13"/>
  <c r="X44" i="3"/>
  <c r="X38" i="14" s="1"/>
  <c r="X42" i="3"/>
  <c r="X36" i="14" s="1"/>
  <c r="X49" i="3"/>
  <c r="X43" i="14" s="1"/>
  <c r="X48" i="3"/>
  <c r="X42" i="14" s="1"/>
  <c r="X47" i="3"/>
  <c r="X41" i="14" s="1"/>
  <c r="X43" i="3"/>
  <c r="X37" i="14" s="1"/>
  <c r="W15" i="14" l="1"/>
  <c r="W13" i="14"/>
  <c r="W11" i="14"/>
  <c r="AB13" i="27"/>
  <c r="W12" i="13"/>
  <c r="AB13" i="29"/>
  <c r="W62" i="11"/>
  <c r="W10" i="14" l="1"/>
  <c r="V118" i="14"/>
  <c r="V117" i="14"/>
  <c r="V114" i="14"/>
  <c r="V109" i="14"/>
  <c r="V110" i="27"/>
  <c r="V109" i="27"/>
  <c r="V107" i="27"/>
  <c r="V101" i="27"/>
  <c r="V111" i="27" s="1"/>
  <c r="V112" i="24"/>
  <c r="V111" i="24"/>
  <c r="V110" i="24"/>
  <c r="V108" i="24"/>
  <c r="V103" i="24"/>
  <c r="V114" i="16"/>
  <c r="V113" i="16"/>
  <c r="V110" i="16"/>
  <c r="V111" i="16"/>
  <c r="V105" i="16"/>
  <c r="V106" i="16" s="1"/>
  <c r="V109" i="17"/>
  <c r="V108" i="17"/>
  <c r="V106" i="17"/>
  <c r="V100" i="17"/>
  <c r="V110" i="17" s="1"/>
  <c r="V112" i="18"/>
  <c r="V111" i="18"/>
  <c r="V110" i="18"/>
  <c r="V108" i="18"/>
  <c r="V103" i="18"/>
  <c r="V106" i="19"/>
  <c r="P111" i="19"/>
  <c r="P110" i="19"/>
  <c r="P109" i="19"/>
  <c r="P107" i="19"/>
  <c r="P102" i="19"/>
  <c r="V109" i="19"/>
  <c r="V107" i="19"/>
  <c r="V101" i="19"/>
  <c r="V111" i="19" s="1"/>
  <c r="V102" i="19"/>
  <c r="V108" i="20"/>
  <c r="V106" i="20"/>
  <c r="V104" i="20"/>
  <c r="V99" i="20"/>
  <c r="V116" i="32"/>
  <c r="V115" i="32"/>
  <c r="V112" i="32"/>
  <c r="V117" i="32" s="1"/>
  <c r="V108" i="32"/>
  <c r="V107" i="32"/>
  <c r="V114" i="22"/>
  <c r="V113" i="22"/>
  <c r="V110" i="22"/>
  <c r="V111" i="22" s="1"/>
  <c r="V105" i="22"/>
  <c r="V106" i="22" s="1"/>
  <c r="V110" i="23"/>
  <c r="V109" i="23"/>
  <c r="V106" i="23"/>
  <c r="V111" i="23" s="1"/>
  <c r="V101" i="23"/>
  <c r="V102" i="23" s="1"/>
  <c r="V108" i="13"/>
  <c r="V107" i="13"/>
  <c r="V104" i="13"/>
  <c r="V105" i="13" s="1"/>
  <c r="V110" i="13" s="1"/>
  <c r="V100" i="13"/>
  <c r="V99" i="13"/>
  <c r="V103" i="9"/>
  <c r="V108" i="9"/>
  <c r="V112" i="9"/>
  <c r="V111" i="9"/>
  <c r="V110" i="9"/>
  <c r="V108" i="8"/>
  <c r="V107" i="8"/>
  <c r="V104" i="8"/>
  <c r="V105" i="8" s="1"/>
  <c r="V100" i="8"/>
  <c r="V114" i="7"/>
  <c r="V113" i="7"/>
  <c r="V112" i="7"/>
  <c r="V110" i="7"/>
  <c r="V105" i="7"/>
  <c r="V109" i="6"/>
  <c r="V108" i="6"/>
  <c r="V105" i="6"/>
  <c r="V110" i="6" s="1"/>
  <c r="V101" i="6"/>
  <c r="V100" i="6"/>
  <c r="V111" i="5"/>
  <c r="V110" i="5"/>
  <c r="V107" i="5"/>
  <c r="V108" i="5" s="1"/>
  <c r="V113" i="5" s="1"/>
  <c r="V103" i="5"/>
  <c r="V102" i="5"/>
  <c r="V109" i="31"/>
  <c r="V108" i="31"/>
  <c r="V105" i="31"/>
  <c r="V110" i="31" s="1"/>
  <c r="V101" i="31"/>
  <c r="V100" i="31"/>
  <c r="V111" i="4"/>
  <c r="V110" i="4"/>
  <c r="V107" i="4"/>
  <c r="V108" i="4" s="1"/>
  <c r="V113" i="4" s="1"/>
  <c r="V102" i="4"/>
  <c r="V103" i="4" s="1"/>
  <c r="V108" i="3"/>
  <c r="V116" i="3"/>
  <c r="V113" i="3"/>
  <c r="V118" i="3" s="1"/>
  <c r="V109" i="3"/>
  <c r="V109" i="2"/>
  <c r="V107" i="2"/>
  <c r="V112" i="2" s="1"/>
  <c r="V102" i="2"/>
  <c r="V107" i="1"/>
  <c r="V106" i="1"/>
  <c r="V103" i="1"/>
  <c r="V104" i="1" s="1"/>
  <c r="V109" i="1" s="1"/>
  <c r="V99" i="1"/>
  <c r="V98" i="1"/>
  <c r="V107" i="29"/>
  <c r="V104" i="29"/>
  <c r="V99" i="29"/>
  <c r="V100" i="29" s="1"/>
  <c r="V166" i="11"/>
  <c r="V165" i="11"/>
  <c r="V162" i="11"/>
  <c r="V167" i="11" s="1"/>
  <c r="V157" i="11"/>
  <c r="V158" i="11" s="1"/>
  <c r="V110" i="14" l="1"/>
  <c r="V116" i="22"/>
  <c r="V115" i="16"/>
  <c r="V109" i="29"/>
  <c r="V105" i="29"/>
  <c r="V119" i="14"/>
  <c r="V163" i="11"/>
  <c r="V168" i="11" s="1"/>
  <c r="V108" i="1"/>
  <c r="V114" i="3"/>
  <c r="V119" i="3" s="1"/>
  <c r="V112" i="4"/>
  <c r="V106" i="31"/>
  <c r="V111" i="31" s="1"/>
  <c r="V112" i="5"/>
  <c r="V106" i="6"/>
  <c r="V111" i="6" s="1"/>
  <c r="V109" i="8"/>
  <c r="V109" i="13"/>
  <c r="V107" i="23"/>
  <c r="V112" i="23" s="1"/>
  <c r="V115" i="22"/>
  <c r="V113" i="32"/>
  <c r="V118" i="32" s="1"/>
  <c r="P112" i="19"/>
  <c r="V113" i="18"/>
  <c r="V116" i="16"/>
  <c r="V113" i="24"/>
  <c r="V110" i="29"/>
  <c r="V109" i="20"/>
  <c r="V101" i="17"/>
  <c r="V111" i="17" s="1"/>
  <c r="V102" i="27"/>
  <c r="V112" i="27" s="1"/>
  <c r="V115" i="14"/>
  <c r="V110" i="8"/>
  <c r="V115" i="7"/>
  <c r="V112" i="19"/>
  <c r="V113" i="9"/>
  <c r="V13" i="14"/>
  <c r="V27" i="10"/>
  <c r="V25" i="14"/>
  <c r="V24" i="14"/>
  <c r="V23" i="14"/>
  <c r="V22" i="14"/>
  <c r="U15" i="14"/>
  <c r="U13" i="14"/>
  <c r="U11" i="14"/>
  <c r="W30" i="14"/>
  <c r="V26" i="27"/>
  <c r="W30" i="27"/>
  <c r="X39" i="27"/>
  <c r="X44" i="27"/>
  <c r="X68" i="27"/>
  <c r="V26" i="24"/>
  <c r="W30" i="24"/>
  <c r="X39" i="24"/>
  <c r="X44" i="24"/>
  <c r="X45" i="24" s="1"/>
  <c r="X69" i="24"/>
  <c r="X71" i="24" s="1"/>
  <c r="X78" i="24"/>
  <c r="X84" i="24"/>
  <c r="X89" i="24"/>
  <c r="V29" i="16"/>
  <c r="W33" i="16"/>
  <c r="X42" i="16"/>
  <c r="X47" i="16"/>
  <c r="X72" i="16"/>
  <c r="V25" i="17"/>
  <c r="W29" i="17"/>
  <c r="X38" i="17"/>
  <c r="X43" i="17"/>
  <c r="X67" i="17"/>
  <c r="X71" i="17" s="1"/>
  <c r="V27" i="18"/>
  <c r="W31" i="18"/>
  <c r="X40" i="18"/>
  <c r="X45" i="18"/>
  <c r="X69" i="18"/>
  <c r="X71" i="18" s="1"/>
  <c r="X80" i="18"/>
  <c r="X83" i="18"/>
  <c r="X85" i="18"/>
  <c r="X88" i="18"/>
  <c r="X90" i="18"/>
  <c r="V25" i="19"/>
  <c r="W29" i="19"/>
  <c r="X38" i="19"/>
  <c r="X43" i="19"/>
  <c r="X68" i="19"/>
  <c r="X70" i="19" s="1"/>
  <c r="V23" i="20"/>
  <c r="W27" i="20"/>
  <c r="X36" i="20"/>
  <c r="X41" i="20"/>
  <c r="X42" i="20" s="1"/>
  <c r="X65" i="20"/>
  <c r="X69" i="20" s="1"/>
  <c r="X83" i="20"/>
  <c r="V32" i="32"/>
  <c r="W36" i="32"/>
  <c r="X45" i="32"/>
  <c r="X51" i="32" s="1"/>
  <c r="X50" i="32"/>
  <c r="X74" i="32"/>
  <c r="X76" i="32" s="1"/>
  <c r="V31" i="22"/>
  <c r="W35" i="22"/>
  <c r="X44" i="22"/>
  <c r="X49" i="22"/>
  <c r="X72" i="22"/>
  <c r="X86" i="22" s="1"/>
  <c r="V26" i="23"/>
  <c r="W30" i="23"/>
  <c r="X39" i="23"/>
  <c r="X44" i="23"/>
  <c r="X68" i="23"/>
  <c r="X71" i="23" s="1"/>
  <c r="V24" i="13"/>
  <c r="W28" i="13"/>
  <c r="X37" i="13"/>
  <c r="X42" i="13"/>
  <c r="X66" i="13"/>
  <c r="X69" i="13" s="1"/>
  <c r="X81" i="13"/>
  <c r="V27" i="9"/>
  <c r="W31" i="9"/>
  <c r="X40" i="9"/>
  <c r="AC40" i="9" s="1"/>
  <c r="X69" i="9"/>
  <c r="X80" i="9" s="1"/>
  <c r="X73" i="9"/>
  <c r="X85" i="9"/>
  <c r="X88" i="9"/>
  <c r="V24" i="8"/>
  <c r="W28" i="8"/>
  <c r="X37" i="8"/>
  <c r="X43" i="8" s="1"/>
  <c r="X42" i="8"/>
  <c r="X66" i="8"/>
  <c r="X68" i="8" s="1"/>
  <c r="V29" i="7"/>
  <c r="W33" i="7"/>
  <c r="X42" i="7"/>
  <c r="X48" i="7" s="1"/>
  <c r="X47" i="7"/>
  <c r="X71" i="7"/>
  <c r="X80" i="7" s="1"/>
  <c r="V25" i="6"/>
  <c r="W29" i="6"/>
  <c r="X38" i="6"/>
  <c r="X43" i="6"/>
  <c r="X44" i="6" s="1"/>
  <c r="X67" i="6"/>
  <c r="X69" i="6" s="1"/>
  <c r="X75" i="6"/>
  <c r="X78" i="6"/>
  <c r="X82" i="6"/>
  <c r="X86" i="6"/>
  <c r="X88" i="6"/>
  <c r="V27" i="5"/>
  <c r="W31" i="5"/>
  <c r="X40" i="5"/>
  <c r="X45" i="5"/>
  <c r="X69" i="5"/>
  <c r="X73" i="5" s="1"/>
  <c r="V24" i="31"/>
  <c r="W28" i="31"/>
  <c r="X37" i="31"/>
  <c r="X42" i="31"/>
  <c r="X43" i="31"/>
  <c r="X67" i="31"/>
  <c r="X69" i="31" s="1"/>
  <c r="V27" i="4"/>
  <c r="W31" i="4"/>
  <c r="X40" i="4"/>
  <c r="X45" i="4"/>
  <c r="X46" i="4"/>
  <c r="X69" i="4"/>
  <c r="X72" i="4" s="1"/>
  <c r="X77" i="4"/>
  <c r="X81" i="4"/>
  <c r="X83" i="4"/>
  <c r="X84" i="4"/>
  <c r="X88" i="4"/>
  <c r="X89" i="4"/>
  <c r="V32" i="3"/>
  <c r="W36" i="3"/>
  <c r="X45" i="3"/>
  <c r="X50" i="3"/>
  <c r="X75" i="3"/>
  <c r="X77" i="3" s="1"/>
  <c r="V25" i="2"/>
  <c r="W29" i="2"/>
  <c r="X38" i="2"/>
  <c r="X43" i="2"/>
  <c r="X68" i="2"/>
  <c r="X70" i="2" s="1"/>
  <c r="V23" i="1"/>
  <c r="W27" i="1"/>
  <c r="X36" i="1"/>
  <c r="X42" i="1" s="1"/>
  <c r="X41" i="1"/>
  <c r="X65" i="1"/>
  <c r="X73" i="1" s="1"/>
  <c r="X80" i="1"/>
  <c r="X83" i="1"/>
  <c r="X85" i="1"/>
  <c r="V24" i="29"/>
  <c r="W28" i="29"/>
  <c r="X37" i="29"/>
  <c r="X43" i="29" s="1"/>
  <c r="X42" i="29"/>
  <c r="X66" i="29"/>
  <c r="X69" i="29" s="1"/>
  <c r="X81" i="29"/>
  <c r="X87" i="29"/>
  <c r="X82" i="11"/>
  <c r="X26" i="14" s="1"/>
  <c r="W86" i="11"/>
  <c r="X95" i="11"/>
  <c r="X100" i="11"/>
  <c r="X124" i="11"/>
  <c r="U12" i="3"/>
  <c r="U12" i="29"/>
  <c r="U12" i="5"/>
  <c r="U30" i="27"/>
  <c r="U28" i="29"/>
  <c r="T49" i="10"/>
  <c r="T54" i="3"/>
  <c r="T103" i="11"/>
  <c r="U92" i="14"/>
  <c r="V102" i="14"/>
  <c r="V101" i="14"/>
  <c r="V100" i="14"/>
  <c r="U102" i="14"/>
  <c r="U101" i="14"/>
  <c r="U100" i="14"/>
  <c r="U97" i="14"/>
  <c r="U96" i="14"/>
  <c r="U91" i="14"/>
  <c r="U85" i="14"/>
  <c r="U84" i="14"/>
  <c r="U83" i="14"/>
  <c r="U81" i="14"/>
  <c r="U80" i="14"/>
  <c r="U79" i="14"/>
  <c r="V75" i="14"/>
  <c r="V74" i="14"/>
  <c r="V72" i="14"/>
  <c r="V71" i="14"/>
  <c r="T48" i="24"/>
  <c r="T51" i="16"/>
  <c r="T47" i="17"/>
  <c r="T49" i="18"/>
  <c r="T47" i="19"/>
  <c r="T48" i="23"/>
  <c r="X93" i="10"/>
  <c r="Y95" i="10"/>
  <c r="Y94" i="10"/>
  <c r="Y93" i="10"/>
  <c r="X95" i="10"/>
  <c r="X94" i="10"/>
  <c r="X73" i="10"/>
  <c r="Y30" i="10"/>
  <c r="Y29" i="10"/>
  <c r="Y26" i="10"/>
  <c r="Y25" i="10"/>
  <c r="Y23" i="10"/>
  <c r="Y24" i="10"/>
  <c r="Y16" i="10"/>
  <c r="X12" i="10"/>
  <c r="T49" i="9"/>
  <c r="T46" i="8"/>
  <c r="T51" i="7"/>
  <c r="T49" i="4"/>
  <c r="T47" i="2"/>
  <c r="V124" i="11"/>
  <c r="S80" i="27"/>
  <c r="S70" i="27"/>
  <c r="X90" i="10"/>
  <c r="X89" i="10"/>
  <c r="X88" i="10"/>
  <c r="X87" i="10"/>
  <c r="X85" i="10"/>
  <c r="X84" i="10"/>
  <c r="X83" i="10"/>
  <c r="X81" i="10"/>
  <c r="X80" i="10"/>
  <c r="X78" i="10"/>
  <c r="X77" i="10"/>
  <c r="X76" i="10"/>
  <c r="X75" i="10"/>
  <c r="X74" i="10"/>
  <c r="X72" i="10"/>
  <c r="X71" i="10"/>
  <c r="Y68" i="10"/>
  <c r="Y67" i="10"/>
  <c r="Y65" i="10"/>
  <c r="Y64" i="10"/>
  <c r="U94" i="3"/>
  <c r="U93" i="3"/>
  <c r="U89" i="3"/>
  <c r="U87" i="3"/>
  <c r="U86" i="3"/>
  <c r="U81" i="3"/>
  <c r="U77" i="3"/>
  <c r="S57" i="14"/>
  <c r="T53" i="14"/>
  <c r="S53" i="14"/>
  <c r="T57" i="14"/>
  <c r="X53" i="21"/>
  <c r="Y53" i="21"/>
  <c r="Y51" i="21"/>
  <c r="X51" i="21"/>
  <c r="Y55" i="15"/>
  <c r="X55" i="15"/>
  <c r="Y53" i="15"/>
  <c r="X53" i="15"/>
  <c r="Y57" i="10"/>
  <c r="Y56" i="10"/>
  <c r="T64" i="14"/>
  <c r="T111" i="11"/>
  <c r="T62" i="3"/>
  <c r="Y44" i="10"/>
  <c r="Y39" i="10"/>
  <c r="X16" i="10"/>
  <c r="X14" i="10"/>
  <c r="U13" i="7"/>
  <c r="U14" i="22"/>
  <c r="AB14" i="22" s="1"/>
  <c r="U13" i="6"/>
  <c r="V42" i="14"/>
  <c r="V37" i="19"/>
  <c r="V36" i="19"/>
  <c r="V35" i="19"/>
  <c r="V39" i="23"/>
  <c r="V36" i="13"/>
  <c r="V34" i="13"/>
  <c r="V42" i="3"/>
  <c r="V49" i="3"/>
  <c r="V48" i="3"/>
  <c r="V47" i="3"/>
  <c r="V44" i="3"/>
  <c r="V43" i="3"/>
  <c r="U36" i="32"/>
  <c r="U28" i="31"/>
  <c r="C11" i="14"/>
  <c r="E11" i="14"/>
  <c r="G11" i="14"/>
  <c r="C12" i="14"/>
  <c r="E12" i="14"/>
  <c r="F12" i="14"/>
  <c r="G12" i="14"/>
  <c r="H12" i="14"/>
  <c r="C13" i="14"/>
  <c r="D13" i="14"/>
  <c r="E13" i="14"/>
  <c r="F13" i="14"/>
  <c r="G13" i="14"/>
  <c r="H13" i="14"/>
  <c r="C14" i="14"/>
  <c r="E14" i="14"/>
  <c r="G14" i="14"/>
  <c r="C15" i="14"/>
  <c r="D15" i="14"/>
  <c r="E15" i="14"/>
  <c r="F15" i="14"/>
  <c r="G15" i="14"/>
  <c r="C16" i="14"/>
  <c r="D16" i="14"/>
  <c r="E16" i="14"/>
  <c r="F16" i="14"/>
  <c r="G16" i="14"/>
  <c r="H16" i="14"/>
  <c r="U15" i="32"/>
  <c r="U13" i="13"/>
  <c r="U14" i="6"/>
  <c r="U13" i="1"/>
  <c r="U12" i="32"/>
  <c r="U12" i="13"/>
  <c r="U12" i="17"/>
  <c r="U12" i="18"/>
  <c r="U12" i="20"/>
  <c r="U12" i="22"/>
  <c r="U11" i="9"/>
  <c r="AB11" i="9" s="1"/>
  <c r="U12" i="8"/>
  <c r="U12" i="7"/>
  <c r="U62" i="11"/>
  <c r="AB62" i="11" s="1"/>
  <c r="U32" i="11"/>
  <c r="AB32" i="11" s="1"/>
  <c r="U19" i="32"/>
  <c r="U12" i="1"/>
  <c r="U17" i="32"/>
  <c r="V29" i="15"/>
  <c r="U33" i="15"/>
  <c r="V42" i="15"/>
  <c r="V47" i="15"/>
  <c r="V40" i="21"/>
  <c r="V45" i="21"/>
  <c r="U28" i="13"/>
  <c r="V37" i="13"/>
  <c r="V42" i="13"/>
  <c r="V66" i="13"/>
  <c r="V74" i="13"/>
  <c r="V81" i="13"/>
  <c r="V85" i="13"/>
  <c r="V87" i="13"/>
  <c r="U31" i="10"/>
  <c r="V40" i="10"/>
  <c r="V45" i="10"/>
  <c r="V46" i="10"/>
  <c r="V69" i="10"/>
  <c r="V71" i="10"/>
  <c r="V80" i="10"/>
  <c r="V85" i="10"/>
  <c r="V88" i="10"/>
  <c r="V90" i="10"/>
  <c r="U30" i="23"/>
  <c r="V44" i="23"/>
  <c r="V68" i="23"/>
  <c r="V75" i="23" s="1"/>
  <c r="V88" i="23"/>
  <c r="V84" i="23"/>
  <c r="V86" i="23"/>
  <c r="U35" i="22"/>
  <c r="V44" i="22"/>
  <c r="V49" i="22"/>
  <c r="V72" i="22"/>
  <c r="V80" i="22" s="1"/>
  <c r="U27" i="20"/>
  <c r="V36" i="20"/>
  <c r="V41" i="20"/>
  <c r="V65" i="20"/>
  <c r="V80" i="20"/>
  <c r="V84" i="20"/>
  <c r="V86" i="20"/>
  <c r="U29" i="19"/>
  <c r="V38" i="19"/>
  <c r="V43" i="19"/>
  <c r="V68" i="19"/>
  <c r="U31" i="18"/>
  <c r="V40" i="18"/>
  <c r="V45" i="18"/>
  <c r="V69" i="18"/>
  <c r="V71" i="18"/>
  <c r="V81" i="18"/>
  <c r="V85" i="18"/>
  <c r="V87" i="18"/>
  <c r="V88" i="18"/>
  <c r="V90" i="18"/>
  <c r="U29" i="17"/>
  <c r="V38" i="17"/>
  <c r="V43" i="17"/>
  <c r="V67" i="17"/>
  <c r="V69" i="17"/>
  <c r="U33" i="16"/>
  <c r="V42" i="16"/>
  <c r="V47" i="16"/>
  <c r="V48" i="16"/>
  <c r="V72" i="16"/>
  <c r="V91" i="16" s="1"/>
  <c r="V74" i="16"/>
  <c r="U30" i="24"/>
  <c r="V39" i="24"/>
  <c r="V44" i="24"/>
  <c r="V69" i="24"/>
  <c r="U31" i="9"/>
  <c r="V40" i="9"/>
  <c r="V69" i="9"/>
  <c r="V83" i="9" s="1"/>
  <c r="V72" i="9"/>
  <c r="U28" i="8"/>
  <c r="V37" i="8"/>
  <c r="V42" i="8"/>
  <c r="V43" i="8"/>
  <c r="V66" i="8"/>
  <c r="U33" i="7"/>
  <c r="V42" i="7"/>
  <c r="V47" i="7"/>
  <c r="V71" i="7"/>
  <c r="V73" i="7"/>
  <c r="U29" i="6"/>
  <c r="V38" i="6"/>
  <c r="V43" i="6"/>
  <c r="V67" i="6"/>
  <c r="U31" i="5"/>
  <c r="V40" i="5"/>
  <c r="V45" i="5"/>
  <c r="V69" i="5"/>
  <c r="V80" i="5"/>
  <c r="V85" i="5"/>
  <c r="V89" i="5"/>
  <c r="U31" i="4"/>
  <c r="V40" i="4"/>
  <c r="V45" i="4"/>
  <c r="V46" i="4" s="1"/>
  <c r="V69" i="4"/>
  <c r="V88" i="4"/>
  <c r="U36" i="3"/>
  <c r="V45" i="3"/>
  <c r="V50" i="3"/>
  <c r="V51" i="3"/>
  <c r="V75" i="3"/>
  <c r="V96" i="3"/>
  <c r="U29" i="2"/>
  <c r="V38" i="2"/>
  <c r="V43" i="2"/>
  <c r="V44" i="2"/>
  <c r="V68" i="2"/>
  <c r="V86" i="2"/>
  <c r="U27" i="1"/>
  <c r="V36" i="1"/>
  <c r="V41" i="1"/>
  <c r="V65" i="1"/>
  <c r="V69" i="1" s="1"/>
  <c r="V37" i="29"/>
  <c r="V42" i="29"/>
  <c r="V66" i="29"/>
  <c r="V77" i="29"/>
  <c r="V84" i="29"/>
  <c r="V82" i="11"/>
  <c r="U86" i="11"/>
  <c r="V95" i="11"/>
  <c r="V100" i="11"/>
  <c r="V37" i="31"/>
  <c r="V42" i="31"/>
  <c r="V67" i="31"/>
  <c r="V69" i="31" s="1"/>
  <c r="V71" i="31"/>
  <c r="V76" i="31"/>
  <c r="V82" i="31"/>
  <c r="V87" i="31"/>
  <c r="V45" i="32"/>
  <c r="V50" i="32"/>
  <c r="V74" i="32"/>
  <c r="V76" i="32"/>
  <c r="V92" i="32"/>
  <c r="V39" i="27"/>
  <c r="V44" i="27"/>
  <c r="V68" i="27"/>
  <c r="T25" i="14"/>
  <c r="T24" i="14"/>
  <c r="U30" i="14"/>
  <c r="R22" i="31"/>
  <c r="R21" i="31"/>
  <c r="R20" i="31"/>
  <c r="T30" i="32"/>
  <c r="T29" i="32"/>
  <c r="T28" i="32"/>
  <c r="T22" i="31"/>
  <c r="T21" i="31"/>
  <c r="T20" i="31"/>
  <c r="P30" i="32"/>
  <c r="P29" i="32"/>
  <c r="P28" i="32"/>
  <c r="N30" i="32"/>
  <c r="N29" i="32"/>
  <c r="N28" i="32"/>
  <c r="L30" i="32"/>
  <c r="L29" i="32"/>
  <c r="L28" i="32"/>
  <c r="J30" i="32"/>
  <c r="J29" i="32"/>
  <c r="J28" i="32"/>
  <c r="H30" i="32"/>
  <c r="H29" i="32"/>
  <c r="H28" i="32"/>
  <c r="F30" i="32"/>
  <c r="F29" i="32"/>
  <c r="F28" i="32"/>
  <c r="D30" i="32"/>
  <c r="D29" i="32"/>
  <c r="D28" i="32"/>
  <c r="E19" i="32"/>
  <c r="H19" i="32"/>
  <c r="J19" i="32"/>
  <c r="L19" i="32"/>
  <c r="M19" i="32"/>
  <c r="T15" i="14"/>
  <c r="T14" i="14"/>
  <c r="T13" i="14"/>
  <c r="T12" i="14"/>
  <c r="T10" i="14"/>
  <c r="T9" i="14"/>
  <c r="Y17" i="21"/>
  <c r="Y15" i="21"/>
  <c r="Y13" i="21"/>
  <c r="Y13" i="10"/>
  <c r="Y19" i="15"/>
  <c r="Y18" i="15"/>
  <c r="Y17" i="15"/>
  <c r="Y14" i="15"/>
  <c r="Y13" i="15"/>
  <c r="B119" i="32"/>
  <c r="C117" i="32"/>
  <c r="C115" i="32"/>
  <c r="C113" i="32"/>
  <c r="C108" i="32"/>
  <c r="H94" i="32"/>
  <c r="H93" i="32"/>
  <c r="H92" i="32"/>
  <c r="H90" i="32"/>
  <c r="H89" i="32"/>
  <c r="H88" i="32"/>
  <c r="H86" i="32"/>
  <c r="H85" i="32"/>
  <c r="H83" i="32"/>
  <c r="H81" i="32"/>
  <c r="H80" i="32"/>
  <c r="H79" i="32"/>
  <c r="H78" i="32"/>
  <c r="H77" i="32"/>
  <c r="H76" i="32"/>
  <c r="T74" i="32"/>
  <c r="R74" i="32"/>
  <c r="P74" i="32"/>
  <c r="N74" i="32"/>
  <c r="L74" i="32"/>
  <c r="J74" i="32"/>
  <c r="F74" i="32"/>
  <c r="D74" i="32"/>
  <c r="T50" i="32"/>
  <c r="R50" i="32"/>
  <c r="P50" i="32"/>
  <c r="N50" i="32"/>
  <c r="L50" i="32"/>
  <c r="J50" i="32"/>
  <c r="H50" i="32"/>
  <c r="F50" i="32"/>
  <c r="D50" i="32"/>
  <c r="T45" i="32"/>
  <c r="T51" i="32" s="1"/>
  <c r="R45" i="32"/>
  <c r="R51" i="32" s="1"/>
  <c r="P45" i="32"/>
  <c r="P51" i="32"/>
  <c r="N45" i="32"/>
  <c r="L45" i="32"/>
  <c r="L51" i="32" s="1"/>
  <c r="J45" i="32"/>
  <c r="J51" i="32" s="1"/>
  <c r="H45" i="32"/>
  <c r="H51" i="32"/>
  <c r="F45" i="32"/>
  <c r="D45" i="32"/>
  <c r="D51" i="32" s="1"/>
  <c r="T32" i="32"/>
  <c r="P32" i="32"/>
  <c r="N32" i="32"/>
  <c r="L32" i="32"/>
  <c r="J32" i="32"/>
  <c r="H32" i="32"/>
  <c r="F32" i="32"/>
  <c r="D32" i="32"/>
  <c r="M17" i="32"/>
  <c r="I17" i="32"/>
  <c r="E17" i="32"/>
  <c r="Q13" i="32"/>
  <c r="Q12" i="32"/>
  <c r="L12" i="32"/>
  <c r="J12" i="32"/>
  <c r="I12" i="32"/>
  <c r="F12" i="32"/>
  <c r="D12" i="32"/>
  <c r="A1" i="32"/>
  <c r="B112" i="31"/>
  <c r="H88" i="31"/>
  <c r="H87" i="31"/>
  <c r="H86" i="31"/>
  <c r="H85" i="31"/>
  <c r="H83" i="31"/>
  <c r="H82" i="31"/>
  <c r="H81" i="31"/>
  <c r="H79" i="31"/>
  <c r="H78" i="31"/>
  <c r="H76" i="31"/>
  <c r="H74" i="31"/>
  <c r="H73" i="31"/>
  <c r="H72" i="31"/>
  <c r="H71" i="31"/>
  <c r="H70" i="31"/>
  <c r="H69" i="31"/>
  <c r="T67" i="31"/>
  <c r="R67" i="31"/>
  <c r="P67" i="31"/>
  <c r="N67" i="31"/>
  <c r="L67" i="31"/>
  <c r="J67" i="31"/>
  <c r="F67" i="31"/>
  <c r="F85" i="31" s="1"/>
  <c r="D67" i="31"/>
  <c r="T42" i="31"/>
  <c r="R42" i="31"/>
  <c r="P42" i="31"/>
  <c r="N42" i="31"/>
  <c r="L42" i="31"/>
  <c r="J42" i="31"/>
  <c r="H42" i="31"/>
  <c r="F42" i="31"/>
  <c r="D42" i="31"/>
  <c r="T37" i="31"/>
  <c r="R37" i="31"/>
  <c r="R43" i="31"/>
  <c r="P37" i="31"/>
  <c r="P43" i="31" s="1"/>
  <c r="N37" i="31"/>
  <c r="N43" i="31" s="1"/>
  <c r="L37" i="31"/>
  <c r="J37" i="31"/>
  <c r="J43" i="31" s="1"/>
  <c r="H37" i="31"/>
  <c r="F37" i="31"/>
  <c r="F43" i="31" s="1"/>
  <c r="D37" i="31"/>
  <c r="P24" i="31"/>
  <c r="L24" i="31"/>
  <c r="J24" i="31"/>
  <c r="H24" i="31"/>
  <c r="D24" i="31"/>
  <c r="H14" i="31"/>
  <c r="P12" i="31"/>
  <c r="M12" i="31"/>
  <c r="L12" i="31"/>
  <c r="I12" i="31"/>
  <c r="F12" i="31"/>
  <c r="E12" i="31"/>
  <c r="A1" i="31"/>
  <c r="Y95" i="21"/>
  <c r="X95" i="21"/>
  <c r="Y94" i="21"/>
  <c r="X94" i="21"/>
  <c r="Y93" i="21"/>
  <c r="X93" i="21"/>
  <c r="Y68" i="21"/>
  <c r="Y67" i="21"/>
  <c r="Y65" i="21"/>
  <c r="Y64" i="21"/>
  <c r="Y39" i="21"/>
  <c r="Y37" i="21"/>
  <c r="Y26" i="21"/>
  <c r="Y25" i="21"/>
  <c r="Y24" i="21"/>
  <c r="Y23" i="21"/>
  <c r="Y98" i="15"/>
  <c r="X98" i="15"/>
  <c r="Y97" i="15"/>
  <c r="X97" i="15"/>
  <c r="Y96" i="15"/>
  <c r="X96" i="15"/>
  <c r="X93" i="15"/>
  <c r="Y71" i="15"/>
  <c r="Y70" i="15"/>
  <c r="Y68" i="15"/>
  <c r="Y67" i="15"/>
  <c r="Y58" i="15"/>
  <c r="Y41" i="15"/>
  <c r="Y40" i="15"/>
  <c r="Y39" i="15"/>
  <c r="Y33" i="15"/>
  <c r="Y32" i="15"/>
  <c r="Y31" i="15"/>
  <c r="Y28" i="15"/>
  <c r="AC26" i="2"/>
  <c r="AC24" i="1"/>
  <c r="T23" i="14"/>
  <c r="T22" i="14"/>
  <c r="T75" i="14"/>
  <c r="T74" i="14"/>
  <c r="T102" i="14"/>
  <c r="S102" i="14"/>
  <c r="T101" i="14"/>
  <c r="S101" i="14"/>
  <c r="T100" i="14"/>
  <c r="S100" i="14"/>
  <c r="S87" i="24"/>
  <c r="S85" i="24"/>
  <c r="S83" i="24"/>
  <c r="S80" i="24"/>
  <c r="S71" i="24"/>
  <c r="S90" i="24"/>
  <c r="S89" i="24"/>
  <c r="S88" i="24"/>
  <c r="S84" i="24"/>
  <c r="S81" i="24"/>
  <c r="S78" i="24"/>
  <c r="S77" i="24"/>
  <c r="S76" i="24"/>
  <c r="S75" i="24"/>
  <c r="S74" i="24"/>
  <c r="S73" i="24"/>
  <c r="S72" i="24"/>
  <c r="S87" i="27"/>
  <c r="S86" i="27"/>
  <c r="S84" i="27"/>
  <c r="S83" i="27"/>
  <c r="S82" i="27"/>
  <c r="S74" i="27"/>
  <c r="S72" i="27"/>
  <c r="S71" i="27"/>
  <c r="S88" i="27"/>
  <c r="S79" i="27"/>
  <c r="S77" i="27"/>
  <c r="S76" i="27"/>
  <c r="S75" i="27"/>
  <c r="S73" i="27"/>
  <c r="S91" i="16"/>
  <c r="S90" i="16"/>
  <c r="S88" i="16"/>
  <c r="S87" i="16"/>
  <c r="S86" i="16"/>
  <c r="S84" i="16"/>
  <c r="S83" i="16"/>
  <c r="S81" i="16"/>
  <c r="S80" i="16"/>
  <c r="S79" i="16"/>
  <c r="S78" i="16"/>
  <c r="S77" i="16"/>
  <c r="S76" i="16"/>
  <c r="S75" i="16"/>
  <c r="S74" i="16"/>
  <c r="S93" i="16"/>
  <c r="S92" i="16"/>
  <c r="T69" i="24"/>
  <c r="T83" i="24" s="1"/>
  <c r="T84" i="24"/>
  <c r="T81" i="24"/>
  <c r="T74" i="24"/>
  <c r="T72" i="24"/>
  <c r="T72" i="16"/>
  <c r="T91" i="16" s="1"/>
  <c r="T92" i="16"/>
  <c r="T90" i="16"/>
  <c r="T79" i="16"/>
  <c r="T75" i="16"/>
  <c r="S86" i="17"/>
  <c r="S85" i="17"/>
  <c r="S83" i="17"/>
  <c r="T67" i="17"/>
  <c r="T83" i="17"/>
  <c r="S82" i="17"/>
  <c r="S81" i="17"/>
  <c r="S79" i="17"/>
  <c r="S78" i="17"/>
  <c r="S76" i="17"/>
  <c r="S75" i="17"/>
  <c r="S74" i="17"/>
  <c r="T74" i="17"/>
  <c r="S73" i="17"/>
  <c r="S72" i="17"/>
  <c r="S71" i="17"/>
  <c r="T71" i="17"/>
  <c r="S70" i="17"/>
  <c r="S69" i="17"/>
  <c r="T88" i="17"/>
  <c r="T87" i="17"/>
  <c r="T85" i="17"/>
  <c r="T82" i="17"/>
  <c r="T72" i="17"/>
  <c r="T70" i="17"/>
  <c r="S78" i="18"/>
  <c r="S77" i="18"/>
  <c r="T69" i="18"/>
  <c r="T77" i="18" s="1"/>
  <c r="S76" i="18"/>
  <c r="S75" i="18"/>
  <c r="S74" i="18"/>
  <c r="S73" i="18"/>
  <c r="S72" i="18"/>
  <c r="S71" i="18"/>
  <c r="T89" i="18"/>
  <c r="T87" i="18"/>
  <c r="T84" i="18"/>
  <c r="T81" i="18"/>
  <c r="T76" i="18"/>
  <c r="S89" i="19"/>
  <c r="S88" i="19"/>
  <c r="S87" i="19"/>
  <c r="S86" i="19"/>
  <c r="S84" i="19"/>
  <c r="S83" i="19"/>
  <c r="S82" i="19"/>
  <c r="S80" i="19"/>
  <c r="S79" i="19"/>
  <c r="S76" i="19"/>
  <c r="S75" i="19"/>
  <c r="S74" i="19"/>
  <c r="S73" i="19"/>
  <c r="S72" i="19"/>
  <c r="S71" i="19"/>
  <c r="S70" i="19"/>
  <c r="S86" i="20"/>
  <c r="S85" i="20"/>
  <c r="S84" i="20"/>
  <c r="S83" i="20"/>
  <c r="S81" i="20"/>
  <c r="S80" i="20"/>
  <c r="S79" i="20"/>
  <c r="S77" i="20"/>
  <c r="S76" i="20"/>
  <c r="S74" i="20"/>
  <c r="S73" i="20"/>
  <c r="S72" i="20"/>
  <c r="S71" i="20"/>
  <c r="S70" i="20"/>
  <c r="S69" i="20"/>
  <c r="S68" i="20"/>
  <c r="S67" i="20"/>
  <c r="S90" i="21"/>
  <c r="X90" i="21" s="1"/>
  <c r="S89" i="21"/>
  <c r="X89" i="21" s="1"/>
  <c r="S88" i="21"/>
  <c r="S87" i="21"/>
  <c r="S85" i="21"/>
  <c r="S84" i="21"/>
  <c r="X84" i="21" s="1"/>
  <c r="S83" i="21"/>
  <c r="X83" i="21" s="1"/>
  <c r="S81" i="21"/>
  <c r="S80" i="21"/>
  <c r="S78" i="21"/>
  <c r="X78" i="21" s="1"/>
  <c r="S77" i="21"/>
  <c r="X77" i="21" s="1"/>
  <c r="S76" i="21"/>
  <c r="X76" i="21" s="1"/>
  <c r="S75" i="21"/>
  <c r="X75" i="21" s="1"/>
  <c r="S74" i="21"/>
  <c r="X74" i="21" s="1"/>
  <c r="S73" i="21"/>
  <c r="X73" i="21" s="1"/>
  <c r="S72" i="21"/>
  <c r="X72" i="21" s="1"/>
  <c r="S71" i="21"/>
  <c r="S92" i="22"/>
  <c r="S91" i="22"/>
  <c r="S90" i="22"/>
  <c r="S88" i="22"/>
  <c r="S87" i="22"/>
  <c r="S86" i="22"/>
  <c r="S84" i="22"/>
  <c r="S83" i="22"/>
  <c r="S81" i="22"/>
  <c r="S80" i="22"/>
  <c r="S79" i="22"/>
  <c r="S78" i="22"/>
  <c r="S77" i="22"/>
  <c r="S76" i="22"/>
  <c r="S75" i="22"/>
  <c r="S74" i="22"/>
  <c r="S87" i="23"/>
  <c r="S86" i="23"/>
  <c r="S84" i="23"/>
  <c r="S83" i="23"/>
  <c r="S82" i="23"/>
  <c r="S80" i="23"/>
  <c r="S79" i="23"/>
  <c r="S77" i="23"/>
  <c r="S76" i="23"/>
  <c r="S75" i="23"/>
  <c r="S74" i="23"/>
  <c r="S73" i="23"/>
  <c r="S72" i="23"/>
  <c r="S71" i="23"/>
  <c r="S70" i="23"/>
  <c r="S90" i="9"/>
  <c r="S89" i="9"/>
  <c r="S88" i="9"/>
  <c r="S87" i="9"/>
  <c r="S85" i="9"/>
  <c r="S84" i="9"/>
  <c r="S83" i="9"/>
  <c r="S81" i="9"/>
  <c r="S80" i="9"/>
  <c r="S78" i="9"/>
  <c r="S77" i="9"/>
  <c r="S76" i="9"/>
  <c r="S75" i="9"/>
  <c r="S74" i="9"/>
  <c r="S73" i="9"/>
  <c r="S72" i="9"/>
  <c r="S71" i="9"/>
  <c r="T65" i="9"/>
  <c r="T64" i="9"/>
  <c r="AC64" i="9" s="1"/>
  <c r="T71" i="14"/>
  <c r="S87" i="8"/>
  <c r="S86" i="8"/>
  <c r="S85" i="8"/>
  <c r="S84" i="8"/>
  <c r="S82" i="8"/>
  <c r="S81" i="8"/>
  <c r="S80" i="8"/>
  <c r="S78" i="8"/>
  <c r="S77" i="8"/>
  <c r="S75" i="8"/>
  <c r="S74" i="8"/>
  <c r="S73" i="8"/>
  <c r="S72" i="8"/>
  <c r="S71" i="8"/>
  <c r="S70" i="8"/>
  <c r="S69" i="8"/>
  <c r="S68" i="8"/>
  <c r="S92" i="7"/>
  <c r="S91" i="7"/>
  <c r="S90" i="7"/>
  <c r="S89" i="7"/>
  <c r="S87" i="7"/>
  <c r="S86" i="7"/>
  <c r="S85" i="7"/>
  <c r="S83" i="7"/>
  <c r="S82" i="7"/>
  <c r="S80" i="7"/>
  <c r="S79" i="7"/>
  <c r="S78" i="7"/>
  <c r="S77" i="7"/>
  <c r="S76" i="7"/>
  <c r="S75" i="7"/>
  <c r="S74" i="7"/>
  <c r="S73" i="7"/>
  <c r="S88" i="6"/>
  <c r="S87" i="6"/>
  <c r="S86" i="6"/>
  <c r="S85" i="6"/>
  <c r="S83" i="6"/>
  <c r="S82" i="6"/>
  <c r="S81" i="6"/>
  <c r="S79" i="6"/>
  <c r="S78" i="6"/>
  <c r="S76" i="6"/>
  <c r="S75" i="6"/>
  <c r="S74" i="6"/>
  <c r="S73" i="6"/>
  <c r="S71" i="6"/>
  <c r="S70" i="6"/>
  <c r="S69" i="6"/>
  <c r="S90" i="5"/>
  <c r="S89" i="5"/>
  <c r="S88" i="5"/>
  <c r="S87" i="5"/>
  <c r="S85" i="5"/>
  <c r="S84" i="5"/>
  <c r="S83" i="5"/>
  <c r="S81" i="5"/>
  <c r="S80" i="5"/>
  <c r="S78" i="5"/>
  <c r="S77" i="5"/>
  <c r="S76" i="5"/>
  <c r="S75" i="5"/>
  <c r="S74" i="5"/>
  <c r="S73" i="5"/>
  <c r="S72" i="5"/>
  <c r="S71" i="5"/>
  <c r="S92" i="15"/>
  <c r="S91" i="15"/>
  <c r="S90" i="15"/>
  <c r="X90" i="15" s="1"/>
  <c r="S88" i="15"/>
  <c r="S87" i="15"/>
  <c r="X87" i="15" s="1"/>
  <c r="S86" i="15"/>
  <c r="X86" i="15" s="1"/>
  <c r="S84" i="15"/>
  <c r="S83" i="15"/>
  <c r="S81" i="15"/>
  <c r="X81" i="15" s="1"/>
  <c r="S80" i="15"/>
  <c r="X80" i="15" s="1"/>
  <c r="S79" i="15"/>
  <c r="X79" i="15" s="1"/>
  <c r="S78" i="15"/>
  <c r="X78" i="15" s="1"/>
  <c r="S77" i="15"/>
  <c r="X77" i="15" s="1"/>
  <c r="S76" i="15"/>
  <c r="X76" i="15" s="1"/>
  <c r="S75" i="15"/>
  <c r="X75" i="15" s="1"/>
  <c r="S74" i="15"/>
  <c r="S89" i="4"/>
  <c r="S88" i="4"/>
  <c r="S87" i="4"/>
  <c r="S85" i="4"/>
  <c r="S84" i="4"/>
  <c r="S83" i="4"/>
  <c r="S81" i="4"/>
  <c r="S80" i="4"/>
  <c r="S78" i="4"/>
  <c r="S77" i="4"/>
  <c r="S76" i="4"/>
  <c r="S75" i="4"/>
  <c r="S74" i="4"/>
  <c r="S73" i="4"/>
  <c r="S72" i="4"/>
  <c r="S71" i="4"/>
  <c r="S94" i="3"/>
  <c r="S93" i="3"/>
  <c r="S91" i="3"/>
  <c r="S89" i="3"/>
  <c r="S90" i="3"/>
  <c r="S87" i="3"/>
  <c r="S86" i="3"/>
  <c r="S84" i="3"/>
  <c r="S83" i="3"/>
  <c r="S82" i="3"/>
  <c r="S81" i="3"/>
  <c r="S80" i="3"/>
  <c r="S79" i="3"/>
  <c r="S78" i="3"/>
  <c r="S77" i="3"/>
  <c r="S86" i="2"/>
  <c r="S82" i="2"/>
  <c r="S70" i="2"/>
  <c r="S79" i="2"/>
  <c r="S77" i="2"/>
  <c r="S76" i="2"/>
  <c r="S75" i="2"/>
  <c r="S74" i="2"/>
  <c r="S73" i="2"/>
  <c r="S72" i="2"/>
  <c r="S71" i="2"/>
  <c r="S89" i="2"/>
  <c r="S88" i="2"/>
  <c r="S87" i="2"/>
  <c r="S84" i="2"/>
  <c r="S83" i="2"/>
  <c r="S80" i="2"/>
  <c r="S71" i="1"/>
  <c r="S67" i="1"/>
  <c r="S84" i="1"/>
  <c r="S83" i="1"/>
  <c r="S81" i="1"/>
  <c r="S79" i="1"/>
  <c r="S77" i="1"/>
  <c r="S76" i="1"/>
  <c r="T145" i="11"/>
  <c r="T144" i="11"/>
  <c r="T143" i="11"/>
  <c r="T142" i="11"/>
  <c r="T140" i="11"/>
  <c r="T139" i="11"/>
  <c r="T138" i="11"/>
  <c r="T136" i="11"/>
  <c r="T133" i="11"/>
  <c r="T132" i="11"/>
  <c r="T131" i="11"/>
  <c r="T130" i="11"/>
  <c r="T129" i="11"/>
  <c r="T127" i="11"/>
  <c r="T126" i="11"/>
  <c r="Q59" i="14"/>
  <c r="Q57" i="14" s="1"/>
  <c r="Q55" i="14"/>
  <c r="Q53" i="14" s="1"/>
  <c r="S12" i="14"/>
  <c r="R111" i="11"/>
  <c r="R108" i="11"/>
  <c r="AC108" i="11" s="1"/>
  <c r="R106" i="11"/>
  <c r="R103" i="11"/>
  <c r="R47" i="27"/>
  <c r="T94" i="11"/>
  <c r="AC94" i="11" s="1"/>
  <c r="T92" i="11"/>
  <c r="T28" i="27"/>
  <c r="AC28" i="27" s="1"/>
  <c r="T26" i="27"/>
  <c r="T39" i="27"/>
  <c r="T45" i="27" s="1"/>
  <c r="T44" i="27"/>
  <c r="T68" i="27"/>
  <c r="T77" i="27"/>
  <c r="T88" i="27"/>
  <c r="T26" i="29"/>
  <c r="R45" i="29"/>
  <c r="T24" i="29"/>
  <c r="T37" i="29"/>
  <c r="T43" i="29" s="1"/>
  <c r="T42" i="29"/>
  <c r="T66" i="29"/>
  <c r="T87" i="29" s="1"/>
  <c r="S66" i="11"/>
  <c r="AB66" i="11" s="1"/>
  <c r="R43" i="14"/>
  <c r="R42" i="14"/>
  <c r="R41" i="14"/>
  <c r="P43" i="14"/>
  <c r="P42" i="14"/>
  <c r="P41" i="14"/>
  <c r="N43" i="14"/>
  <c r="N42" i="14"/>
  <c r="L42" i="14"/>
  <c r="L41" i="14"/>
  <c r="J42" i="14"/>
  <c r="J41" i="14"/>
  <c r="R92" i="11"/>
  <c r="P94" i="11"/>
  <c r="P38" i="14" s="1"/>
  <c r="P92" i="11"/>
  <c r="N94" i="11"/>
  <c r="N92" i="11"/>
  <c r="N95" i="11" s="1"/>
  <c r="N101" i="11" s="1"/>
  <c r="L99" i="11"/>
  <c r="L100" i="11" s="1"/>
  <c r="L92" i="11"/>
  <c r="L36" i="14" s="1"/>
  <c r="J99" i="11"/>
  <c r="J100" i="11" s="1"/>
  <c r="J94" i="11"/>
  <c r="J92" i="11"/>
  <c r="T37" i="19"/>
  <c r="T36" i="19"/>
  <c r="T35" i="19"/>
  <c r="T36" i="13"/>
  <c r="T40" i="9"/>
  <c r="T46" i="9" s="1"/>
  <c r="T43" i="14"/>
  <c r="T42" i="14"/>
  <c r="T41" i="14"/>
  <c r="T37" i="14"/>
  <c r="T42" i="3"/>
  <c r="S30" i="14"/>
  <c r="S30" i="24"/>
  <c r="S33" i="16"/>
  <c r="S29" i="17"/>
  <c r="S31" i="18"/>
  <c r="S29" i="19"/>
  <c r="S27" i="20"/>
  <c r="S31" i="21"/>
  <c r="Y30" i="21"/>
  <c r="Y29" i="21"/>
  <c r="S35" i="22"/>
  <c r="S30" i="23"/>
  <c r="S31" i="10"/>
  <c r="S28" i="13"/>
  <c r="S31" i="9"/>
  <c r="S28" i="8"/>
  <c r="S33" i="7"/>
  <c r="S29" i="6"/>
  <c r="S31" i="5"/>
  <c r="S33" i="15"/>
  <c r="S31" i="4"/>
  <c r="S36" i="3"/>
  <c r="S29" i="2"/>
  <c r="S27" i="1"/>
  <c r="S86" i="11"/>
  <c r="S11" i="14"/>
  <c r="S9" i="14"/>
  <c r="S13" i="14"/>
  <c r="S14" i="14"/>
  <c r="S15" i="14"/>
  <c r="T26" i="24"/>
  <c r="T39" i="24"/>
  <c r="T44" i="24"/>
  <c r="T45" i="24" s="1"/>
  <c r="T29" i="16"/>
  <c r="T42" i="16"/>
  <c r="T47" i="16"/>
  <c r="T25" i="17"/>
  <c r="T38" i="17"/>
  <c r="T43" i="17"/>
  <c r="T44" i="17" s="1"/>
  <c r="T27" i="18"/>
  <c r="T40" i="18"/>
  <c r="T45" i="18"/>
  <c r="T25" i="19"/>
  <c r="T38" i="19"/>
  <c r="T43" i="19"/>
  <c r="T44" i="19" s="1"/>
  <c r="T68" i="19"/>
  <c r="T76" i="19" s="1"/>
  <c r="T23" i="20"/>
  <c r="T36" i="20"/>
  <c r="T41" i="20"/>
  <c r="T65" i="20"/>
  <c r="X15" i="21"/>
  <c r="T27" i="21"/>
  <c r="T40" i="21"/>
  <c r="T45" i="21"/>
  <c r="T46" i="21"/>
  <c r="T69" i="21"/>
  <c r="T31" i="22"/>
  <c r="T44" i="22"/>
  <c r="T49" i="22"/>
  <c r="T72" i="22"/>
  <c r="T26" i="23"/>
  <c r="T39" i="23"/>
  <c r="T44" i="23"/>
  <c r="T68" i="23"/>
  <c r="T88" i="23" s="1"/>
  <c r="T27" i="10"/>
  <c r="T40" i="10"/>
  <c r="T46" i="10" s="1"/>
  <c r="T45" i="10"/>
  <c r="T69" i="10"/>
  <c r="T24" i="13"/>
  <c r="T37" i="13"/>
  <c r="T42" i="13"/>
  <c r="T43" i="13"/>
  <c r="T66" i="13"/>
  <c r="T86" i="13" s="1"/>
  <c r="T27" i="9"/>
  <c r="T24" i="8"/>
  <c r="T37" i="8"/>
  <c r="T42" i="8"/>
  <c r="T66" i="8"/>
  <c r="T29" i="7"/>
  <c r="T42" i="7"/>
  <c r="T48" i="7" s="1"/>
  <c r="T47" i="7"/>
  <c r="T71" i="7"/>
  <c r="T25" i="6"/>
  <c r="T38" i="6"/>
  <c r="T44" i="6" s="1"/>
  <c r="T43" i="6"/>
  <c r="T67" i="6"/>
  <c r="T27" i="5"/>
  <c r="T40" i="5"/>
  <c r="T46" i="5" s="1"/>
  <c r="T45" i="5"/>
  <c r="T69" i="5"/>
  <c r="T89" i="5" s="1"/>
  <c r="X19" i="15"/>
  <c r="X18" i="15"/>
  <c r="X17" i="15"/>
  <c r="X14" i="15"/>
  <c r="X13" i="15"/>
  <c r="T29" i="15"/>
  <c r="T42" i="15"/>
  <c r="T47" i="15"/>
  <c r="T72" i="15"/>
  <c r="T27" i="4"/>
  <c r="T40" i="4"/>
  <c r="T45" i="4"/>
  <c r="T46" i="4"/>
  <c r="T69" i="4"/>
  <c r="T89" i="4"/>
  <c r="T32" i="3"/>
  <c r="T45" i="3"/>
  <c r="T51" i="3" s="1"/>
  <c r="T50" i="3"/>
  <c r="T75" i="3"/>
  <c r="T95" i="3" s="1"/>
  <c r="T25" i="2"/>
  <c r="T38" i="2"/>
  <c r="T43" i="2"/>
  <c r="T44" i="2"/>
  <c r="T68" i="2"/>
  <c r="T23" i="1"/>
  <c r="T36" i="1"/>
  <c r="T41" i="1"/>
  <c r="T42" i="1" s="1"/>
  <c r="T65" i="1"/>
  <c r="T82" i="11"/>
  <c r="T95" i="11"/>
  <c r="T101" i="11" s="1"/>
  <c r="T100" i="11"/>
  <c r="R46" i="19"/>
  <c r="R47" i="19"/>
  <c r="R54" i="3"/>
  <c r="L47" i="19"/>
  <c r="R48" i="24"/>
  <c r="R51" i="16"/>
  <c r="R47" i="17"/>
  <c r="R49" i="9"/>
  <c r="R49" i="4"/>
  <c r="R47" i="2"/>
  <c r="R49" i="18"/>
  <c r="R104" i="11"/>
  <c r="Y49" i="21"/>
  <c r="R63" i="3"/>
  <c r="R64" i="14"/>
  <c r="Y57" i="21"/>
  <c r="Y56" i="21"/>
  <c r="R62" i="3"/>
  <c r="R63" i="14"/>
  <c r="R12" i="10"/>
  <c r="R10" i="14" s="1"/>
  <c r="R15" i="14"/>
  <c r="R14" i="14"/>
  <c r="I109" i="27"/>
  <c r="I106" i="27"/>
  <c r="I111" i="27"/>
  <c r="I102" i="27"/>
  <c r="I112" i="27" s="1"/>
  <c r="J115" i="14"/>
  <c r="J114" i="14"/>
  <c r="J113" i="14"/>
  <c r="I113" i="14"/>
  <c r="J112" i="14"/>
  <c r="I112" i="14"/>
  <c r="J110" i="14"/>
  <c r="I107" i="14"/>
  <c r="J107" i="14"/>
  <c r="I108" i="14"/>
  <c r="J108" i="14"/>
  <c r="J109" i="14"/>
  <c r="I105" i="14"/>
  <c r="P165" i="11"/>
  <c r="J168" i="11"/>
  <c r="J167" i="11"/>
  <c r="J165" i="11"/>
  <c r="I165" i="11"/>
  <c r="I162" i="11"/>
  <c r="I157" i="11"/>
  <c r="I109" i="14" s="1"/>
  <c r="J110" i="29"/>
  <c r="J109" i="29"/>
  <c r="J119" i="14" s="1"/>
  <c r="I109" i="29"/>
  <c r="J107" i="29"/>
  <c r="I107" i="29"/>
  <c r="P107" i="29"/>
  <c r="I105" i="29"/>
  <c r="I110" i="29"/>
  <c r="I100" i="29"/>
  <c r="R25" i="14"/>
  <c r="L79" i="11"/>
  <c r="L78" i="11"/>
  <c r="R78" i="11"/>
  <c r="R22" i="14"/>
  <c r="R80" i="11"/>
  <c r="AC80" i="11" s="1"/>
  <c r="R79" i="11"/>
  <c r="P48" i="24"/>
  <c r="P51" i="16"/>
  <c r="P47" i="17"/>
  <c r="P47" i="19"/>
  <c r="P48" i="23"/>
  <c r="P49" i="10"/>
  <c r="P49" i="9"/>
  <c r="P51" i="14" s="1"/>
  <c r="P51" i="7"/>
  <c r="P49" i="4"/>
  <c r="P54" i="3"/>
  <c r="P47" i="2"/>
  <c r="P104" i="11"/>
  <c r="Y59" i="15"/>
  <c r="P62" i="3"/>
  <c r="P63" i="14" s="1"/>
  <c r="P63" i="3"/>
  <c r="C9" i="14"/>
  <c r="D9" i="14"/>
  <c r="E9" i="14"/>
  <c r="F9" i="14"/>
  <c r="G9" i="14"/>
  <c r="I9" i="14"/>
  <c r="J9" i="14"/>
  <c r="K9" i="14"/>
  <c r="L9" i="14"/>
  <c r="M9" i="14"/>
  <c r="N9" i="14"/>
  <c r="O9" i="14"/>
  <c r="P9" i="14"/>
  <c r="Q9" i="14"/>
  <c r="R9" i="14"/>
  <c r="G10" i="14"/>
  <c r="N10" i="14"/>
  <c r="I11" i="14"/>
  <c r="K11" i="14"/>
  <c r="M11" i="14"/>
  <c r="O11" i="14"/>
  <c r="Q11" i="14"/>
  <c r="I12" i="14"/>
  <c r="J12" i="14"/>
  <c r="K12" i="14"/>
  <c r="L12" i="14"/>
  <c r="M12" i="14"/>
  <c r="N12" i="14"/>
  <c r="O12" i="14"/>
  <c r="P12" i="14"/>
  <c r="R12" i="14"/>
  <c r="I13" i="14"/>
  <c r="J13" i="14"/>
  <c r="K13" i="14"/>
  <c r="L13" i="14"/>
  <c r="M13" i="14"/>
  <c r="N13" i="14"/>
  <c r="O13" i="14"/>
  <c r="P13" i="14"/>
  <c r="R13" i="14"/>
  <c r="K14" i="14"/>
  <c r="M14" i="14"/>
  <c r="N14" i="14"/>
  <c r="P14" i="14"/>
  <c r="J15" i="14"/>
  <c r="K15" i="14"/>
  <c r="N15" i="14"/>
  <c r="O15" i="14"/>
  <c r="P15" i="14"/>
  <c r="Q15" i="14"/>
  <c r="I16" i="14"/>
  <c r="J16" i="14"/>
  <c r="K16" i="14"/>
  <c r="L16" i="14"/>
  <c r="P22" i="14"/>
  <c r="L23" i="14"/>
  <c r="P23" i="14"/>
  <c r="J24" i="14"/>
  <c r="L24" i="14"/>
  <c r="P24" i="14"/>
  <c r="D25" i="14"/>
  <c r="F25" i="14"/>
  <c r="H25" i="14"/>
  <c r="J25" i="14"/>
  <c r="L25" i="14"/>
  <c r="N25" i="14"/>
  <c r="P25" i="14"/>
  <c r="E30" i="14"/>
  <c r="G30" i="14"/>
  <c r="I30" i="14"/>
  <c r="K30" i="14"/>
  <c r="M30" i="14"/>
  <c r="O30" i="14"/>
  <c r="Q30" i="14"/>
  <c r="H37" i="14"/>
  <c r="D41" i="14"/>
  <c r="F41" i="14"/>
  <c r="H41" i="14"/>
  <c r="H42" i="14"/>
  <c r="F43" i="14"/>
  <c r="H43" i="14"/>
  <c r="H50" i="14"/>
  <c r="C55" i="14"/>
  <c r="C53" i="14" s="1"/>
  <c r="E55" i="14"/>
  <c r="E53" i="14" s="1"/>
  <c r="F55" i="14"/>
  <c r="F53" i="14" s="1"/>
  <c r="G55" i="14"/>
  <c r="G53" i="14" s="1"/>
  <c r="H55" i="14"/>
  <c r="H53" i="14" s="1"/>
  <c r="I55" i="14"/>
  <c r="I53" i="14" s="1"/>
  <c r="J55" i="14"/>
  <c r="J53" i="14" s="1"/>
  <c r="M55" i="14"/>
  <c r="M53" i="14" s="1"/>
  <c r="N55" i="14"/>
  <c r="N53" i="14" s="1"/>
  <c r="O55" i="14"/>
  <c r="O53" i="14" s="1"/>
  <c r="P55" i="14"/>
  <c r="P53" i="14" s="1"/>
  <c r="H57" i="14"/>
  <c r="C59" i="14"/>
  <c r="C57" i="14" s="1"/>
  <c r="E59" i="14"/>
  <c r="E57" i="14" s="1"/>
  <c r="F59" i="14"/>
  <c r="F57" i="14" s="1"/>
  <c r="G59" i="14"/>
  <c r="G57" i="14" s="1"/>
  <c r="I59" i="14"/>
  <c r="I57" i="14" s="1"/>
  <c r="J59" i="14"/>
  <c r="J57" i="14" s="1"/>
  <c r="M59" i="14"/>
  <c r="M57" i="14" s="1"/>
  <c r="N59" i="14"/>
  <c r="N57" i="14" s="1"/>
  <c r="O59" i="14"/>
  <c r="O57" i="14" s="1"/>
  <c r="P59" i="14"/>
  <c r="P57" i="14" s="1"/>
  <c r="J71" i="14"/>
  <c r="P71" i="14"/>
  <c r="R71" i="14"/>
  <c r="D72" i="14"/>
  <c r="F72" i="14"/>
  <c r="J72" i="14"/>
  <c r="L72" i="14"/>
  <c r="N72" i="14"/>
  <c r="P72" i="14"/>
  <c r="R72" i="14"/>
  <c r="D74" i="14"/>
  <c r="F74" i="14"/>
  <c r="J74" i="14"/>
  <c r="L74" i="14"/>
  <c r="N74" i="14"/>
  <c r="P74" i="14"/>
  <c r="R74" i="14"/>
  <c r="D75" i="14"/>
  <c r="F75" i="14"/>
  <c r="J75" i="14"/>
  <c r="L75" i="14"/>
  <c r="N75" i="14"/>
  <c r="P75" i="14"/>
  <c r="R75" i="14"/>
  <c r="C78" i="14"/>
  <c r="H78" i="14"/>
  <c r="O78" i="14"/>
  <c r="Q78" i="14"/>
  <c r="C79" i="14"/>
  <c r="E79" i="14"/>
  <c r="H79" i="14"/>
  <c r="I79" i="14"/>
  <c r="O79" i="14"/>
  <c r="Q79" i="14"/>
  <c r="C80" i="14"/>
  <c r="E80" i="14"/>
  <c r="H80" i="14"/>
  <c r="I80" i="14"/>
  <c r="O80" i="14"/>
  <c r="Q80" i="14"/>
  <c r="C81" i="14"/>
  <c r="E81" i="14"/>
  <c r="H81" i="14"/>
  <c r="I81" i="14"/>
  <c r="K81" i="14"/>
  <c r="M81" i="14"/>
  <c r="O81" i="14"/>
  <c r="Q81" i="14"/>
  <c r="C82" i="14"/>
  <c r="E82" i="14"/>
  <c r="H82" i="14"/>
  <c r="O82" i="14"/>
  <c r="Q82" i="14"/>
  <c r="C83" i="14"/>
  <c r="E83" i="14"/>
  <c r="H83" i="14"/>
  <c r="I83" i="14"/>
  <c r="O83" i="14"/>
  <c r="Q83" i="14"/>
  <c r="Q84" i="14"/>
  <c r="C85" i="14"/>
  <c r="E85" i="14"/>
  <c r="H85" i="14"/>
  <c r="I85" i="14"/>
  <c r="K85" i="14"/>
  <c r="M85" i="14"/>
  <c r="O85" i="14"/>
  <c r="Q85" i="14"/>
  <c r="C87" i="14"/>
  <c r="H87" i="14"/>
  <c r="I87" i="14"/>
  <c r="K87" i="14"/>
  <c r="O87" i="14"/>
  <c r="Q87" i="14"/>
  <c r="C88" i="14"/>
  <c r="H88" i="14"/>
  <c r="K88" i="14"/>
  <c r="O88" i="14"/>
  <c r="Q88" i="14"/>
  <c r="C90" i="14"/>
  <c r="H90" i="14"/>
  <c r="I90" i="14"/>
  <c r="K90" i="14"/>
  <c r="O90" i="14"/>
  <c r="Q90" i="14"/>
  <c r="C91" i="14"/>
  <c r="E91" i="14"/>
  <c r="H91" i="14"/>
  <c r="I91" i="14"/>
  <c r="K91" i="14"/>
  <c r="O91" i="14"/>
  <c r="Q91" i="14"/>
  <c r="C92" i="14"/>
  <c r="H92" i="14"/>
  <c r="K92" i="14"/>
  <c r="O92" i="14"/>
  <c r="Q92" i="14"/>
  <c r="C94" i="14"/>
  <c r="H94" i="14"/>
  <c r="I94" i="14"/>
  <c r="K94" i="14"/>
  <c r="O94" i="14"/>
  <c r="Q94" i="14"/>
  <c r="C95" i="14"/>
  <c r="H95" i="14"/>
  <c r="K95" i="14"/>
  <c r="O95" i="14"/>
  <c r="Q95" i="14"/>
  <c r="C96" i="14"/>
  <c r="E96" i="14"/>
  <c r="H96" i="14"/>
  <c r="I96" i="14"/>
  <c r="K96" i="14"/>
  <c r="O96" i="14"/>
  <c r="Q96" i="14"/>
  <c r="C97" i="14"/>
  <c r="E97" i="14"/>
  <c r="H97" i="14"/>
  <c r="I97" i="14"/>
  <c r="K97" i="14"/>
  <c r="M97" i="14"/>
  <c r="O97" i="14"/>
  <c r="Q97" i="14"/>
  <c r="C100" i="14"/>
  <c r="D100" i="14"/>
  <c r="E100" i="14"/>
  <c r="F100" i="14"/>
  <c r="G100" i="14"/>
  <c r="H100" i="14"/>
  <c r="I100" i="14"/>
  <c r="J100" i="14"/>
  <c r="K100" i="14"/>
  <c r="L100" i="14"/>
  <c r="M100" i="14"/>
  <c r="N100" i="14"/>
  <c r="Q100" i="14"/>
  <c r="R100" i="14"/>
  <c r="C101" i="14"/>
  <c r="D101" i="14"/>
  <c r="E101" i="14"/>
  <c r="F101" i="14"/>
  <c r="G101" i="14"/>
  <c r="H101" i="14"/>
  <c r="I101" i="14"/>
  <c r="J101" i="14"/>
  <c r="K101" i="14"/>
  <c r="L101" i="14"/>
  <c r="M101" i="14"/>
  <c r="N101" i="14"/>
  <c r="O101" i="14"/>
  <c r="P101" i="14"/>
  <c r="Q101" i="14"/>
  <c r="R101" i="14"/>
  <c r="C102" i="14"/>
  <c r="D102" i="14"/>
  <c r="E102" i="14"/>
  <c r="F102" i="14"/>
  <c r="G102" i="14"/>
  <c r="H102" i="14"/>
  <c r="I102" i="14"/>
  <c r="J102" i="14"/>
  <c r="K102" i="14"/>
  <c r="L102" i="14"/>
  <c r="M102" i="14"/>
  <c r="N102" i="14"/>
  <c r="O102" i="14"/>
  <c r="P102" i="14"/>
  <c r="Q102" i="14"/>
  <c r="R102" i="14"/>
  <c r="C105" i="14"/>
  <c r="D105" i="14"/>
  <c r="J105" i="14"/>
  <c r="P105" i="14"/>
  <c r="C107" i="14"/>
  <c r="D107" i="14"/>
  <c r="P107" i="14"/>
  <c r="C108" i="14"/>
  <c r="D108" i="14"/>
  <c r="P108" i="14"/>
  <c r="C109" i="14"/>
  <c r="D109" i="14"/>
  <c r="D110" i="14"/>
  <c r="C112" i="14"/>
  <c r="D112" i="14"/>
  <c r="P112" i="14"/>
  <c r="C113" i="14"/>
  <c r="D113" i="14"/>
  <c r="P113" i="14"/>
  <c r="C114" i="14"/>
  <c r="D114" i="14"/>
  <c r="D115" i="14"/>
  <c r="D117" i="14"/>
  <c r="J117" i="14"/>
  <c r="D118" i="14"/>
  <c r="J118" i="14"/>
  <c r="D119" i="14"/>
  <c r="D120" i="14"/>
  <c r="B121" i="14"/>
  <c r="A1" i="27"/>
  <c r="E11" i="27"/>
  <c r="H11" i="27"/>
  <c r="J11" i="27"/>
  <c r="L11" i="27"/>
  <c r="M11" i="27"/>
  <c r="P11" i="27"/>
  <c r="J26" i="27"/>
  <c r="L26" i="27"/>
  <c r="N26" i="27"/>
  <c r="P26" i="27"/>
  <c r="R26" i="27"/>
  <c r="C30" i="27"/>
  <c r="I30" i="27"/>
  <c r="K30" i="27"/>
  <c r="M30" i="27"/>
  <c r="O30" i="27"/>
  <c r="Q30" i="27"/>
  <c r="J39" i="27"/>
  <c r="L39" i="27"/>
  <c r="N39" i="27"/>
  <c r="P39" i="27"/>
  <c r="R39" i="27"/>
  <c r="J44" i="27"/>
  <c r="L44" i="27"/>
  <c r="L45" i="27" s="1"/>
  <c r="N44" i="27"/>
  <c r="P44" i="27"/>
  <c r="R44" i="27"/>
  <c r="N45" i="27"/>
  <c r="L47" i="27"/>
  <c r="L48" i="27"/>
  <c r="J68" i="27"/>
  <c r="J71" i="27" s="1"/>
  <c r="J70" i="27"/>
  <c r="L68" i="27"/>
  <c r="L71" i="27" s="1"/>
  <c r="N68" i="27"/>
  <c r="N75" i="27" s="1"/>
  <c r="P68" i="27"/>
  <c r="P82" i="27" s="1"/>
  <c r="P70" i="27"/>
  <c r="R68" i="27"/>
  <c r="R73" i="27" s="1"/>
  <c r="L70" i="27"/>
  <c r="M70" i="27"/>
  <c r="R70" i="27"/>
  <c r="P72" i="27"/>
  <c r="L73" i="27"/>
  <c r="P73" i="27"/>
  <c r="L74" i="27"/>
  <c r="P74" i="27"/>
  <c r="J75" i="27"/>
  <c r="L75" i="27"/>
  <c r="P75" i="27"/>
  <c r="R75" i="27"/>
  <c r="L77" i="27"/>
  <c r="P77" i="27"/>
  <c r="J79" i="27"/>
  <c r="L79" i="27"/>
  <c r="N79" i="27"/>
  <c r="P79" i="27"/>
  <c r="L80" i="27"/>
  <c r="M80" i="27"/>
  <c r="P80" i="27"/>
  <c r="J82" i="27"/>
  <c r="L82" i="27"/>
  <c r="L83" i="27"/>
  <c r="N83" i="27"/>
  <c r="J84" i="27"/>
  <c r="L84" i="27"/>
  <c r="M84" i="27"/>
  <c r="P84" i="27"/>
  <c r="J86" i="27"/>
  <c r="L86" i="27"/>
  <c r="P86" i="27"/>
  <c r="R86" i="27"/>
  <c r="L87" i="27"/>
  <c r="M87" i="27"/>
  <c r="N87" i="27" s="1"/>
  <c r="P87" i="27"/>
  <c r="R87" i="27"/>
  <c r="L88" i="27"/>
  <c r="P88" i="27"/>
  <c r="L89" i="27"/>
  <c r="P89" i="27"/>
  <c r="R89" i="27"/>
  <c r="B113" i="27"/>
  <c r="A1" i="24"/>
  <c r="E12" i="24"/>
  <c r="I12" i="24"/>
  <c r="J12" i="24"/>
  <c r="L12" i="24"/>
  <c r="M12" i="24"/>
  <c r="D14" i="24"/>
  <c r="F14" i="24"/>
  <c r="H14" i="24"/>
  <c r="D26" i="24"/>
  <c r="F26" i="24"/>
  <c r="H26" i="24"/>
  <c r="J26" i="24"/>
  <c r="L26" i="24"/>
  <c r="N26" i="24"/>
  <c r="P26" i="24"/>
  <c r="R26" i="24"/>
  <c r="C30" i="24"/>
  <c r="E30" i="24"/>
  <c r="G30" i="24"/>
  <c r="I30" i="24"/>
  <c r="K30" i="24"/>
  <c r="M30" i="24"/>
  <c r="O30" i="24"/>
  <c r="Q30" i="24"/>
  <c r="D38" i="24"/>
  <c r="D39" i="24"/>
  <c r="F38" i="24"/>
  <c r="F39" i="24" s="1"/>
  <c r="H39" i="24"/>
  <c r="J39" i="24"/>
  <c r="L39" i="24"/>
  <c r="N39" i="24"/>
  <c r="P39" i="24"/>
  <c r="P45" i="24" s="1"/>
  <c r="R39" i="24"/>
  <c r="D44" i="24"/>
  <c r="F44" i="24"/>
  <c r="H44" i="24"/>
  <c r="J44" i="24"/>
  <c r="J45" i="24" s="1"/>
  <c r="L44" i="24"/>
  <c r="N44" i="24"/>
  <c r="N45" i="24"/>
  <c r="P44" i="24"/>
  <c r="R44" i="24"/>
  <c r="L47" i="24"/>
  <c r="L48" i="24"/>
  <c r="N48" i="24"/>
  <c r="D64" i="24"/>
  <c r="D69" i="24" s="1"/>
  <c r="F69" i="24"/>
  <c r="F71" i="24" s="1"/>
  <c r="J69" i="24"/>
  <c r="J75" i="24" s="1"/>
  <c r="L69" i="24"/>
  <c r="L72" i="24" s="1"/>
  <c r="N69" i="24"/>
  <c r="N72" i="24" s="1"/>
  <c r="P69" i="24"/>
  <c r="P71" i="24" s="1"/>
  <c r="P73" i="24"/>
  <c r="R69" i="24"/>
  <c r="R71" i="24"/>
  <c r="H71" i="24"/>
  <c r="K71" i="24"/>
  <c r="M71" i="24"/>
  <c r="N71" i="24"/>
  <c r="H72" i="24"/>
  <c r="J72" i="24"/>
  <c r="P72" i="24"/>
  <c r="R72" i="24"/>
  <c r="H73" i="24"/>
  <c r="R73" i="24"/>
  <c r="H74" i="24"/>
  <c r="N74" i="24"/>
  <c r="R74" i="24"/>
  <c r="H75" i="24"/>
  <c r="P75" i="24"/>
  <c r="R75" i="24"/>
  <c r="H76" i="24"/>
  <c r="P76" i="24"/>
  <c r="R76" i="24"/>
  <c r="R77" i="24"/>
  <c r="F78" i="24"/>
  <c r="H78" i="24"/>
  <c r="N78" i="24"/>
  <c r="P78" i="24"/>
  <c r="R78" i="24"/>
  <c r="F80" i="24"/>
  <c r="H80" i="24"/>
  <c r="M80" i="24"/>
  <c r="N80" i="24" s="1"/>
  <c r="P80" i="24"/>
  <c r="R80" i="24"/>
  <c r="H81" i="24"/>
  <c r="L81" i="24"/>
  <c r="P81" i="24"/>
  <c r="R81" i="24"/>
  <c r="H83" i="24"/>
  <c r="L83" i="24"/>
  <c r="M83" i="24"/>
  <c r="N83" i="24"/>
  <c r="P83" i="24"/>
  <c r="R83" i="24"/>
  <c r="H84" i="24"/>
  <c r="J84" i="24"/>
  <c r="P84" i="24"/>
  <c r="R84" i="24"/>
  <c r="H85" i="24"/>
  <c r="M85" i="24"/>
  <c r="N85" i="24" s="1"/>
  <c r="P85" i="24"/>
  <c r="R85" i="24"/>
  <c r="H87" i="24"/>
  <c r="M87" i="24"/>
  <c r="N87" i="24" s="1"/>
  <c r="P87" i="24"/>
  <c r="R87" i="24"/>
  <c r="F88" i="24"/>
  <c r="H88" i="24"/>
  <c r="J88" i="24"/>
  <c r="P88" i="24"/>
  <c r="R88" i="24"/>
  <c r="F89" i="24"/>
  <c r="H89" i="24"/>
  <c r="J89" i="24"/>
  <c r="P89" i="24"/>
  <c r="R89" i="24"/>
  <c r="F90" i="24"/>
  <c r="H90" i="24"/>
  <c r="J90" i="24"/>
  <c r="P90" i="24"/>
  <c r="R90" i="24"/>
  <c r="C103" i="24"/>
  <c r="I103" i="24"/>
  <c r="C108" i="24"/>
  <c r="I108" i="24"/>
  <c r="I113" i="24" s="1"/>
  <c r="C110" i="24"/>
  <c r="I110" i="24"/>
  <c r="C111" i="24"/>
  <c r="I111" i="24"/>
  <c r="C112" i="24"/>
  <c r="I112" i="24"/>
  <c r="C113" i="24"/>
  <c r="B114" i="24"/>
  <c r="A1" i="16"/>
  <c r="D12" i="16"/>
  <c r="E12" i="16"/>
  <c r="F12" i="16"/>
  <c r="H12" i="16"/>
  <c r="J12" i="16"/>
  <c r="L12" i="16"/>
  <c r="M12" i="16"/>
  <c r="P12" i="16"/>
  <c r="AC12" i="16" s="1"/>
  <c r="L13" i="16"/>
  <c r="D16" i="16"/>
  <c r="E16" i="16"/>
  <c r="F16" i="16"/>
  <c r="H16" i="16"/>
  <c r="I16" i="16"/>
  <c r="M16" i="16"/>
  <c r="D18" i="16"/>
  <c r="E18" i="16"/>
  <c r="F18" i="16"/>
  <c r="H18" i="16"/>
  <c r="I18" i="16"/>
  <c r="J18" i="16"/>
  <c r="L18" i="16"/>
  <c r="P18" i="16"/>
  <c r="D25" i="16"/>
  <c r="F25" i="16"/>
  <c r="H25" i="16"/>
  <c r="H29" i="16" s="1"/>
  <c r="N25" i="16"/>
  <c r="D26" i="16"/>
  <c r="F26" i="16"/>
  <c r="F23" i="14" s="1"/>
  <c r="H26" i="16"/>
  <c r="N26" i="16"/>
  <c r="D27" i="16"/>
  <c r="F27" i="16"/>
  <c r="H27" i="16"/>
  <c r="N27" i="16"/>
  <c r="J29" i="16"/>
  <c r="L29" i="16"/>
  <c r="P29" i="16"/>
  <c r="R29" i="16"/>
  <c r="C33" i="16"/>
  <c r="E33" i="16"/>
  <c r="G33" i="16"/>
  <c r="I33" i="16"/>
  <c r="K33" i="16"/>
  <c r="M33" i="16"/>
  <c r="O33" i="16"/>
  <c r="Q33" i="16"/>
  <c r="D42" i="16"/>
  <c r="F42" i="16"/>
  <c r="F48" i="16" s="1"/>
  <c r="H42" i="16"/>
  <c r="J42" i="16"/>
  <c r="L42" i="16"/>
  <c r="N42" i="16"/>
  <c r="P42" i="16"/>
  <c r="P48" i="16" s="1"/>
  <c r="R42" i="16"/>
  <c r="D47" i="16"/>
  <c r="D48" i="16"/>
  <c r="F47" i="16"/>
  <c r="H47" i="16"/>
  <c r="J47" i="16"/>
  <c r="L47" i="16"/>
  <c r="L48" i="16" s="1"/>
  <c r="N47" i="16"/>
  <c r="P47" i="16"/>
  <c r="R47" i="16"/>
  <c r="D50" i="16"/>
  <c r="F50" i="16"/>
  <c r="L50" i="16"/>
  <c r="D51" i="16"/>
  <c r="L51" i="16"/>
  <c r="N51" i="16"/>
  <c r="D72" i="16"/>
  <c r="D75" i="16" s="1"/>
  <c r="F72" i="16"/>
  <c r="F81" i="16" s="1"/>
  <c r="J72" i="16"/>
  <c r="L72" i="16"/>
  <c r="L74" i="16" s="1"/>
  <c r="N72" i="16"/>
  <c r="N92" i="16" s="1"/>
  <c r="P72" i="16"/>
  <c r="P75" i="16" s="1"/>
  <c r="R72" i="16"/>
  <c r="R78" i="16" s="1"/>
  <c r="H74" i="16"/>
  <c r="J74" i="16"/>
  <c r="M74" i="16"/>
  <c r="H75" i="16"/>
  <c r="J75" i="16"/>
  <c r="R75" i="16"/>
  <c r="H76" i="16"/>
  <c r="J76" i="16"/>
  <c r="R76" i="16"/>
  <c r="H77" i="16"/>
  <c r="J77" i="16"/>
  <c r="L77" i="16"/>
  <c r="R77" i="16"/>
  <c r="H78" i="16"/>
  <c r="J78" i="16"/>
  <c r="F79" i="16"/>
  <c r="H79" i="16"/>
  <c r="J79" i="16"/>
  <c r="R79" i="16"/>
  <c r="R80" i="16"/>
  <c r="H81" i="16"/>
  <c r="J81" i="16"/>
  <c r="H83" i="16"/>
  <c r="J83" i="16"/>
  <c r="M83" i="16"/>
  <c r="N83" i="16" s="1"/>
  <c r="R83" i="16"/>
  <c r="H84" i="16"/>
  <c r="J84" i="16"/>
  <c r="M84" i="16"/>
  <c r="N84" i="16" s="1"/>
  <c r="R84" i="16"/>
  <c r="H86" i="16"/>
  <c r="J86" i="16"/>
  <c r="M86" i="16"/>
  <c r="H87" i="16"/>
  <c r="J87" i="16"/>
  <c r="R87" i="16"/>
  <c r="F88" i="16"/>
  <c r="H88" i="16"/>
  <c r="J88" i="16"/>
  <c r="M88" i="16"/>
  <c r="R88" i="16"/>
  <c r="D90" i="16"/>
  <c r="H90" i="16"/>
  <c r="J90" i="16"/>
  <c r="M90" i="16"/>
  <c r="N90" i="16"/>
  <c r="R90" i="16"/>
  <c r="H91" i="16"/>
  <c r="J91" i="16"/>
  <c r="M91" i="16"/>
  <c r="R91" i="16"/>
  <c r="D92" i="16"/>
  <c r="F92" i="16"/>
  <c r="H92" i="16"/>
  <c r="J92" i="16"/>
  <c r="L92" i="16"/>
  <c r="H93" i="16"/>
  <c r="J93" i="16"/>
  <c r="P93" i="16"/>
  <c r="R93" i="16"/>
  <c r="C106" i="16"/>
  <c r="I106" i="16"/>
  <c r="I116" i="16" s="1"/>
  <c r="C111" i="16"/>
  <c r="I111" i="16"/>
  <c r="C113" i="16"/>
  <c r="I113" i="16"/>
  <c r="C114" i="16"/>
  <c r="I114" i="16"/>
  <c r="C115" i="16"/>
  <c r="I115" i="16"/>
  <c r="B117" i="16"/>
  <c r="A1" i="17"/>
  <c r="D12" i="17"/>
  <c r="F12" i="17"/>
  <c r="H12" i="17"/>
  <c r="J12" i="17"/>
  <c r="K12" i="17"/>
  <c r="L12" i="17"/>
  <c r="P12" i="17"/>
  <c r="F13" i="17"/>
  <c r="H13" i="17"/>
  <c r="I13" i="17"/>
  <c r="L13" i="17"/>
  <c r="I14" i="17"/>
  <c r="D25" i="17"/>
  <c r="F25" i="17"/>
  <c r="H25" i="17"/>
  <c r="J25" i="17"/>
  <c r="L25" i="17"/>
  <c r="N25" i="17"/>
  <c r="P25" i="17"/>
  <c r="R25" i="17"/>
  <c r="C29" i="17"/>
  <c r="E29" i="17"/>
  <c r="G29" i="17"/>
  <c r="I29" i="17"/>
  <c r="K29" i="17"/>
  <c r="M29" i="17"/>
  <c r="O29" i="17"/>
  <c r="Q29" i="17"/>
  <c r="D38" i="17"/>
  <c r="F38" i="17"/>
  <c r="H38" i="17"/>
  <c r="H44" i="17" s="1"/>
  <c r="J38" i="17"/>
  <c r="L38" i="17"/>
  <c r="N38" i="17"/>
  <c r="P38" i="17"/>
  <c r="P44" i="17" s="1"/>
  <c r="R38" i="17"/>
  <c r="D43" i="17"/>
  <c r="F43" i="17"/>
  <c r="H43" i="17"/>
  <c r="J43" i="17"/>
  <c r="L43" i="17"/>
  <c r="N43" i="17"/>
  <c r="P43" i="17"/>
  <c r="R43" i="17"/>
  <c r="R44" i="17" s="1"/>
  <c r="D46" i="17"/>
  <c r="F46" i="17"/>
  <c r="L46" i="17"/>
  <c r="D47" i="17"/>
  <c r="L47" i="17"/>
  <c r="N47" i="17"/>
  <c r="D62" i="17"/>
  <c r="D67" i="17" s="1"/>
  <c r="F67" i="17"/>
  <c r="F70" i="17" s="1"/>
  <c r="J67" i="17"/>
  <c r="J69" i="17" s="1"/>
  <c r="L67" i="17"/>
  <c r="L69" i="17" s="1"/>
  <c r="N67" i="17"/>
  <c r="N71" i="17" s="1"/>
  <c r="P67" i="17"/>
  <c r="P69" i="17" s="1"/>
  <c r="R67" i="17"/>
  <c r="R70" i="17" s="1"/>
  <c r="F69" i="17"/>
  <c r="H69" i="17"/>
  <c r="M69" i="17"/>
  <c r="N69" i="17" s="1"/>
  <c r="H70" i="17"/>
  <c r="N70" i="17"/>
  <c r="H71" i="17"/>
  <c r="L71" i="17"/>
  <c r="R71" i="17"/>
  <c r="H72" i="17"/>
  <c r="L72" i="17"/>
  <c r="H73" i="17"/>
  <c r="J73" i="17"/>
  <c r="N73" i="17"/>
  <c r="H74" i="17"/>
  <c r="J74" i="17"/>
  <c r="N74" i="17"/>
  <c r="F76" i="17"/>
  <c r="H76" i="17"/>
  <c r="J76" i="17"/>
  <c r="N76" i="17"/>
  <c r="H78" i="17"/>
  <c r="L78" i="17"/>
  <c r="M78" i="17"/>
  <c r="H79" i="17"/>
  <c r="L79" i="17"/>
  <c r="M79" i="17"/>
  <c r="P79" i="17"/>
  <c r="F81" i="17"/>
  <c r="H81" i="17"/>
  <c r="J81" i="17"/>
  <c r="M81" i="17"/>
  <c r="N81" i="17" s="1"/>
  <c r="R81" i="17"/>
  <c r="H82" i="17"/>
  <c r="L82" i="17"/>
  <c r="R82" i="17"/>
  <c r="H83" i="17"/>
  <c r="L83" i="17"/>
  <c r="M83" i="17"/>
  <c r="P83" i="17"/>
  <c r="F85" i="17"/>
  <c r="H85" i="17"/>
  <c r="J85" i="17"/>
  <c r="M85" i="17"/>
  <c r="N85" i="17" s="1"/>
  <c r="R85" i="17"/>
  <c r="H86" i="17"/>
  <c r="L86" i="17"/>
  <c r="R86" i="17"/>
  <c r="H87" i="17"/>
  <c r="L87" i="17"/>
  <c r="R87" i="17"/>
  <c r="H88" i="17"/>
  <c r="L88" i="17"/>
  <c r="R88" i="17"/>
  <c r="C101" i="17"/>
  <c r="I101" i="17"/>
  <c r="C106" i="17"/>
  <c r="C111" i="17" s="1"/>
  <c r="I106" i="17"/>
  <c r="I111" i="17" s="1"/>
  <c r="C108" i="17"/>
  <c r="I108" i="17"/>
  <c r="C109" i="17"/>
  <c r="I109" i="17"/>
  <c r="C110" i="17"/>
  <c r="I110" i="17"/>
  <c r="B112" i="17"/>
  <c r="A1" i="18"/>
  <c r="D12" i="18"/>
  <c r="E12" i="18"/>
  <c r="F12" i="18"/>
  <c r="H12" i="18"/>
  <c r="J12" i="18"/>
  <c r="L12" i="18"/>
  <c r="M12" i="18"/>
  <c r="P12" i="18"/>
  <c r="L14" i="18"/>
  <c r="Q16" i="18"/>
  <c r="D27" i="18"/>
  <c r="F27" i="18"/>
  <c r="H27" i="18"/>
  <c r="J27" i="18"/>
  <c r="L27" i="18"/>
  <c r="N27" i="18"/>
  <c r="P27" i="18"/>
  <c r="R27" i="18"/>
  <c r="C31" i="18"/>
  <c r="E31" i="18"/>
  <c r="G31" i="18"/>
  <c r="I31" i="18"/>
  <c r="K31" i="18"/>
  <c r="M31" i="18"/>
  <c r="O31" i="18"/>
  <c r="Q31" i="18"/>
  <c r="D40" i="18"/>
  <c r="F40" i="18"/>
  <c r="F46" i="18" s="1"/>
  <c r="H40" i="18"/>
  <c r="J40" i="18"/>
  <c r="L40" i="18"/>
  <c r="N40" i="18"/>
  <c r="N46" i="18" s="1"/>
  <c r="P40" i="18"/>
  <c r="R40" i="18"/>
  <c r="D45" i="18"/>
  <c r="D46" i="18" s="1"/>
  <c r="F45" i="18"/>
  <c r="H45" i="18"/>
  <c r="H46" i="18" s="1"/>
  <c r="J45" i="18"/>
  <c r="L45" i="18"/>
  <c r="L46" i="18" s="1"/>
  <c r="N45" i="18"/>
  <c r="P45" i="18"/>
  <c r="P46" i="18" s="1"/>
  <c r="R45" i="18"/>
  <c r="D48" i="18"/>
  <c r="L48" i="18"/>
  <c r="L49" i="18"/>
  <c r="N49" i="18"/>
  <c r="D69" i="18"/>
  <c r="D71" i="18" s="1"/>
  <c r="F69" i="18"/>
  <c r="F71" i="18"/>
  <c r="J69" i="18"/>
  <c r="J73" i="18"/>
  <c r="L69" i="18"/>
  <c r="L71" i="18"/>
  <c r="N69" i="18"/>
  <c r="P69" i="18"/>
  <c r="P72" i="18" s="1"/>
  <c r="R69" i="18"/>
  <c r="R75" i="18" s="1"/>
  <c r="H71" i="18"/>
  <c r="J71" i="18"/>
  <c r="M71" i="18"/>
  <c r="N71" i="18" s="1"/>
  <c r="D72" i="18"/>
  <c r="H72" i="18"/>
  <c r="J72" i="18"/>
  <c r="L72" i="18"/>
  <c r="N72" i="18"/>
  <c r="H73" i="18"/>
  <c r="L73" i="18"/>
  <c r="N73" i="18"/>
  <c r="D74" i="18"/>
  <c r="H74" i="18"/>
  <c r="L74" i="18"/>
  <c r="N74" i="18"/>
  <c r="R74" i="18"/>
  <c r="H75" i="18"/>
  <c r="L75" i="18"/>
  <c r="N75" i="18"/>
  <c r="D76" i="18"/>
  <c r="F76" i="18"/>
  <c r="H76" i="18"/>
  <c r="J76" i="18"/>
  <c r="L76" i="18"/>
  <c r="N76" i="18"/>
  <c r="P76" i="18"/>
  <c r="R77" i="18"/>
  <c r="F78" i="18"/>
  <c r="H78" i="18"/>
  <c r="J78" i="18"/>
  <c r="L78" i="18"/>
  <c r="N78" i="18"/>
  <c r="R78" i="18"/>
  <c r="F80" i="18"/>
  <c r="H80" i="18"/>
  <c r="J80" i="18"/>
  <c r="L80" i="18"/>
  <c r="M80" i="18"/>
  <c r="D81" i="18"/>
  <c r="F81" i="18"/>
  <c r="H81" i="18"/>
  <c r="J81" i="18"/>
  <c r="L81" i="18"/>
  <c r="N81" i="18"/>
  <c r="P81" i="18"/>
  <c r="F83" i="18"/>
  <c r="H83" i="18"/>
  <c r="J83" i="18"/>
  <c r="L83" i="18"/>
  <c r="N83" i="18"/>
  <c r="D84" i="18"/>
  <c r="F84" i="18"/>
  <c r="H84" i="18"/>
  <c r="J84" i="18"/>
  <c r="L84" i="18"/>
  <c r="N84" i="18"/>
  <c r="P84" i="18"/>
  <c r="F85" i="18"/>
  <c r="H85" i="18"/>
  <c r="J85" i="18"/>
  <c r="L85" i="18"/>
  <c r="M85" i="18"/>
  <c r="N85" i="18" s="1"/>
  <c r="R85" i="18"/>
  <c r="F87" i="18"/>
  <c r="H87" i="18"/>
  <c r="J87" i="18"/>
  <c r="L87" i="18"/>
  <c r="M87" i="18"/>
  <c r="P87" i="18"/>
  <c r="F88" i="18"/>
  <c r="H88" i="18"/>
  <c r="J88" i="18"/>
  <c r="L88" i="18"/>
  <c r="N88" i="18"/>
  <c r="D89" i="18"/>
  <c r="F89" i="18"/>
  <c r="H89" i="18"/>
  <c r="J89" i="18"/>
  <c r="L89" i="18"/>
  <c r="N89" i="18"/>
  <c r="P89" i="18"/>
  <c r="F90" i="18"/>
  <c r="H90" i="18"/>
  <c r="J90" i="18"/>
  <c r="L90" i="18"/>
  <c r="N90" i="18"/>
  <c r="C103" i="18"/>
  <c r="I103" i="18"/>
  <c r="C108" i="18"/>
  <c r="C113" i="18" s="1"/>
  <c r="I108" i="18"/>
  <c r="I113" i="18" s="1"/>
  <c r="C110" i="18"/>
  <c r="I110" i="18"/>
  <c r="C111" i="18"/>
  <c r="I111" i="18"/>
  <c r="C112" i="18"/>
  <c r="I112" i="18"/>
  <c r="B114" i="18"/>
  <c r="A1" i="19"/>
  <c r="E12" i="19"/>
  <c r="F12" i="19"/>
  <c r="I12" i="19"/>
  <c r="J12" i="19"/>
  <c r="M12" i="19"/>
  <c r="D14" i="19"/>
  <c r="H14" i="19"/>
  <c r="J14" i="19"/>
  <c r="I15" i="19"/>
  <c r="D25" i="19"/>
  <c r="F25" i="19"/>
  <c r="H25" i="19"/>
  <c r="J25" i="19"/>
  <c r="L25" i="19"/>
  <c r="N25" i="19"/>
  <c r="P25" i="19"/>
  <c r="R25" i="19"/>
  <c r="C29" i="19"/>
  <c r="E29" i="19"/>
  <c r="G29" i="19"/>
  <c r="I29" i="19"/>
  <c r="K29" i="19"/>
  <c r="M29" i="19"/>
  <c r="O29" i="19"/>
  <c r="Q29" i="19"/>
  <c r="D35" i="19"/>
  <c r="F35" i="19"/>
  <c r="H35" i="19"/>
  <c r="J35" i="19"/>
  <c r="L35" i="19"/>
  <c r="N35" i="19"/>
  <c r="P35" i="19"/>
  <c r="R35" i="19"/>
  <c r="R38" i="19" s="1"/>
  <c r="R44" i="19" s="1"/>
  <c r="J36" i="19"/>
  <c r="J37" i="14" s="1"/>
  <c r="L36" i="19"/>
  <c r="L37" i="14" s="1"/>
  <c r="N36" i="19"/>
  <c r="N37" i="14" s="1"/>
  <c r="P36" i="19"/>
  <c r="P37" i="14" s="1"/>
  <c r="R36" i="19"/>
  <c r="R37" i="14" s="1"/>
  <c r="D37" i="19"/>
  <c r="F37" i="19"/>
  <c r="H37" i="19"/>
  <c r="H38" i="19" s="1"/>
  <c r="H44" i="19" s="1"/>
  <c r="J37" i="19"/>
  <c r="L37" i="19"/>
  <c r="N37" i="19"/>
  <c r="P37" i="19"/>
  <c r="R37" i="19"/>
  <c r="L38" i="19"/>
  <c r="L44" i="19" s="1"/>
  <c r="D43" i="19"/>
  <c r="F43" i="19"/>
  <c r="H43" i="19"/>
  <c r="J43" i="19"/>
  <c r="L43" i="19"/>
  <c r="N43" i="19"/>
  <c r="P43" i="19"/>
  <c r="R43" i="19"/>
  <c r="D46" i="19"/>
  <c r="L46" i="19"/>
  <c r="D47" i="19"/>
  <c r="F47" i="19"/>
  <c r="N47" i="19"/>
  <c r="D50" i="19"/>
  <c r="D55" i="14" s="1"/>
  <c r="D53" i="14" s="1"/>
  <c r="D52" i="19"/>
  <c r="D59" i="14" s="1"/>
  <c r="D57" i="14" s="1"/>
  <c r="D63" i="19"/>
  <c r="D68" i="19" s="1"/>
  <c r="N63" i="19"/>
  <c r="F68" i="19"/>
  <c r="F71" i="19" s="1"/>
  <c r="J68" i="19"/>
  <c r="J71" i="19" s="1"/>
  <c r="L68" i="19"/>
  <c r="L77" i="19" s="1"/>
  <c r="P68" i="19"/>
  <c r="P73" i="19" s="1"/>
  <c r="R68" i="19"/>
  <c r="R71" i="19"/>
  <c r="H70" i="19"/>
  <c r="L70" i="19"/>
  <c r="M70" i="19"/>
  <c r="P70" i="19"/>
  <c r="H71" i="19"/>
  <c r="P71" i="19"/>
  <c r="H72" i="19"/>
  <c r="P72" i="19"/>
  <c r="H73" i="19"/>
  <c r="J73" i="19"/>
  <c r="R73" i="19"/>
  <c r="H74" i="19"/>
  <c r="L74" i="19"/>
  <c r="R74" i="19"/>
  <c r="H75" i="19"/>
  <c r="L75" i="19"/>
  <c r="R75" i="19"/>
  <c r="R76" i="19"/>
  <c r="H77" i="19"/>
  <c r="P77" i="19"/>
  <c r="H79" i="19"/>
  <c r="L79" i="19"/>
  <c r="M79" i="19"/>
  <c r="P79" i="19"/>
  <c r="R79" i="19"/>
  <c r="H80" i="19"/>
  <c r="H82" i="19"/>
  <c r="L82" i="19"/>
  <c r="M82" i="19"/>
  <c r="H83" i="19"/>
  <c r="P83" i="19"/>
  <c r="H84" i="19"/>
  <c r="L84" i="19"/>
  <c r="H86" i="19"/>
  <c r="L86" i="19"/>
  <c r="M86" i="19"/>
  <c r="P86" i="19"/>
  <c r="H87" i="19"/>
  <c r="L87" i="19"/>
  <c r="R87" i="19"/>
  <c r="H88" i="19"/>
  <c r="L88" i="19"/>
  <c r="R88" i="19"/>
  <c r="H89" i="19"/>
  <c r="L89" i="19"/>
  <c r="R89" i="19"/>
  <c r="C102" i="19"/>
  <c r="I102" i="19"/>
  <c r="C107" i="19"/>
  <c r="C112" i="19" s="1"/>
  <c r="I107" i="19"/>
  <c r="I112" i="19" s="1"/>
  <c r="C109" i="19"/>
  <c r="I109" i="19"/>
  <c r="C110" i="19"/>
  <c r="I110" i="19"/>
  <c r="C111" i="19"/>
  <c r="I111" i="19"/>
  <c r="B113" i="19"/>
  <c r="A1" i="20"/>
  <c r="D12" i="20"/>
  <c r="E12" i="20"/>
  <c r="F12" i="20"/>
  <c r="H12" i="20"/>
  <c r="I12" i="20"/>
  <c r="J12" i="20"/>
  <c r="M12" i="20"/>
  <c r="P12" i="20"/>
  <c r="D23" i="20"/>
  <c r="F23" i="20"/>
  <c r="H23" i="20"/>
  <c r="J23" i="20"/>
  <c r="L23" i="20"/>
  <c r="N23" i="20"/>
  <c r="P23" i="20"/>
  <c r="R23" i="20"/>
  <c r="C27" i="20"/>
  <c r="E27" i="20"/>
  <c r="G27" i="20"/>
  <c r="I27" i="20"/>
  <c r="K27" i="20"/>
  <c r="M27" i="20"/>
  <c r="O27" i="20"/>
  <c r="Q27" i="20"/>
  <c r="D36" i="20"/>
  <c r="F36" i="20"/>
  <c r="H36" i="20"/>
  <c r="J36" i="20"/>
  <c r="J42" i="20" s="1"/>
  <c r="L36" i="20"/>
  <c r="N36" i="20"/>
  <c r="N42" i="20" s="1"/>
  <c r="P36" i="20"/>
  <c r="R36" i="20"/>
  <c r="D41" i="20"/>
  <c r="F41" i="20"/>
  <c r="H41" i="20"/>
  <c r="H42" i="20"/>
  <c r="J41" i="20"/>
  <c r="L41" i="20"/>
  <c r="N41" i="20"/>
  <c r="P41" i="20"/>
  <c r="P42" i="20" s="1"/>
  <c r="R41" i="20"/>
  <c r="D44" i="20"/>
  <c r="L44" i="20"/>
  <c r="D65" i="20"/>
  <c r="D67" i="20" s="1"/>
  <c r="F65" i="20"/>
  <c r="F79" i="20" s="1"/>
  <c r="H65" i="20"/>
  <c r="H74" i="20" s="1"/>
  <c r="J65" i="20"/>
  <c r="J71" i="20" s="1"/>
  <c r="L65" i="20"/>
  <c r="L67" i="20" s="1"/>
  <c r="N65" i="20"/>
  <c r="N67" i="20" s="1"/>
  <c r="P65" i="20"/>
  <c r="R65" i="20"/>
  <c r="R68" i="20" s="1"/>
  <c r="F67" i="20"/>
  <c r="J70" i="20"/>
  <c r="D71" i="20"/>
  <c r="J72" i="20"/>
  <c r="F74" i="20"/>
  <c r="F76" i="20"/>
  <c r="N77" i="20"/>
  <c r="L79" i="20"/>
  <c r="F80" i="20"/>
  <c r="N80" i="20"/>
  <c r="F81" i="20"/>
  <c r="L81" i="20"/>
  <c r="H84" i="20"/>
  <c r="F85" i="20"/>
  <c r="F86" i="20"/>
  <c r="C99" i="20"/>
  <c r="I99" i="20"/>
  <c r="P99" i="20"/>
  <c r="C104" i="20"/>
  <c r="C109" i="20" s="1"/>
  <c r="I104" i="20"/>
  <c r="I109" i="20" s="1"/>
  <c r="P104" i="20"/>
  <c r="P109" i="20" s="1"/>
  <c r="C106" i="20"/>
  <c r="I106" i="20"/>
  <c r="P106" i="20"/>
  <c r="C108" i="20"/>
  <c r="P108" i="20"/>
  <c r="B110" i="20"/>
  <c r="A1" i="21"/>
  <c r="D12" i="21"/>
  <c r="F12" i="21"/>
  <c r="I12" i="21"/>
  <c r="J12" i="21"/>
  <c r="L12" i="21"/>
  <c r="Y12" i="21" s="1"/>
  <c r="Q12" i="21"/>
  <c r="X12" i="21" s="1"/>
  <c r="Q13" i="21"/>
  <c r="X13" i="21" s="1"/>
  <c r="E17" i="21"/>
  <c r="I17" i="21"/>
  <c r="M17" i="21"/>
  <c r="X17" i="21" s="1"/>
  <c r="D27" i="21"/>
  <c r="F27" i="21"/>
  <c r="H27" i="21"/>
  <c r="J27" i="21"/>
  <c r="L27" i="21"/>
  <c r="N27" i="21"/>
  <c r="P27" i="21"/>
  <c r="R27" i="21"/>
  <c r="C31" i="21"/>
  <c r="E31" i="21"/>
  <c r="G31" i="21"/>
  <c r="I31" i="21"/>
  <c r="K31" i="21"/>
  <c r="M31" i="21"/>
  <c r="O31" i="21"/>
  <c r="Q31" i="21"/>
  <c r="X31" i="21"/>
  <c r="D40" i="21"/>
  <c r="F40" i="21"/>
  <c r="H40" i="21"/>
  <c r="J40" i="21"/>
  <c r="L40" i="21"/>
  <c r="N40" i="21"/>
  <c r="N46" i="21" s="1"/>
  <c r="P40" i="21"/>
  <c r="R40" i="21"/>
  <c r="D45" i="21"/>
  <c r="F45" i="21"/>
  <c r="H45" i="21"/>
  <c r="J45" i="21"/>
  <c r="L45" i="21"/>
  <c r="L46" i="21"/>
  <c r="N45" i="21"/>
  <c r="P45" i="21"/>
  <c r="P46" i="21" s="1"/>
  <c r="R45" i="21"/>
  <c r="D48" i="21"/>
  <c r="F48" i="21"/>
  <c r="L48" i="21"/>
  <c r="Y48" i="21" s="1"/>
  <c r="D64" i="21"/>
  <c r="D69" i="21" s="1"/>
  <c r="F69" i="21"/>
  <c r="F71" i="21" s="1"/>
  <c r="J69" i="21"/>
  <c r="J72" i="21" s="1"/>
  <c r="L69" i="21"/>
  <c r="L71" i="21" s="1"/>
  <c r="N69" i="21"/>
  <c r="N72" i="21" s="1"/>
  <c r="P69" i="21"/>
  <c r="P72" i="21" s="1"/>
  <c r="R69" i="21"/>
  <c r="R71" i="21" s="1"/>
  <c r="H71" i="21"/>
  <c r="M71" i="21"/>
  <c r="N71" i="21" s="1"/>
  <c r="P71" i="21"/>
  <c r="H72" i="21"/>
  <c r="H73" i="21"/>
  <c r="H74" i="21"/>
  <c r="R74" i="21"/>
  <c r="H75" i="21"/>
  <c r="F76" i="21"/>
  <c r="H76" i="21"/>
  <c r="L76" i="21"/>
  <c r="H78" i="21"/>
  <c r="P78" i="21"/>
  <c r="H80" i="21"/>
  <c r="M80" i="21"/>
  <c r="H81" i="21"/>
  <c r="M81" i="21"/>
  <c r="P81" i="21"/>
  <c r="H83" i="21"/>
  <c r="P83" i="21"/>
  <c r="H84" i="21"/>
  <c r="H85" i="21"/>
  <c r="M85" i="21"/>
  <c r="P85" i="21"/>
  <c r="H87" i="21"/>
  <c r="M87" i="21"/>
  <c r="H88" i="21"/>
  <c r="M88" i="21"/>
  <c r="P88" i="21"/>
  <c r="H89" i="21"/>
  <c r="P89" i="21"/>
  <c r="J90" i="21"/>
  <c r="P90" i="21"/>
  <c r="C103" i="21"/>
  <c r="I103" i="21"/>
  <c r="P103" i="21"/>
  <c r="C108" i="21"/>
  <c r="C113" i="21" s="1"/>
  <c r="I108" i="21"/>
  <c r="I113" i="21" s="1"/>
  <c r="P108" i="21"/>
  <c r="C110" i="21"/>
  <c r="I110" i="21"/>
  <c r="P110" i="21"/>
  <c r="P111" i="21"/>
  <c r="C112" i="21"/>
  <c r="I112" i="21"/>
  <c r="P112" i="21"/>
  <c r="B114" i="21"/>
  <c r="A1" i="22"/>
  <c r="D12" i="22"/>
  <c r="E12" i="22"/>
  <c r="F12" i="22"/>
  <c r="H12" i="22"/>
  <c r="I12" i="22"/>
  <c r="J12" i="22"/>
  <c r="L12" i="22"/>
  <c r="M12" i="22"/>
  <c r="P12" i="22"/>
  <c r="AC12" i="22" s="1"/>
  <c r="Q12" i="22"/>
  <c r="Q20" i="22"/>
  <c r="AB20" i="22" s="1"/>
  <c r="I21" i="22"/>
  <c r="I14" i="14" s="1"/>
  <c r="D31" i="22"/>
  <c r="F31" i="22"/>
  <c r="H31" i="22"/>
  <c r="J31" i="22"/>
  <c r="L31" i="22"/>
  <c r="N31" i="22"/>
  <c r="P31" i="22"/>
  <c r="R31" i="22"/>
  <c r="C35" i="22"/>
  <c r="E35" i="22"/>
  <c r="G35" i="22"/>
  <c r="I35" i="22"/>
  <c r="K35" i="22"/>
  <c r="M35" i="22"/>
  <c r="O35" i="22"/>
  <c r="Q35" i="22"/>
  <c r="D44" i="22"/>
  <c r="F44" i="22"/>
  <c r="H44" i="22"/>
  <c r="J44" i="22"/>
  <c r="L44" i="22"/>
  <c r="N44" i="22"/>
  <c r="P44" i="22"/>
  <c r="R44" i="22"/>
  <c r="D49" i="22"/>
  <c r="F49" i="22"/>
  <c r="H49" i="22"/>
  <c r="J49" i="22"/>
  <c r="L49" i="22"/>
  <c r="N49" i="22"/>
  <c r="P49" i="22"/>
  <c r="R49" i="22"/>
  <c r="D52" i="22"/>
  <c r="L52" i="22"/>
  <c r="D72" i="22"/>
  <c r="D74" i="22" s="1"/>
  <c r="F72" i="22"/>
  <c r="F76" i="22" s="1"/>
  <c r="J72" i="22"/>
  <c r="J76" i="22" s="1"/>
  <c r="L72" i="22"/>
  <c r="L77" i="22" s="1"/>
  <c r="N72" i="22"/>
  <c r="N87" i="22" s="1"/>
  <c r="P72" i="22"/>
  <c r="P84" i="22" s="1"/>
  <c r="R72" i="22"/>
  <c r="R75" i="22" s="1"/>
  <c r="H74" i="22"/>
  <c r="K74" i="22"/>
  <c r="M74" i="22"/>
  <c r="F75" i="22"/>
  <c r="H75" i="22"/>
  <c r="H76" i="22"/>
  <c r="H77" i="22"/>
  <c r="H78" i="22"/>
  <c r="F79" i="22"/>
  <c r="H79" i="22"/>
  <c r="M79" i="22"/>
  <c r="D81" i="22"/>
  <c r="H81" i="22"/>
  <c r="H83" i="22"/>
  <c r="M83" i="22"/>
  <c r="N83" i="22" s="1"/>
  <c r="P83" i="22"/>
  <c r="H84" i="22"/>
  <c r="M84" i="22"/>
  <c r="E86" i="22"/>
  <c r="E90" i="14" s="1"/>
  <c r="H86" i="22"/>
  <c r="F87" i="22"/>
  <c r="H87" i="22"/>
  <c r="J87" i="22"/>
  <c r="F88" i="22"/>
  <c r="H88" i="22"/>
  <c r="M88" i="22"/>
  <c r="H90" i="22"/>
  <c r="M90" i="22"/>
  <c r="F91" i="22"/>
  <c r="H91" i="22"/>
  <c r="M91" i="22"/>
  <c r="N91" i="22" s="1"/>
  <c r="H92" i="22"/>
  <c r="D93" i="22"/>
  <c r="H93" i="22"/>
  <c r="C106" i="22"/>
  <c r="C116" i="22" s="1"/>
  <c r="I106" i="22"/>
  <c r="P106" i="22"/>
  <c r="P110" i="22"/>
  <c r="P111" i="22" s="1"/>
  <c r="I111" i="22"/>
  <c r="C113" i="22"/>
  <c r="I113" i="22"/>
  <c r="P113" i="22"/>
  <c r="C114" i="22"/>
  <c r="I114" i="22"/>
  <c r="P114" i="22"/>
  <c r="C115" i="22"/>
  <c r="I115" i="22"/>
  <c r="B117" i="22"/>
  <c r="A1" i="23"/>
  <c r="E12" i="23"/>
  <c r="F12" i="23"/>
  <c r="H12" i="23"/>
  <c r="J12" i="23"/>
  <c r="L12" i="23"/>
  <c r="M12" i="23"/>
  <c r="F13" i="23"/>
  <c r="H13" i="23"/>
  <c r="J13" i="23"/>
  <c r="D26" i="23"/>
  <c r="F26" i="23"/>
  <c r="H26" i="23"/>
  <c r="J26" i="23"/>
  <c r="L26" i="23"/>
  <c r="N26" i="23"/>
  <c r="P26" i="23"/>
  <c r="R26" i="23"/>
  <c r="C30" i="23"/>
  <c r="E30" i="23"/>
  <c r="G30" i="23"/>
  <c r="I30" i="23"/>
  <c r="K30" i="23"/>
  <c r="M30" i="23"/>
  <c r="O30" i="23"/>
  <c r="Q30" i="23"/>
  <c r="D38" i="23"/>
  <c r="D39" i="23" s="1"/>
  <c r="F39" i="23"/>
  <c r="H39" i="23"/>
  <c r="J39" i="23"/>
  <c r="L39" i="23"/>
  <c r="N39" i="23"/>
  <c r="P39" i="23"/>
  <c r="R39" i="23"/>
  <c r="D44" i="23"/>
  <c r="F44" i="23"/>
  <c r="F45" i="23" s="1"/>
  <c r="H44" i="23"/>
  <c r="J44" i="23"/>
  <c r="J45" i="23" s="1"/>
  <c r="L44" i="23"/>
  <c r="N44" i="23"/>
  <c r="P44" i="23"/>
  <c r="R44" i="23"/>
  <c r="D47" i="23"/>
  <c r="L47" i="23"/>
  <c r="L48" i="23"/>
  <c r="D68" i="23"/>
  <c r="F68" i="23"/>
  <c r="F70" i="23" s="1"/>
  <c r="J68" i="23"/>
  <c r="J73" i="23" s="1"/>
  <c r="L68" i="23"/>
  <c r="L83" i="23" s="1"/>
  <c r="N68" i="23"/>
  <c r="N72" i="23" s="1"/>
  <c r="P68" i="23"/>
  <c r="R68" i="23"/>
  <c r="H70" i="23"/>
  <c r="K70" i="23"/>
  <c r="M70" i="23"/>
  <c r="H71" i="23"/>
  <c r="H72" i="23"/>
  <c r="H73" i="23"/>
  <c r="H74" i="23"/>
  <c r="H75" i="23"/>
  <c r="R75" i="23"/>
  <c r="H77" i="23"/>
  <c r="H79" i="23"/>
  <c r="M79" i="23"/>
  <c r="N79" i="23"/>
  <c r="H80" i="23"/>
  <c r="H82" i="23"/>
  <c r="H83" i="23"/>
  <c r="H84" i="23"/>
  <c r="M84" i="23"/>
  <c r="N84" i="23" s="1"/>
  <c r="D86" i="23"/>
  <c r="H86" i="23"/>
  <c r="D87" i="23"/>
  <c r="H87" i="23"/>
  <c r="R87" i="23"/>
  <c r="H88" i="23"/>
  <c r="D89" i="23"/>
  <c r="H89" i="23"/>
  <c r="P89" i="23"/>
  <c r="C102" i="23"/>
  <c r="I102" i="23"/>
  <c r="P102" i="23"/>
  <c r="P106" i="23"/>
  <c r="P107" i="23" s="1"/>
  <c r="C107" i="23"/>
  <c r="C112" i="23" s="1"/>
  <c r="I107" i="23"/>
  <c r="I112" i="23" s="1"/>
  <c r="C109" i="23"/>
  <c r="I109" i="23"/>
  <c r="P109" i="23"/>
  <c r="C110" i="23"/>
  <c r="I110" i="23"/>
  <c r="P110" i="23"/>
  <c r="C111" i="23"/>
  <c r="I111" i="23"/>
  <c r="B113" i="23"/>
  <c r="A1" i="10"/>
  <c r="F12" i="10"/>
  <c r="H12" i="10"/>
  <c r="J12" i="10"/>
  <c r="L12" i="10"/>
  <c r="Y12" i="10" s="1"/>
  <c r="L14" i="10"/>
  <c r="Y14" i="10" s="1"/>
  <c r="D27" i="10"/>
  <c r="F27" i="10"/>
  <c r="H27" i="10"/>
  <c r="J27" i="10"/>
  <c r="L27" i="10"/>
  <c r="N27" i="10"/>
  <c r="P27" i="10"/>
  <c r="R27" i="10"/>
  <c r="X31" i="10"/>
  <c r="C31" i="10"/>
  <c r="E31" i="10"/>
  <c r="G31" i="10"/>
  <c r="I31" i="10"/>
  <c r="K31" i="10"/>
  <c r="M31" i="10"/>
  <c r="O31" i="10"/>
  <c r="Q31" i="10"/>
  <c r="L37" i="10"/>
  <c r="L40" i="10" s="1"/>
  <c r="N37" i="10"/>
  <c r="Y37" i="10" s="1"/>
  <c r="D40" i="10"/>
  <c r="D46" i="10" s="1"/>
  <c r="F40" i="10"/>
  <c r="H40" i="10"/>
  <c r="J40" i="10"/>
  <c r="N40" i="10"/>
  <c r="P40" i="10"/>
  <c r="R40" i="10"/>
  <c r="N42" i="10"/>
  <c r="L44" i="10"/>
  <c r="L45" i="10" s="1"/>
  <c r="D45" i="10"/>
  <c r="F45" i="10"/>
  <c r="F46" i="10" s="1"/>
  <c r="H45" i="10"/>
  <c r="J45" i="10"/>
  <c r="P45" i="10"/>
  <c r="R45" i="10"/>
  <c r="P46" i="10"/>
  <c r="D48" i="10"/>
  <c r="L48" i="10"/>
  <c r="Y48" i="10" s="1"/>
  <c r="D49" i="10"/>
  <c r="F49" i="10"/>
  <c r="L49" i="10"/>
  <c r="N49" i="10"/>
  <c r="K51" i="10"/>
  <c r="X51" i="10" s="1"/>
  <c r="K55" i="14"/>
  <c r="K53" i="14" s="1"/>
  <c r="L51" i="10"/>
  <c r="Y51" i="10" s="1"/>
  <c r="K53" i="10"/>
  <c r="X53" i="10" s="1"/>
  <c r="L53" i="10"/>
  <c r="Y53" i="10" s="1"/>
  <c r="L59" i="14"/>
  <c r="L57" i="14" s="1"/>
  <c r="D69" i="10"/>
  <c r="D72" i="10"/>
  <c r="F69" i="10"/>
  <c r="F72" i="10"/>
  <c r="J69" i="10"/>
  <c r="J71" i="10" s="1"/>
  <c r="L69" i="10"/>
  <c r="N69" i="10"/>
  <c r="N73" i="10" s="1"/>
  <c r="P69" i="10"/>
  <c r="R69" i="10"/>
  <c r="D71" i="10"/>
  <c r="H71" i="10"/>
  <c r="R71" i="10"/>
  <c r="H72" i="10"/>
  <c r="J72" i="10"/>
  <c r="R72" i="10"/>
  <c r="F73" i="10"/>
  <c r="H73" i="10"/>
  <c r="J73" i="10"/>
  <c r="F74" i="10"/>
  <c r="H74" i="10"/>
  <c r="J74" i="10"/>
  <c r="R74" i="10"/>
  <c r="F75" i="10"/>
  <c r="H75" i="10"/>
  <c r="J75" i="10"/>
  <c r="F76" i="10"/>
  <c r="H76" i="10"/>
  <c r="J76" i="10"/>
  <c r="R76" i="10"/>
  <c r="R77" i="10"/>
  <c r="D78" i="10"/>
  <c r="H78" i="10"/>
  <c r="J78" i="10"/>
  <c r="N78" i="10"/>
  <c r="R78" i="10"/>
  <c r="H80" i="10"/>
  <c r="J80" i="10"/>
  <c r="R80" i="10"/>
  <c r="D81" i="10"/>
  <c r="H81" i="10"/>
  <c r="J81" i="10"/>
  <c r="N81" i="10"/>
  <c r="R81" i="10"/>
  <c r="H83" i="10"/>
  <c r="J83" i="10"/>
  <c r="R83" i="10"/>
  <c r="D84" i="10"/>
  <c r="H84" i="10"/>
  <c r="J84" i="10"/>
  <c r="P84" i="10"/>
  <c r="R84" i="10"/>
  <c r="H85" i="10"/>
  <c r="J85" i="10"/>
  <c r="L85" i="10"/>
  <c r="P85" i="10"/>
  <c r="R85" i="10"/>
  <c r="D87" i="10"/>
  <c r="H87" i="10"/>
  <c r="J87" i="10"/>
  <c r="R87" i="10"/>
  <c r="H88" i="10"/>
  <c r="J88" i="10"/>
  <c r="L88" i="10"/>
  <c r="P88" i="10"/>
  <c r="R88" i="10"/>
  <c r="D89" i="10"/>
  <c r="H89" i="10"/>
  <c r="J89" i="10"/>
  <c r="L89" i="10"/>
  <c r="R89" i="10"/>
  <c r="D90" i="10"/>
  <c r="H90" i="10"/>
  <c r="J90" i="10"/>
  <c r="L90" i="10"/>
  <c r="N90" i="10"/>
  <c r="R90" i="10"/>
  <c r="C103" i="10"/>
  <c r="I103" i="10"/>
  <c r="P103" i="10"/>
  <c r="P107" i="10"/>
  <c r="P108" i="10" s="1"/>
  <c r="P113" i="10" s="1"/>
  <c r="C108" i="10"/>
  <c r="I108" i="10"/>
  <c r="I113" i="10" s="1"/>
  <c r="C110" i="10"/>
  <c r="I110" i="10"/>
  <c r="P110" i="10"/>
  <c r="C111" i="10"/>
  <c r="I111" i="10"/>
  <c r="P111" i="10"/>
  <c r="C112" i="10"/>
  <c r="I112" i="10"/>
  <c r="C113" i="10"/>
  <c r="B114" i="10"/>
  <c r="A1" i="13"/>
  <c r="D12" i="13"/>
  <c r="E12" i="13"/>
  <c r="F12" i="13"/>
  <c r="H12" i="13"/>
  <c r="J12" i="13"/>
  <c r="L12" i="13"/>
  <c r="M12" i="13"/>
  <c r="P12" i="13"/>
  <c r="D13" i="13"/>
  <c r="F13" i="13"/>
  <c r="D24" i="13"/>
  <c r="F24" i="13"/>
  <c r="H24" i="13"/>
  <c r="J24" i="13"/>
  <c r="L24" i="13"/>
  <c r="N24" i="13"/>
  <c r="P24" i="13"/>
  <c r="R24" i="13"/>
  <c r="C28" i="13"/>
  <c r="E28" i="13"/>
  <c r="G28" i="13"/>
  <c r="I28" i="13"/>
  <c r="K28" i="13"/>
  <c r="M28" i="13"/>
  <c r="O28" i="13"/>
  <c r="Q28" i="13"/>
  <c r="D36" i="13"/>
  <c r="D37" i="13" s="1"/>
  <c r="F36" i="13"/>
  <c r="F37" i="13"/>
  <c r="F43" i="13" s="1"/>
  <c r="H36" i="13"/>
  <c r="H37" i="13"/>
  <c r="H43" i="13" s="1"/>
  <c r="J36" i="13"/>
  <c r="L36" i="13"/>
  <c r="N36" i="13"/>
  <c r="N37" i="13" s="1"/>
  <c r="N43" i="13" s="1"/>
  <c r="P36" i="13"/>
  <c r="R36" i="13"/>
  <c r="R38" i="14" s="1"/>
  <c r="L37" i="13"/>
  <c r="P37" i="13"/>
  <c r="D42" i="13"/>
  <c r="F42" i="13"/>
  <c r="H42" i="13"/>
  <c r="J42" i="13"/>
  <c r="L42" i="13"/>
  <c r="N42" i="13"/>
  <c r="P42" i="13"/>
  <c r="P43" i="13" s="1"/>
  <c r="R42" i="13"/>
  <c r="D45" i="13"/>
  <c r="L45" i="13"/>
  <c r="F46" i="13"/>
  <c r="H46" i="13"/>
  <c r="J46" i="13"/>
  <c r="J51" i="14" s="1"/>
  <c r="L46" i="13"/>
  <c r="D54" i="13"/>
  <c r="D64" i="14" s="1"/>
  <c r="F54" i="13"/>
  <c r="D66" i="13"/>
  <c r="D69" i="13" s="1"/>
  <c r="F66" i="13"/>
  <c r="F69" i="13" s="1"/>
  <c r="J66" i="13"/>
  <c r="J72" i="13" s="1"/>
  <c r="L66" i="13"/>
  <c r="N66" i="13"/>
  <c r="N86" i="13" s="1"/>
  <c r="P66" i="13"/>
  <c r="P68" i="13" s="1"/>
  <c r="R66" i="13"/>
  <c r="R72" i="13" s="1"/>
  <c r="R68" i="13"/>
  <c r="H68" i="13"/>
  <c r="I68" i="13"/>
  <c r="J68" i="13"/>
  <c r="K68" i="13"/>
  <c r="L68" i="13" s="1"/>
  <c r="M68" i="13"/>
  <c r="N68" i="13" s="1"/>
  <c r="H69" i="13"/>
  <c r="K69" i="13"/>
  <c r="L69" i="13"/>
  <c r="M69" i="13"/>
  <c r="P69" i="13"/>
  <c r="H70" i="13"/>
  <c r="L70" i="13"/>
  <c r="N70" i="13"/>
  <c r="R70" i="13"/>
  <c r="H71" i="13"/>
  <c r="L71" i="13"/>
  <c r="P71" i="13"/>
  <c r="F72" i="13"/>
  <c r="H72" i="13"/>
  <c r="L72" i="13"/>
  <c r="N72" i="13"/>
  <c r="H73" i="13"/>
  <c r="L73" i="13"/>
  <c r="P73" i="13"/>
  <c r="F75" i="13"/>
  <c r="H75" i="13"/>
  <c r="L75" i="13"/>
  <c r="P75" i="13"/>
  <c r="D77" i="13"/>
  <c r="H77" i="13"/>
  <c r="L77" i="13"/>
  <c r="M77" i="13"/>
  <c r="F78" i="13"/>
  <c r="H78" i="13"/>
  <c r="L78" i="13"/>
  <c r="M78" i="13"/>
  <c r="F80" i="13"/>
  <c r="H80" i="13"/>
  <c r="L80" i="13"/>
  <c r="P80" i="13"/>
  <c r="D81" i="13"/>
  <c r="H81" i="13"/>
  <c r="L81" i="13"/>
  <c r="F82" i="13"/>
  <c r="H82" i="13"/>
  <c r="I82" i="13"/>
  <c r="I92" i="14"/>
  <c r="J82" i="13"/>
  <c r="L82" i="13"/>
  <c r="M82" i="13"/>
  <c r="N82" i="13"/>
  <c r="R82" i="13"/>
  <c r="F84" i="13"/>
  <c r="H84" i="13"/>
  <c r="L84" i="13"/>
  <c r="M84" i="13"/>
  <c r="R84" i="13"/>
  <c r="D85" i="13"/>
  <c r="H85" i="13"/>
  <c r="I85" i="13"/>
  <c r="I95" i="14" s="1"/>
  <c r="L85" i="13"/>
  <c r="M85" i="13"/>
  <c r="P85" i="13"/>
  <c r="R85" i="13"/>
  <c r="D86" i="13"/>
  <c r="H86" i="13"/>
  <c r="L86" i="13"/>
  <c r="P86" i="13"/>
  <c r="R86" i="13"/>
  <c r="H87" i="13"/>
  <c r="J87" i="13"/>
  <c r="L87" i="13"/>
  <c r="P87" i="13"/>
  <c r="R87" i="13"/>
  <c r="C100" i="13"/>
  <c r="I100" i="13"/>
  <c r="P100" i="13"/>
  <c r="C105" i="13"/>
  <c r="I105" i="13"/>
  <c r="I110" i="13" s="1"/>
  <c r="P105" i="13"/>
  <c r="P110" i="13"/>
  <c r="C107" i="13"/>
  <c r="I107" i="13"/>
  <c r="P107" i="13"/>
  <c r="C108" i="13"/>
  <c r="I108" i="13"/>
  <c r="P108" i="13"/>
  <c r="C109" i="13"/>
  <c r="I109" i="13"/>
  <c r="P109" i="13"/>
  <c r="B111" i="13"/>
  <c r="A1" i="9"/>
  <c r="D11" i="9"/>
  <c r="E11" i="9"/>
  <c r="F11" i="9"/>
  <c r="H11" i="9"/>
  <c r="I11" i="9"/>
  <c r="J11" i="9"/>
  <c r="L11" i="9"/>
  <c r="M11" i="9"/>
  <c r="J13" i="9"/>
  <c r="L13" i="9"/>
  <c r="L14" i="14" s="1"/>
  <c r="D27" i="9"/>
  <c r="F27" i="9"/>
  <c r="H27" i="9"/>
  <c r="J27" i="9"/>
  <c r="L27" i="9"/>
  <c r="N27" i="9"/>
  <c r="P27" i="9"/>
  <c r="R27" i="9"/>
  <c r="C31" i="9"/>
  <c r="E31" i="9"/>
  <c r="G31" i="9"/>
  <c r="I31" i="9"/>
  <c r="K31" i="9"/>
  <c r="M31" i="9"/>
  <c r="O31" i="9"/>
  <c r="Q31" i="9"/>
  <c r="D40" i="9"/>
  <c r="D46" i="9" s="1"/>
  <c r="F40" i="9"/>
  <c r="H40" i="9"/>
  <c r="J40" i="9"/>
  <c r="L40" i="9"/>
  <c r="N40" i="9"/>
  <c r="P40" i="9"/>
  <c r="R40" i="9"/>
  <c r="D45" i="9"/>
  <c r="F45" i="9"/>
  <c r="H45" i="9"/>
  <c r="J45" i="9"/>
  <c r="L45" i="9"/>
  <c r="N45" i="9"/>
  <c r="P45" i="9"/>
  <c r="R45" i="9"/>
  <c r="AC45" i="9" s="1"/>
  <c r="D48" i="9"/>
  <c r="L48" i="9"/>
  <c r="L49" i="9"/>
  <c r="N49" i="9"/>
  <c r="D64" i="9"/>
  <c r="D69" i="9" s="1"/>
  <c r="F69" i="9"/>
  <c r="F87" i="9" s="1"/>
  <c r="H69" i="9"/>
  <c r="H74" i="9" s="1"/>
  <c r="J69" i="9"/>
  <c r="J89" i="9" s="1"/>
  <c r="L69" i="9"/>
  <c r="L83" i="9" s="1"/>
  <c r="N69" i="9"/>
  <c r="N72" i="9" s="1"/>
  <c r="P69" i="9"/>
  <c r="P80" i="9" s="1"/>
  <c r="R69" i="9"/>
  <c r="R77" i="9" s="1"/>
  <c r="K71" i="9"/>
  <c r="M71" i="9"/>
  <c r="H72" i="9"/>
  <c r="H73" i="9"/>
  <c r="P74" i="9"/>
  <c r="F78" i="9"/>
  <c r="M80" i="9"/>
  <c r="M81" i="9"/>
  <c r="N81" i="9" s="1"/>
  <c r="H83" i="9"/>
  <c r="M83" i="9"/>
  <c r="N83" i="9" s="1"/>
  <c r="M85" i="9"/>
  <c r="H87" i="9"/>
  <c r="M87" i="9"/>
  <c r="P87" i="9"/>
  <c r="R87" i="9"/>
  <c r="M88" i="9"/>
  <c r="F89" i="9"/>
  <c r="H89" i="9"/>
  <c r="P89" i="9"/>
  <c r="R89" i="9"/>
  <c r="C103" i="9"/>
  <c r="I103" i="9"/>
  <c r="P103" i="9"/>
  <c r="P107" i="9"/>
  <c r="P108" i="9" s="1"/>
  <c r="P113" i="9" s="1"/>
  <c r="C108" i="9"/>
  <c r="C113" i="9" s="1"/>
  <c r="I108" i="9"/>
  <c r="C110" i="9"/>
  <c r="I110" i="9"/>
  <c r="P110" i="9"/>
  <c r="C111" i="9"/>
  <c r="I111" i="9"/>
  <c r="P111" i="9"/>
  <c r="C112" i="9"/>
  <c r="I112" i="9"/>
  <c r="B114" i="9"/>
  <c r="A1" i="8"/>
  <c r="E12" i="8"/>
  <c r="D14" i="8"/>
  <c r="D24" i="8"/>
  <c r="F24" i="8"/>
  <c r="H24" i="8"/>
  <c r="J24" i="8"/>
  <c r="L24" i="8"/>
  <c r="N24" i="8"/>
  <c r="P24" i="8"/>
  <c r="R24" i="8"/>
  <c r="C28" i="8"/>
  <c r="E28" i="8"/>
  <c r="G28" i="8"/>
  <c r="I28" i="8"/>
  <c r="K28" i="8"/>
  <c r="M28" i="8"/>
  <c r="O28" i="8"/>
  <c r="Q28" i="8"/>
  <c r="D37" i="8"/>
  <c r="D43" i="8" s="1"/>
  <c r="F37" i="8"/>
  <c r="H37" i="8"/>
  <c r="J37" i="8"/>
  <c r="L37" i="8"/>
  <c r="N37" i="8"/>
  <c r="P37" i="8"/>
  <c r="R37" i="8"/>
  <c r="D42" i="8"/>
  <c r="F42" i="8"/>
  <c r="F43" i="8" s="1"/>
  <c r="H42" i="8"/>
  <c r="J42" i="8"/>
  <c r="L42" i="8"/>
  <c r="N42" i="8"/>
  <c r="P42" i="8"/>
  <c r="R42" i="8"/>
  <c r="H43" i="8"/>
  <c r="D45" i="8"/>
  <c r="L45" i="8"/>
  <c r="L46" i="8"/>
  <c r="N46" i="8"/>
  <c r="D61" i="8"/>
  <c r="D66" i="8" s="1"/>
  <c r="F66" i="8"/>
  <c r="F68" i="8"/>
  <c r="N66" i="8"/>
  <c r="N73" i="8" s="1"/>
  <c r="P66" i="8"/>
  <c r="P69" i="8" s="1"/>
  <c r="R66" i="8"/>
  <c r="R68" i="8" s="1"/>
  <c r="H68" i="8"/>
  <c r="J68" i="8"/>
  <c r="L68" i="8"/>
  <c r="M68" i="8"/>
  <c r="N68" i="8" s="1"/>
  <c r="H69" i="8"/>
  <c r="J69" i="8"/>
  <c r="L69" i="8"/>
  <c r="H70" i="8"/>
  <c r="J70" i="8"/>
  <c r="L70" i="8"/>
  <c r="P70" i="8"/>
  <c r="H71" i="8"/>
  <c r="J71" i="8"/>
  <c r="L71" i="8"/>
  <c r="F72" i="8"/>
  <c r="H72" i="8"/>
  <c r="J72" i="8"/>
  <c r="L72" i="8"/>
  <c r="P72" i="8"/>
  <c r="H73" i="8"/>
  <c r="J73" i="8"/>
  <c r="L73" i="8"/>
  <c r="R73" i="8"/>
  <c r="H75" i="8"/>
  <c r="J75" i="8"/>
  <c r="L75" i="8"/>
  <c r="P75" i="8"/>
  <c r="F77" i="8"/>
  <c r="H77" i="8"/>
  <c r="J77" i="8"/>
  <c r="L77" i="8"/>
  <c r="M77" i="8"/>
  <c r="N77" i="8" s="1"/>
  <c r="F78" i="8"/>
  <c r="H78" i="8"/>
  <c r="J78" i="8"/>
  <c r="L78" i="8"/>
  <c r="N78" i="8"/>
  <c r="P78" i="8"/>
  <c r="H80" i="8"/>
  <c r="J80" i="8"/>
  <c r="L80" i="8"/>
  <c r="F81" i="8"/>
  <c r="H81" i="8"/>
  <c r="J81" i="8"/>
  <c r="L81" i="8"/>
  <c r="N81" i="8"/>
  <c r="P81" i="8"/>
  <c r="H82" i="8"/>
  <c r="J82" i="8"/>
  <c r="L82" i="8"/>
  <c r="M82" i="8"/>
  <c r="N82" i="8" s="1"/>
  <c r="R82" i="8"/>
  <c r="H84" i="8"/>
  <c r="J84" i="8"/>
  <c r="L84" i="8"/>
  <c r="M84" i="8"/>
  <c r="N84" i="8"/>
  <c r="P84" i="8"/>
  <c r="H85" i="8"/>
  <c r="J85" i="8"/>
  <c r="L85" i="8"/>
  <c r="R85" i="8"/>
  <c r="F86" i="8"/>
  <c r="H86" i="8"/>
  <c r="J86" i="8"/>
  <c r="L86" i="8"/>
  <c r="N86" i="8"/>
  <c r="P86" i="8"/>
  <c r="H87" i="8"/>
  <c r="J87" i="8"/>
  <c r="L87" i="8"/>
  <c r="R87" i="8"/>
  <c r="C100" i="8"/>
  <c r="I100" i="8"/>
  <c r="P100" i="8"/>
  <c r="C105" i="8"/>
  <c r="C110" i="8"/>
  <c r="I105" i="8"/>
  <c r="I110" i="8" s="1"/>
  <c r="P105" i="8"/>
  <c r="P110" i="8" s="1"/>
  <c r="C107" i="8"/>
  <c r="I107" i="8"/>
  <c r="P107" i="8"/>
  <c r="I108" i="8"/>
  <c r="P108" i="8"/>
  <c r="C109" i="8"/>
  <c r="I109" i="8"/>
  <c r="P109" i="8"/>
  <c r="B111" i="8"/>
  <c r="A1" i="7"/>
  <c r="E12" i="7"/>
  <c r="F12" i="7"/>
  <c r="H12" i="7"/>
  <c r="I12" i="7"/>
  <c r="J12" i="7"/>
  <c r="M12" i="7"/>
  <c r="D14" i="7"/>
  <c r="F14" i="7"/>
  <c r="D29" i="7"/>
  <c r="F29" i="7"/>
  <c r="H29" i="7"/>
  <c r="J29" i="7"/>
  <c r="L29" i="7"/>
  <c r="N29" i="7"/>
  <c r="P29" i="7"/>
  <c r="R29" i="7"/>
  <c r="C33" i="7"/>
  <c r="E33" i="7"/>
  <c r="G33" i="7"/>
  <c r="I33" i="7"/>
  <c r="K33" i="7"/>
  <c r="M33" i="7"/>
  <c r="O33" i="7"/>
  <c r="Q33" i="7"/>
  <c r="D42" i="7"/>
  <c r="F42" i="7"/>
  <c r="H42" i="7"/>
  <c r="H48" i="7" s="1"/>
  <c r="J42" i="7"/>
  <c r="L42" i="7"/>
  <c r="N42" i="7"/>
  <c r="P42" i="7"/>
  <c r="P48" i="7" s="1"/>
  <c r="R42" i="7"/>
  <c r="D47" i="7"/>
  <c r="F47" i="7"/>
  <c r="H47" i="7"/>
  <c r="J47" i="7"/>
  <c r="L47" i="7"/>
  <c r="N47" i="7"/>
  <c r="P47" i="7"/>
  <c r="R47" i="7"/>
  <c r="D50" i="7"/>
  <c r="L50" i="7"/>
  <c r="L51" i="7"/>
  <c r="N51" i="7"/>
  <c r="D71" i="7"/>
  <c r="F71" i="7"/>
  <c r="F76" i="7" s="1"/>
  <c r="N71" i="7"/>
  <c r="N74" i="7" s="1"/>
  <c r="P71" i="7"/>
  <c r="R71" i="7"/>
  <c r="D73" i="7"/>
  <c r="H73" i="7"/>
  <c r="J73" i="7"/>
  <c r="L73" i="7"/>
  <c r="N73" i="7"/>
  <c r="R73" i="7"/>
  <c r="D74" i="7"/>
  <c r="F74" i="7"/>
  <c r="H74" i="7"/>
  <c r="J74" i="7"/>
  <c r="L74" i="7"/>
  <c r="R74" i="7"/>
  <c r="D75" i="7"/>
  <c r="H75" i="7"/>
  <c r="J75" i="7"/>
  <c r="L75" i="7"/>
  <c r="R75" i="7"/>
  <c r="D76" i="7"/>
  <c r="H76" i="7"/>
  <c r="J76" i="7"/>
  <c r="L76" i="7"/>
  <c r="R76" i="7"/>
  <c r="D77" i="7"/>
  <c r="F77" i="7"/>
  <c r="H77" i="7"/>
  <c r="J77" i="7"/>
  <c r="L77" i="7"/>
  <c r="N77" i="7"/>
  <c r="R77" i="7"/>
  <c r="D78" i="7"/>
  <c r="F78" i="7"/>
  <c r="H78" i="7"/>
  <c r="J78" i="7"/>
  <c r="L78" i="7"/>
  <c r="R78" i="7"/>
  <c r="R79" i="7"/>
  <c r="D80" i="7"/>
  <c r="H80" i="7"/>
  <c r="J80" i="7"/>
  <c r="L80" i="7"/>
  <c r="R80" i="7"/>
  <c r="D82" i="7"/>
  <c r="H82" i="7"/>
  <c r="J82" i="7"/>
  <c r="L82" i="7"/>
  <c r="N82" i="7"/>
  <c r="R82" i="7"/>
  <c r="D83" i="7"/>
  <c r="H83" i="7"/>
  <c r="J83" i="7"/>
  <c r="L83" i="7"/>
  <c r="R83" i="7"/>
  <c r="D85" i="7"/>
  <c r="H85" i="7"/>
  <c r="J85" i="7"/>
  <c r="L85" i="7"/>
  <c r="N85" i="7"/>
  <c r="P85" i="7"/>
  <c r="R85" i="7"/>
  <c r="D86" i="7"/>
  <c r="F86" i="7"/>
  <c r="H86" i="7"/>
  <c r="J86" i="7"/>
  <c r="L86" i="7"/>
  <c r="N86" i="7"/>
  <c r="R86" i="7"/>
  <c r="D87" i="7"/>
  <c r="H87" i="7"/>
  <c r="J87" i="7"/>
  <c r="L87" i="7"/>
  <c r="P87" i="7"/>
  <c r="R87" i="7"/>
  <c r="D89" i="7"/>
  <c r="H89" i="7"/>
  <c r="J89" i="7"/>
  <c r="L89" i="7"/>
  <c r="R89" i="7"/>
  <c r="D90" i="7"/>
  <c r="H90" i="7"/>
  <c r="J90" i="7"/>
  <c r="L90" i="7"/>
  <c r="N90" i="7"/>
  <c r="P90" i="7"/>
  <c r="R90" i="7"/>
  <c r="D91" i="7"/>
  <c r="F91" i="7"/>
  <c r="H91" i="7"/>
  <c r="J91" i="7"/>
  <c r="L91" i="7"/>
  <c r="N91" i="7"/>
  <c r="R91" i="7"/>
  <c r="D92" i="7"/>
  <c r="H92" i="7"/>
  <c r="J92" i="7"/>
  <c r="L92" i="7"/>
  <c r="P92" i="7"/>
  <c r="R92" i="7"/>
  <c r="C105" i="7"/>
  <c r="I105" i="7"/>
  <c r="P105" i="7"/>
  <c r="C110" i="7"/>
  <c r="I110" i="7"/>
  <c r="I115" i="7" s="1"/>
  <c r="P110" i="7"/>
  <c r="C112" i="7"/>
  <c r="I112" i="7"/>
  <c r="P112" i="7"/>
  <c r="C113" i="7"/>
  <c r="I113" i="7"/>
  <c r="P113" i="7"/>
  <c r="C114" i="7"/>
  <c r="I114" i="7"/>
  <c r="P114" i="7"/>
  <c r="B116" i="7"/>
  <c r="A1" i="6"/>
  <c r="D12" i="6"/>
  <c r="E12" i="6"/>
  <c r="F12" i="6"/>
  <c r="H12" i="6"/>
  <c r="I12" i="6"/>
  <c r="J12" i="6"/>
  <c r="L12" i="6"/>
  <c r="M12" i="6"/>
  <c r="P12" i="6"/>
  <c r="D25" i="6"/>
  <c r="F25" i="6"/>
  <c r="H25" i="6"/>
  <c r="J25" i="6"/>
  <c r="L25" i="6"/>
  <c r="N25" i="6"/>
  <c r="P25" i="6"/>
  <c r="R25" i="6"/>
  <c r="C29" i="6"/>
  <c r="E29" i="6"/>
  <c r="G29" i="6"/>
  <c r="I29" i="6"/>
  <c r="K29" i="6"/>
  <c r="M29" i="6"/>
  <c r="O29" i="6"/>
  <c r="Q29" i="6"/>
  <c r="D38" i="6"/>
  <c r="F38" i="6"/>
  <c r="F44" i="6" s="1"/>
  <c r="H38" i="6"/>
  <c r="H44" i="6" s="1"/>
  <c r="J38" i="6"/>
  <c r="L38" i="6"/>
  <c r="N38" i="6"/>
  <c r="P38" i="6"/>
  <c r="P44" i="6" s="1"/>
  <c r="R38" i="6"/>
  <c r="D43" i="6"/>
  <c r="D44" i="6" s="1"/>
  <c r="F43" i="6"/>
  <c r="H43" i="6"/>
  <c r="J43" i="6"/>
  <c r="L43" i="6"/>
  <c r="N43" i="6"/>
  <c r="P43" i="6"/>
  <c r="R43" i="6"/>
  <c r="D46" i="6"/>
  <c r="L46" i="6"/>
  <c r="F62" i="6"/>
  <c r="F71" i="14" s="1"/>
  <c r="L62" i="6"/>
  <c r="L67" i="6" s="1"/>
  <c r="L71" i="14"/>
  <c r="D67" i="6"/>
  <c r="D70" i="6" s="1"/>
  <c r="J67" i="6"/>
  <c r="J69" i="6" s="1"/>
  <c r="N67" i="6"/>
  <c r="N72" i="6" s="1"/>
  <c r="P67" i="6"/>
  <c r="P69" i="6" s="1"/>
  <c r="R67" i="6"/>
  <c r="R72" i="6"/>
  <c r="E69" i="6"/>
  <c r="H69" i="6"/>
  <c r="K69" i="6"/>
  <c r="M69" i="6"/>
  <c r="N69" i="6" s="1"/>
  <c r="R69" i="6"/>
  <c r="H70" i="6"/>
  <c r="N70" i="6"/>
  <c r="R70" i="6"/>
  <c r="H71" i="6"/>
  <c r="J71" i="6"/>
  <c r="P71" i="6"/>
  <c r="R71" i="6"/>
  <c r="H72" i="6"/>
  <c r="H73" i="6"/>
  <c r="N73" i="6"/>
  <c r="P73" i="6"/>
  <c r="H74" i="6"/>
  <c r="P74" i="6"/>
  <c r="R75" i="6"/>
  <c r="H76" i="6"/>
  <c r="N76" i="6"/>
  <c r="P76" i="6"/>
  <c r="H78" i="6"/>
  <c r="M78" i="6"/>
  <c r="N78" i="6" s="1"/>
  <c r="P78" i="6"/>
  <c r="E79" i="6"/>
  <c r="H79" i="6"/>
  <c r="I79" i="6"/>
  <c r="I88" i="14" s="1"/>
  <c r="M79" i="6"/>
  <c r="N79" i="6"/>
  <c r="P79" i="6"/>
  <c r="H81" i="6"/>
  <c r="M81" i="6"/>
  <c r="N81" i="6" s="1"/>
  <c r="P81" i="6"/>
  <c r="R81" i="6"/>
  <c r="H82" i="6"/>
  <c r="P82" i="6"/>
  <c r="D83" i="6"/>
  <c r="E83" i="6"/>
  <c r="H83" i="6"/>
  <c r="M83" i="6"/>
  <c r="N83" i="6" s="1"/>
  <c r="P83" i="6"/>
  <c r="H85" i="6"/>
  <c r="M85" i="6"/>
  <c r="N85" i="6" s="1"/>
  <c r="P85" i="6"/>
  <c r="H86" i="6"/>
  <c r="M86" i="6"/>
  <c r="N86" i="6" s="1"/>
  <c r="P86" i="6"/>
  <c r="R86" i="6"/>
  <c r="H87" i="6"/>
  <c r="M87" i="6"/>
  <c r="N87" i="6" s="1"/>
  <c r="P87" i="6"/>
  <c r="H88" i="6"/>
  <c r="N88" i="6"/>
  <c r="P88" i="6"/>
  <c r="R88" i="6"/>
  <c r="C101" i="6"/>
  <c r="I101" i="6"/>
  <c r="P101" i="6"/>
  <c r="C106" i="6"/>
  <c r="C111" i="6" s="1"/>
  <c r="I106" i="6"/>
  <c r="I111" i="6" s="1"/>
  <c r="P106" i="6"/>
  <c r="P111" i="6"/>
  <c r="C108" i="6"/>
  <c r="I108" i="6"/>
  <c r="P108" i="6"/>
  <c r="C109" i="6"/>
  <c r="I109" i="6"/>
  <c r="P109" i="6"/>
  <c r="C110" i="6"/>
  <c r="I110" i="6"/>
  <c r="P110" i="6"/>
  <c r="B112" i="6"/>
  <c r="A1" i="5"/>
  <c r="D12" i="5"/>
  <c r="E12" i="5"/>
  <c r="H12" i="5"/>
  <c r="I12" i="5"/>
  <c r="J12" i="5"/>
  <c r="L12" i="5"/>
  <c r="M12" i="5"/>
  <c r="P12" i="5"/>
  <c r="D13" i="5"/>
  <c r="D12" i="14" s="1"/>
  <c r="L15" i="5"/>
  <c r="M15" i="5"/>
  <c r="D27" i="5"/>
  <c r="F27" i="5"/>
  <c r="H27" i="5"/>
  <c r="J27" i="5"/>
  <c r="L27" i="5"/>
  <c r="N27" i="5"/>
  <c r="P27" i="5"/>
  <c r="R27" i="5"/>
  <c r="C31" i="5"/>
  <c r="E31" i="5"/>
  <c r="G31" i="5"/>
  <c r="I31" i="5"/>
  <c r="K31" i="5"/>
  <c r="M31" i="5"/>
  <c r="O31" i="5"/>
  <c r="Q31" i="5"/>
  <c r="D40" i="5"/>
  <c r="F40" i="5"/>
  <c r="H40" i="5"/>
  <c r="J40" i="5"/>
  <c r="L40" i="5"/>
  <c r="N40" i="5"/>
  <c r="N46" i="5" s="1"/>
  <c r="P40" i="5"/>
  <c r="R40" i="5"/>
  <c r="R46" i="5" s="1"/>
  <c r="D45" i="5"/>
  <c r="D46" i="5"/>
  <c r="F45" i="5"/>
  <c r="H45" i="5"/>
  <c r="J45" i="5"/>
  <c r="L45" i="5"/>
  <c r="N45" i="5"/>
  <c r="P45" i="5"/>
  <c r="R45" i="5"/>
  <c r="J46" i="5"/>
  <c r="D48" i="5"/>
  <c r="J48" i="5"/>
  <c r="L48" i="5"/>
  <c r="D49" i="5"/>
  <c r="N49" i="5"/>
  <c r="D69" i="5"/>
  <c r="D78" i="5" s="1"/>
  <c r="F69" i="5"/>
  <c r="F84" i="5" s="1"/>
  <c r="J69" i="5"/>
  <c r="J71" i="5" s="1"/>
  <c r="L69" i="5"/>
  <c r="L88" i="5" s="1"/>
  <c r="N69" i="5"/>
  <c r="N72" i="5" s="1"/>
  <c r="P69" i="5"/>
  <c r="P80" i="5" s="1"/>
  <c r="P71" i="5"/>
  <c r="R69" i="5"/>
  <c r="R72" i="5" s="1"/>
  <c r="D71" i="5"/>
  <c r="F71" i="5"/>
  <c r="H71" i="5"/>
  <c r="K71" i="5"/>
  <c r="L71" i="5"/>
  <c r="M71" i="5"/>
  <c r="D72" i="5"/>
  <c r="F72" i="5"/>
  <c r="H72" i="5"/>
  <c r="K72" i="5"/>
  <c r="L72" i="5" s="1"/>
  <c r="K79" i="14"/>
  <c r="P72" i="5"/>
  <c r="D73" i="5"/>
  <c r="H73" i="5"/>
  <c r="P73" i="5"/>
  <c r="D74" i="5"/>
  <c r="H74" i="5"/>
  <c r="P74" i="5"/>
  <c r="D75" i="5"/>
  <c r="H75" i="5"/>
  <c r="K75" i="5"/>
  <c r="L75" i="5" s="1"/>
  <c r="M75" i="5"/>
  <c r="N75" i="5"/>
  <c r="P75" i="5"/>
  <c r="D76" i="5"/>
  <c r="H76" i="5"/>
  <c r="P76" i="5"/>
  <c r="R77" i="5"/>
  <c r="H78" i="5"/>
  <c r="L78" i="5"/>
  <c r="N78" i="5"/>
  <c r="R78" i="5"/>
  <c r="F80" i="5"/>
  <c r="H80" i="5"/>
  <c r="J80" i="5"/>
  <c r="M80" i="5"/>
  <c r="N80" i="5"/>
  <c r="D81" i="5"/>
  <c r="F81" i="5"/>
  <c r="H81" i="5"/>
  <c r="D83" i="5"/>
  <c r="F83" i="5"/>
  <c r="H83" i="5"/>
  <c r="M83" i="5"/>
  <c r="N83" i="5" s="1"/>
  <c r="P83" i="5"/>
  <c r="R83" i="5"/>
  <c r="H84" i="5"/>
  <c r="L84" i="5"/>
  <c r="N84" i="5"/>
  <c r="R84" i="5"/>
  <c r="F85" i="5"/>
  <c r="H85" i="5"/>
  <c r="J85" i="5"/>
  <c r="N85" i="5"/>
  <c r="P85" i="5"/>
  <c r="R85" i="5"/>
  <c r="H87" i="5"/>
  <c r="L87" i="5"/>
  <c r="M87" i="5"/>
  <c r="N87" i="5" s="1"/>
  <c r="D88" i="5"/>
  <c r="F88" i="5"/>
  <c r="H88" i="5"/>
  <c r="P88" i="5"/>
  <c r="D89" i="5"/>
  <c r="H89" i="5"/>
  <c r="L89" i="5"/>
  <c r="P89" i="5"/>
  <c r="D90" i="5"/>
  <c r="H90" i="5"/>
  <c r="L90" i="5"/>
  <c r="C103" i="5"/>
  <c r="I103" i="5"/>
  <c r="P103" i="5"/>
  <c r="P107" i="5"/>
  <c r="P108" i="5" s="1"/>
  <c r="C108" i="5"/>
  <c r="I108" i="5"/>
  <c r="C110" i="5"/>
  <c r="I110" i="5"/>
  <c r="P110" i="5"/>
  <c r="C111" i="5"/>
  <c r="I111" i="5"/>
  <c r="P111" i="5"/>
  <c r="C112" i="5"/>
  <c r="I112" i="5"/>
  <c r="C113" i="5"/>
  <c r="I113" i="5"/>
  <c r="B114" i="5"/>
  <c r="A1" i="15"/>
  <c r="E12" i="15"/>
  <c r="F12" i="15"/>
  <c r="I12" i="15"/>
  <c r="L12" i="15"/>
  <c r="M12" i="15"/>
  <c r="X12" i="15" s="1"/>
  <c r="P12" i="15"/>
  <c r="H14" i="15"/>
  <c r="E16" i="15"/>
  <c r="H16" i="15"/>
  <c r="J16" i="15"/>
  <c r="L16" i="15"/>
  <c r="Y16" i="15" s="1"/>
  <c r="M16" i="15"/>
  <c r="X16" i="15"/>
  <c r="D25" i="15"/>
  <c r="F25" i="15"/>
  <c r="H25" i="15"/>
  <c r="N25" i="15"/>
  <c r="Y25" i="15" s="1"/>
  <c r="D26" i="15"/>
  <c r="F26" i="15"/>
  <c r="H26" i="15"/>
  <c r="N26" i="15"/>
  <c r="Y26" i="15" s="1"/>
  <c r="D27" i="15"/>
  <c r="F27" i="15"/>
  <c r="H27" i="15"/>
  <c r="N27" i="15"/>
  <c r="Y27" i="15" s="1"/>
  <c r="J29" i="15"/>
  <c r="L29" i="15"/>
  <c r="P29" i="15"/>
  <c r="R29" i="15"/>
  <c r="C33" i="15"/>
  <c r="E33" i="15"/>
  <c r="G33" i="15"/>
  <c r="I33" i="15"/>
  <c r="K33" i="15"/>
  <c r="M33" i="15"/>
  <c r="O33" i="15"/>
  <c r="Q33" i="15"/>
  <c r="D42" i="15"/>
  <c r="D48" i="15"/>
  <c r="F42" i="15"/>
  <c r="H42" i="15"/>
  <c r="J42" i="15"/>
  <c r="L42" i="15"/>
  <c r="N42" i="15"/>
  <c r="P42" i="15"/>
  <c r="P48" i="15" s="1"/>
  <c r="R42" i="15"/>
  <c r="R48" i="15" s="1"/>
  <c r="D47" i="15"/>
  <c r="F47" i="15"/>
  <c r="F48" i="15" s="1"/>
  <c r="H47" i="15"/>
  <c r="H48" i="15" s="1"/>
  <c r="J47" i="15"/>
  <c r="L47" i="15"/>
  <c r="N47" i="15"/>
  <c r="P47" i="15"/>
  <c r="R47" i="15"/>
  <c r="N48" i="15"/>
  <c r="D50" i="15"/>
  <c r="F50" i="15"/>
  <c r="L50" i="15"/>
  <c r="Y50" i="15" s="1"/>
  <c r="D51" i="15"/>
  <c r="N51" i="15"/>
  <c r="Y51" i="15"/>
  <c r="D72" i="15"/>
  <c r="D74" i="15" s="1"/>
  <c r="F72" i="15"/>
  <c r="F81" i="15" s="1"/>
  <c r="J72" i="15"/>
  <c r="J78" i="15" s="1"/>
  <c r="L72" i="15"/>
  <c r="L74" i="15" s="1"/>
  <c r="N72" i="15"/>
  <c r="N93" i="15" s="1"/>
  <c r="P72" i="15"/>
  <c r="P83" i="15" s="1"/>
  <c r="R72" i="15"/>
  <c r="R75" i="15" s="1"/>
  <c r="R74" i="15"/>
  <c r="H74" i="15"/>
  <c r="M74" i="15"/>
  <c r="N74" i="15" s="1"/>
  <c r="H75" i="15"/>
  <c r="L75" i="15"/>
  <c r="P75" i="15"/>
  <c r="H76" i="15"/>
  <c r="J76" i="15"/>
  <c r="L76" i="15"/>
  <c r="P76" i="15"/>
  <c r="H77" i="15"/>
  <c r="J77" i="15"/>
  <c r="L77" i="15"/>
  <c r="R77" i="15"/>
  <c r="H78" i="15"/>
  <c r="L78" i="15"/>
  <c r="R78" i="15"/>
  <c r="H79" i="15"/>
  <c r="L79" i="15"/>
  <c r="D81" i="15"/>
  <c r="H81" i="15"/>
  <c r="D83" i="15"/>
  <c r="H83" i="15"/>
  <c r="M83" i="15"/>
  <c r="N83" i="15" s="1"/>
  <c r="R83" i="15"/>
  <c r="H84" i="15"/>
  <c r="J84" i="15"/>
  <c r="M84" i="15"/>
  <c r="P84" i="15"/>
  <c r="R84" i="15"/>
  <c r="D86" i="15"/>
  <c r="H86" i="15"/>
  <c r="N86" i="15"/>
  <c r="H87" i="15"/>
  <c r="F88" i="15"/>
  <c r="H88" i="15"/>
  <c r="M88" i="15"/>
  <c r="N88" i="15" s="1"/>
  <c r="P88" i="15"/>
  <c r="H90" i="15"/>
  <c r="J90" i="15"/>
  <c r="L90" i="15"/>
  <c r="P90" i="15"/>
  <c r="H91" i="15"/>
  <c r="J91" i="15"/>
  <c r="L91" i="15"/>
  <c r="M91" i="15"/>
  <c r="N91" i="15" s="1"/>
  <c r="R91" i="15"/>
  <c r="H92" i="15"/>
  <c r="M92" i="15"/>
  <c r="M96" i="14" s="1"/>
  <c r="F93" i="15"/>
  <c r="H93" i="15"/>
  <c r="R93" i="15"/>
  <c r="P105" i="15"/>
  <c r="P106" i="15" s="1"/>
  <c r="C106" i="15"/>
  <c r="I106" i="15"/>
  <c r="P110" i="15"/>
  <c r="P111" i="15" s="1"/>
  <c r="C111" i="15"/>
  <c r="C116" i="15"/>
  <c r="I111" i="15"/>
  <c r="C113" i="15"/>
  <c r="I113" i="15"/>
  <c r="P113" i="15"/>
  <c r="C114" i="15"/>
  <c r="I114" i="15"/>
  <c r="P114" i="15"/>
  <c r="C115" i="15"/>
  <c r="I115" i="15"/>
  <c r="I116" i="15"/>
  <c r="B117" i="15"/>
  <c r="A1" i="4"/>
  <c r="E12" i="4"/>
  <c r="H12" i="4"/>
  <c r="J12" i="4"/>
  <c r="L12" i="4"/>
  <c r="M12" i="4"/>
  <c r="I15" i="4"/>
  <c r="E17" i="4"/>
  <c r="J17" i="4"/>
  <c r="D27" i="4"/>
  <c r="F27" i="4"/>
  <c r="H27" i="4"/>
  <c r="J27" i="4"/>
  <c r="L27" i="4"/>
  <c r="N27" i="4"/>
  <c r="P27" i="4"/>
  <c r="R27" i="4"/>
  <c r="C31" i="4"/>
  <c r="E31" i="4"/>
  <c r="G31" i="4"/>
  <c r="I31" i="4"/>
  <c r="K31" i="4"/>
  <c r="M31" i="4"/>
  <c r="O31" i="4"/>
  <c r="Q31" i="4"/>
  <c r="D40" i="4"/>
  <c r="F40" i="4"/>
  <c r="F46" i="4" s="1"/>
  <c r="H40" i="4"/>
  <c r="J40" i="4"/>
  <c r="L40" i="4"/>
  <c r="N40" i="4"/>
  <c r="P40" i="4"/>
  <c r="R40" i="4"/>
  <c r="D45" i="4"/>
  <c r="F45" i="4"/>
  <c r="H45" i="4"/>
  <c r="J45" i="4"/>
  <c r="L45" i="4"/>
  <c r="L46" i="4" s="1"/>
  <c r="N45" i="4"/>
  <c r="P45" i="4"/>
  <c r="R45" i="4"/>
  <c r="R46" i="4" s="1"/>
  <c r="D48" i="4"/>
  <c r="L48" i="4"/>
  <c r="D49" i="4"/>
  <c r="N49" i="4"/>
  <c r="D69" i="4"/>
  <c r="D71" i="4" s="1"/>
  <c r="F69" i="4"/>
  <c r="F71" i="4" s="1"/>
  <c r="J69" i="4"/>
  <c r="J83" i="4" s="1"/>
  <c r="L69" i="4"/>
  <c r="L72" i="4"/>
  <c r="N69" i="4"/>
  <c r="P69" i="4"/>
  <c r="P71" i="4" s="1"/>
  <c r="R69" i="4"/>
  <c r="H71" i="4"/>
  <c r="K71" i="4"/>
  <c r="L71" i="4" s="1"/>
  <c r="H72" i="4"/>
  <c r="D73" i="4"/>
  <c r="H73" i="4"/>
  <c r="P73" i="4"/>
  <c r="H74" i="4"/>
  <c r="H75" i="4"/>
  <c r="K75" i="4"/>
  <c r="L75" i="4" s="1"/>
  <c r="M75" i="4"/>
  <c r="N75" i="4" s="1"/>
  <c r="D76" i="4"/>
  <c r="H76" i="4"/>
  <c r="K76" i="4"/>
  <c r="L76" i="4" s="1"/>
  <c r="P76" i="4"/>
  <c r="H78" i="4"/>
  <c r="P78" i="4"/>
  <c r="H80" i="4"/>
  <c r="P80" i="4"/>
  <c r="H81" i="4"/>
  <c r="M81" i="4"/>
  <c r="N81" i="4"/>
  <c r="H83" i="4"/>
  <c r="P83" i="4"/>
  <c r="H84" i="4"/>
  <c r="J84" i="4"/>
  <c r="H85" i="4"/>
  <c r="M85" i="4"/>
  <c r="N85" i="4" s="1"/>
  <c r="D87" i="4"/>
  <c r="H87" i="4"/>
  <c r="M87" i="4"/>
  <c r="N87" i="4" s="1"/>
  <c r="F88" i="4"/>
  <c r="H88" i="4"/>
  <c r="J88" i="4"/>
  <c r="P88" i="4"/>
  <c r="F89" i="4"/>
  <c r="H89" i="4"/>
  <c r="J89" i="4"/>
  <c r="P89" i="4"/>
  <c r="F90" i="4"/>
  <c r="H90" i="4"/>
  <c r="J90" i="4"/>
  <c r="P90" i="4"/>
  <c r="P102" i="4"/>
  <c r="P103" i="4" s="1"/>
  <c r="C103" i="4"/>
  <c r="I103" i="4"/>
  <c r="P107" i="4"/>
  <c r="P108" i="4" s="1"/>
  <c r="C108" i="4"/>
  <c r="C113" i="4" s="1"/>
  <c r="I108" i="4"/>
  <c r="I113" i="4"/>
  <c r="C110" i="4"/>
  <c r="I110" i="4"/>
  <c r="P110" i="4"/>
  <c r="C111" i="4"/>
  <c r="I111" i="4"/>
  <c r="P111" i="4"/>
  <c r="C112" i="4"/>
  <c r="I112" i="4"/>
  <c r="B114" i="4"/>
  <c r="A1" i="3"/>
  <c r="D12" i="3"/>
  <c r="E12" i="3"/>
  <c r="H12" i="3"/>
  <c r="J12" i="3"/>
  <c r="L12" i="3"/>
  <c r="P12" i="3"/>
  <c r="J14" i="3"/>
  <c r="I15" i="3"/>
  <c r="I15" i="14"/>
  <c r="D17" i="3"/>
  <c r="E17" i="3"/>
  <c r="I17" i="3"/>
  <c r="J17" i="3"/>
  <c r="K17" i="3"/>
  <c r="L17" i="3"/>
  <c r="M17" i="3"/>
  <c r="D19" i="3"/>
  <c r="E19" i="3"/>
  <c r="J19" i="3"/>
  <c r="L19" i="3"/>
  <c r="M19" i="3"/>
  <c r="P19" i="3"/>
  <c r="Q19" i="3"/>
  <c r="D32" i="3"/>
  <c r="F32" i="3"/>
  <c r="H32" i="3"/>
  <c r="J32" i="3"/>
  <c r="L32" i="3"/>
  <c r="N32" i="3"/>
  <c r="P32" i="3"/>
  <c r="R32" i="3"/>
  <c r="C36" i="3"/>
  <c r="E36" i="3"/>
  <c r="G36" i="3"/>
  <c r="I36" i="3"/>
  <c r="K36" i="3"/>
  <c r="M36" i="3"/>
  <c r="O36" i="3"/>
  <c r="Q36" i="3"/>
  <c r="D42" i="3"/>
  <c r="F42" i="3"/>
  <c r="F45" i="3" s="1"/>
  <c r="F51" i="3" s="1"/>
  <c r="H42" i="3"/>
  <c r="J42" i="3"/>
  <c r="J45" i="3" s="1"/>
  <c r="J51" i="3" s="1"/>
  <c r="L42" i="3"/>
  <c r="N42" i="3"/>
  <c r="N45" i="3"/>
  <c r="P42" i="3"/>
  <c r="R42" i="3"/>
  <c r="R45" i="3" s="1"/>
  <c r="R51" i="3" s="1"/>
  <c r="D44" i="3"/>
  <c r="F44" i="3"/>
  <c r="D50" i="3"/>
  <c r="F50" i="3"/>
  <c r="H50" i="3"/>
  <c r="J50" i="3"/>
  <c r="L50" i="3"/>
  <c r="N50" i="3"/>
  <c r="P50" i="3"/>
  <c r="R50" i="3"/>
  <c r="D53" i="3"/>
  <c r="L53" i="3"/>
  <c r="D54" i="3"/>
  <c r="F54" i="3"/>
  <c r="F51" i="14"/>
  <c r="H54" i="3"/>
  <c r="L54" i="3"/>
  <c r="N54" i="3"/>
  <c r="F62" i="3"/>
  <c r="H62" i="3"/>
  <c r="J62" i="3"/>
  <c r="J63" i="14" s="1"/>
  <c r="L62" i="3"/>
  <c r="N62" i="3"/>
  <c r="N63" i="14" s="1"/>
  <c r="N63" i="3"/>
  <c r="N64" i="14"/>
  <c r="D75" i="3"/>
  <c r="D81" i="3" s="1"/>
  <c r="F75" i="3"/>
  <c r="F80" i="3" s="1"/>
  <c r="J75" i="3"/>
  <c r="J84" i="3" s="1"/>
  <c r="L75" i="3"/>
  <c r="L78" i="3" s="1"/>
  <c r="N75" i="3"/>
  <c r="N95" i="3" s="1"/>
  <c r="P75" i="3"/>
  <c r="P80" i="3" s="1"/>
  <c r="R75" i="3"/>
  <c r="D77" i="3"/>
  <c r="E77" i="3"/>
  <c r="H77" i="3"/>
  <c r="I77" i="3"/>
  <c r="K77" i="3"/>
  <c r="M77" i="3"/>
  <c r="P77" i="3"/>
  <c r="D78" i="3"/>
  <c r="H78" i="3"/>
  <c r="D79" i="3"/>
  <c r="H79" i="3"/>
  <c r="K79" i="3"/>
  <c r="M79" i="3"/>
  <c r="D80" i="3"/>
  <c r="H80" i="3"/>
  <c r="H81" i="3"/>
  <c r="K81" i="3"/>
  <c r="M81" i="3"/>
  <c r="H82" i="3"/>
  <c r="K82" i="3"/>
  <c r="K83" i="14" s="1"/>
  <c r="M82" i="3"/>
  <c r="P82" i="3"/>
  <c r="R82" i="3"/>
  <c r="R83" i="3"/>
  <c r="D84" i="3"/>
  <c r="H84" i="3"/>
  <c r="R84" i="3"/>
  <c r="D86" i="3"/>
  <c r="E86" i="3"/>
  <c r="E87" i="14" s="1"/>
  <c r="H86" i="3"/>
  <c r="M86" i="3"/>
  <c r="R86" i="3"/>
  <c r="E87" i="3"/>
  <c r="E88" i="14" s="1"/>
  <c r="H87" i="3"/>
  <c r="M87" i="3"/>
  <c r="N87" i="3" s="1"/>
  <c r="P87" i="3"/>
  <c r="R87" i="3"/>
  <c r="H89" i="3"/>
  <c r="M89" i="3"/>
  <c r="R89" i="3"/>
  <c r="H90" i="3"/>
  <c r="R90" i="3"/>
  <c r="E91" i="3"/>
  <c r="E92" i="14"/>
  <c r="H91" i="3"/>
  <c r="L91" i="3"/>
  <c r="M91" i="3"/>
  <c r="R91" i="3"/>
  <c r="D93" i="3"/>
  <c r="E93" i="3"/>
  <c r="E94" i="14" s="1"/>
  <c r="H93" i="3"/>
  <c r="L93" i="3"/>
  <c r="M93" i="3"/>
  <c r="R93" i="3"/>
  <c r="D94" i="3"/>
  <c r="E94" i="3"/>
  <c r="E95" i="14" s="1"/>
  <c r="H94" i="3"/>
  <c r="L94" i="3"/>
  <c r="M94" i="3"/>
  <c r="R94" i="3"/>
  <c r="H95" i="3"/>
  <c r="R95" i="3"/>
  <c r="H96" i="3"/>
  <c r="J96" i="3"/>
  <c r="N96" i="3"/>
  <c r="R96" i="3"/>
  <c r="O99" i="3"/>
  <c r="P99" i="3"/>
  <c r="P100" i="14"/>
  <c r="P108" i="3"/>
  <c r="C109" i="3"/>
  <c r="I109" i="3"/>
  <c r="P113" i="3"/>
  <c r="C114" i="3"/>
  <c r="I114" i="3"/>
  <c r="C116" i="3"/>
  <c r="I116" i="3"/>
  <c r="P116" i="3"/>
  <c r="C118" i="3"/>
  <c r="I118" i="3"/>
  <c r="B120" i="3"/>
  <c r="A1" i="2"/>
  <c r="D12" i="2"/>
  <c r="E12" i="2"/>
  <c r="H12" i="2"/>
  <c r="I12" i="2"/>
  <c r="J12" i="2"/>
  <c r="L12" i="2"/>
  <c r="D13" i="2"/>
  <c r="D14" i="14" s="1"/>
  <c r="J13" i="2"/>
  <c r="H14" i="2"/>
  <c r="H15" i="14" s="1"/>
  <c r="D25" i="2"/>
  <c r="F25" i="2"/>
  <c r="H25" i="2"/>
  <c r="J25" i="2"/>
  <c r="L25" i="2"/>
  <c r="N25" i="2"/>
  <c r="P25" i="2"/>
  <c r="R25" i="2"/>
  <c r="C29" i="2"/>
  <c r="E29" i="2"/>
  <c r="G29" i="2"/>
  <c r="I29" i="2"/>
  <c r="K29" i="2"/>
  <c r="M29" i="2"/>
  <c r="O29" i="2"/>
  <c r="Q29" i="2"/>
  <c r="D38" i="2"/>
  <c r="F38" i="2"/>
  <c r="H38" i="2"/>
  <c r="J38" i="2"/>
  <c r="J44" i="2" s="1"/>
  <c r="L38" i="2"/>
  <c r="N38" i="2"/>
  <c r="P38" i="2"/>
  <c r="R38" i="2"/>
  <c r="D43" i="2"/>
  <c r="D44" i="2" s="1"/>
  <c r="F43" i="2"/>
  <c r="H43" i="2"/>
  <c r="H44" i="2"/>
  <c r="J43" i="2"/>
  <c r="L43" i="2"/>
  <c r="N43" i="2"/>
  <c r="N44" i="2"/>
  <c r="P43" i="2"/>
  <c r="R43" i="2"/>
  <c r="R44" i="2" s="1"/>
  <c r="D46" i="2"/>
  <c r="L46" i="2"/>
  <c r="D47" i="2"/>
  <c r="L47" i="2"/>
  <c r="N47" i="2"/>
  <c r="D68" i="2"/>
  <c r="D71" i="2" s="1"/>
  <c r="F68" i="2"/>
  <c r="F71" i="2" s="1"/>
  <c r="J68" i="2"/>
  <c r="J83" i="2" s="1"/>
  <c r="L68" i="2"/>
  <c r="L70" i="2" s="1"/>
  <c r="N68" i="2"/>
  <c r="N72" i="2" s="1"/>
  <c r="P68" i="2"/>
  <c r="P70" i="2" s="1"/>
  <c r="R68" i="2"/>
  <c r="R76" i="2"/>
  <c r="D70" i="2"/>
  <c r="H70" i="2"/>
  <c r="M70" i="2"/>
  <c r="N70" i="2" s="1"/>
  <c r="R70" i="2"/>
  <c r="H71" i="2"/>
  <c r="L71" i="2"/>
  <c r="R71" i="2"/>
  <c r="H72" i="2"/>
  <c r="L72" i="2"/>
  <c r="R72" i="2"/>
  <c r="H73" i="2"/>
  <c r="P73" i="2"/>
  <c r="R73" i="2"/>
  <c r="H74" i="2"/>
  <c r="I74" i="2"/>
  <c r="I82" i="14" s="1"/>
  <c r="L74" i="2"/>
  <c r="M74" i="2"/>
  <c r="N74" i="2" s="1"/>
  <c r="H75" i="2"/>
  <c r="P75" i="2"/>
  <c r="D77" i="2"/>
  <c r="H77" i="2"/>
  <c r="D79" i="2"/>
  <c r="H79" i="2"/>
  <c r="L79" i="2"/>
  <c r="M79" i="2"/>
  <c r="N79" i="2" s="1"/>
  <c r="P79" i="2"/>
  <c r="R79" i="2"/>
  <c r="H80" i="2"/>
  <c r="J80" i="2"/>
  <c r="L80" i="2"/>
  <c r="M80" i="2"/>
  <c r="P80" i="2"/>
  <c r="D82" i="2"/>
  <c r="H82" i="2"/>
  <c r="M82" i="2"/>
  <c r="N82" i="2" s="1"/>
  <c r="F83" i="2"/>
  <c r="H83" i="2"/>
  <c r="L83" i="2"/>
  <c r="M83" i="2"/>
  <c r="M91" i="14"/>
  <c r="D84" i="2"/>
  <c r="H84" i="2"/>
  <c r="L84" i="2"/>
  <c r="M84" i="2"/>
  <c r="N84" i="2" s="1"/>
  <c r="P84" i="2"/>
  <c r="R84" i="2"/>
  <c r="H86" i="2"/>
  <c r="J86" i="2"/>
  <c r="L86" i="2"/>
  <c r="M86" i="2"/>
  <c r="P86" i="2"/>
  <c r="D87" i="2"/>
  <c r="H87" i="2"/>
  <c r="P87" i="2"/>
  <c r="D88" i="2"/>
  <c r="H88" i="2"/>
  <c r="P88" i="2"/>
  <c r="D89" i="2"/>
  <c r="F89" i="2"/>
  <c r="H89" i="2"/>
  <c r="L89" i="2"/>
  <c r="C102" i="2"/>
  <c r="I102" i="2"/>
  <c r="P102" i="2"/>
  <c r="C107" i="2"/>
  <c r="C112" i="2"/>
  <c r="I107" i="2"/>
  <c r="I112" i="2" s="1"/>
  <c r="P107" i="2"/>
  <c r="P112" i="2" s="1"/>
  <c r="C109" i="2"/>
  <c r="I109" i="2"/>
  <c r="P109" i="2"/>
  <c r="I110" i="2"/>
  <c r="C111" i="2"/>
  <c r="I111" i="2"/>
  <c r="P111" i="2"/>
  <c r="B113" i="2"/>
  <c r="A1" i="1"/>
  <c r="D12" i="1"/>
  <c r="E12" i="1"/>
  <c r="J12" i="1"/>
  <c r="L12" i="1"/>
  <c r="P12" i="1"/>
  <c r="D23" i="1"/>
  <c r="F23" i="1"/>
  <c r="H23" i="1"/>
  <c r="J23" i="1"/>
  <c r="L23" i="1"/>
  <c r="N23" i="1"/>
  <c r="P23" i="1"/>
  <c r="R23" i="1"/>
  <c r="C27" i="1"/>
  <c r="E27" i="1"/>
  <c r="G27" i="1"/>
  <c r="I27" i="1"/>
  <c r="K27" i="1"/>
  <c r="M27" i="1"/>
  <c r="O27" i="1"/>
  <c r="Q27" i="1"/>
  <c r="L33" i="1"/>
  <c r="D36" i="1"/>
  <c r="F36" i="1"/>
  <c r="F42" i="1" s="1"/>
  <c r="H36" i="1"/>
  <c r="J36" i="1"/>
  <c r="N36" i="1"/>
  <c r="P36" i="1"/>
  <c r="R36" i="1"/>
  <c r="R42" i="1" s="1"/>
  <c r="D41" i="1"/>
  <c r="F41" i="1"/>
  <c r="H41" i="1"/>
  <c r="J41" i="1"/>
  <c r="L41" i="1"/>
  <c r="N41" i="1"/>
  <c r="N42" i="1" s="1"/>
  <c r="P41" i="1"/>
  <c r="R41" i="1"/>
  <c r="D44" i="1"/>
  <c r="L44" i="1"/>
  <c r="D45" i="1"/>
  <c r="L45" i="1"/>
  <c r="N45" i="1"/>
  <c r="D60" i="1"/>
  <c r="D71" i="14" s="1"/>
  <c r="F65" i="1"/>
  <c r="F67" i="1" s="1"/>
  <c r="H65" i="1"/>
  <c r="H69" i="1" s="1"/>
  <c r="J65" i="1"/>
  <c r="J68" i="1" s="1"/>
  <c r="L65" i="1"/>
  <c r="L68" i="1"/>
  <c r="N65" i="1"/>
  <c r="N74" i="1" s="1"/>
  <c r="P65" i="1"/>
  <c r="P69" i="1" s="1"/>
  <c r="R65" i="1"/>
  <c r="R73" i="1" s="1"/>
  <c r="L67" i="1"/>
  <c r="M67" i="1"/>
  <c r="N67" i="1" s="1"/>
  <c r="H68" i="1"/>
  <c r="P68" i="1"/>
  <c r="J69" i="1"/>
  <c r="N69" i="1"/>
  <c r="J70" i="1"/>
  <c r="F71" i="1"/>
  <c r="H72" i="1"/>
  <c r="P72" i="1"/>
  <c r="L74" i="1"/>
  <c r="H76" i="1"/>
  <c r="L76" i="1"/>
  <c r="M76" i="1"/>
  <c r="N76" i="1"/>
  <c r="J77" i="1"/>
  <c r="N77" i="1"/>
  <c r="F79" i="1"/>
  <c r="M79" i="1"/>
  <c r="N79" i="1"/>
  <c r="J80" i="1"/>
  <c r="N80" i="1"/>
  <c r="P80" i="1"/>
  <c r="H81" i="1"/>
  <c r="L81" i="1"/>
  <c r="M81" i="1"/>
  <c r="F83" i="1"/>
  <c r="H83" i="1"/>
  <c r="J83" i="1"/>
  <c r="L83" i="1"/>
  <c r="P83" i="1"/>
  <c r="F84" i="1"/>
  <c r="M84" i="1"/>
  <c r="F85" i="1"/>
  <c r="P85" i="1"/>
  <c r="J86" i="1"/>
  <c r="L86" i="1"/>
  <c r="N86" i="1"/>
  <c r="C99" i="1"/>
  <c r="I99" i="1"/>
  <c r="P99" i="1"/>
  <c r="P103" i="1"/>
  <c r="P104" i="1" s="1"/>
  <c r="C104" i="1"/>
  <c r="C109" i="1" s="1"/>
  <c r="I104" i="1"/>
  <c r="C106" i="1"/>
  <c r="I106" i="1"/>
  <c r="P106" i="1"/>
  <c r="C107" i="1"/>
  <c r="I107" i="1"/>
  <c r="P107" i="1"/>
  <c r="C108" i="1"/>
  <c r="I108" i="1"/>
  <c r="P108" i="1"/>
  <c r="I109" i="1"/>
  <c r="B110" i="1"/>
  <c r="A1" i="29"/>
  <c r="P24" i="29"/>
  <c r="R24" i="29"/>
  <c r="J37" i="29"/>
  <c r="L37" i="29"/>
  <c r="N37" i="29"/>
  <c r="P37" i="29"/>
  <c r="R37" i="29"/>
  <c r="J42" i="29"/>
  <c r="L42" i="29"/>
  <c r="N42" i="29"/>
  <c r="P42" i="29"/>
  <c r="R42" i="29"/>
  <c r="L45" i="29"/>
  <c r="J66" i="29"/>
  <c r="J68" i="29" s="1"/>
  <c r="L66" i="29"/>
  <c r="L69" i="29" s="1"/>
  <c r="N66" i="29"/>
  <c r="N69" i="29" s="1"/>
  <c r="P66" i="29"/>
  <c r="P69" i="29"/>
  <c r="R66" i="29"/>
  <c r="R68" i="29" s="1"/>
  <c r="L68" i="29"/>
  <c r="P68" i="29"/>
  <c r="R70" i="29"/>
  <c r="N72" i="29"/>
  <c r="P72" i="29"/>
  <c r="R74" i="29"/>
  <c r="L77" i="29"/>
  <c r="R77" i="29"/>
  <c r="P80" i="29"/>
  <c r="N82" i="29"/>
  <c r="R82" i="29"/>
  <c r="P85" i="29"/>
  <c r="P100" i="29"/>
  <c r="P110" i="29" s="1"/>
  <c r="P105" i="29"/>
  <c r="P109" i="29"/>
  <c r="B111" i="29"/>
  <c r="E12" i="11"/>
  <c r="E14" i="11"/>
  <c r="F14" i="11"/>
  <c r="H14" i="11"/>
  <c r="J14" i="11"/>
  <c r="L14" i="11"/>
  <c r="P14" i="11"/>
  <c r="AC14" i="11" s="1"/>
  <c r="Q14" i="11"/>
  <c r="AB14" i="11" s="1"/>
  <c r="E16" i="11"/>
  <c r="F16" i="11"/>
  <c r="J16" i="11"/>
  <c r="L16" i="11"/>
  <c r="E18" i="11"/>
  <c r="Q18" i="11"/>
  <c r="AB18" i="11" s="1"/>
  <c r="E22" i="11"/>
  <c r="D30" i="11"/>
  <c r="F30" i="11"/>
  <c r="J30" i="11"/>
  <c r="L30" i="11"/>
  <c r="E32" i="11"/>
  <c r="F32" i="11"/>
  <c r="J32" i="11"/>
  <c r="L32" i="11"/>
  <c r="P32" i="11"/>
  <c r="AC32" i="11" s="1"/>
  <c r="E34" i="11"/>
  <c r="I34" i="11"/>
  <c r="Q34" i="11"/>
  <c r="AB34" i="11" s="1"/>
  <c r="I36" i="11"/>
  <c r="E38" i="11"/>
  <c r="E40" i="11"/>
  <c r="I40" i="11"/>
  <c r="E42" i="11"/>
  <c r="I42" i="11"/>
  <c r="E46" i="11"/>
  <c r="I50" i="11"/>
  <c r="K50" i="11"/>
  <c r="K10" i="14"/>
  <c r="Q50" i="11"/>
  <c r="AB50" i="11" s="1"/>
  <c r="E56" i="11"/>
  <c r="I58" i="11"/>
  <c r="C62" i="11"/>
  <c r="C10" i="14" s="1"/>
  <c r="E62" i="11"/>
  <c r="O62" i="11"/>
  <c r="O10" i="14" s="1"/>
  <c r="Q64" i="11"/>
  <c r="AB64" i="11" s="1"/>
  <c r="O67" i="11"/>
  <c r="O14" i="14" s="1"/>
  <c r="Q67" i="11"/>
  <c r="AB67" i="11" s="1"/>
  <c r="H78" i="11"/>
  <c r="H22" i="14" s="1"/>
  <c r="J78" i="11"/>
  <c r="J22" i="14" s="1"/>
  <c r="H79" i="11"/>
  <c r="H82" i="11" s="1"/>
  <c r="J79" i="11"/>
  <c r="J23" i="14" s="1"/>
  <c r="D82" i="11"/>
  <c r="F82" i="11"/>
  <c r="L82" i="11"/>
  <c r="N82" i="11"/>
  <c r="P82" i="11"/>
  <c r="C86" i="11"/>
  <c r="E86" i="11"/>
  <c r="G86" i="11"/>
  <c r="I86" i="11"/>
  <c r="K86" i="11"/>
  <c r="M86" i="11"/>
  <c r="O86" i="11"/>
  <c r="Q86" i="11"/>
  <c r="D92" i="11"/>
  <c r="D36" i="14" s="1"/>
  <c r="F92" i="11"/>
  <c r="F36" i="14" s="1"/>
  <c r="H92" i="11"/>
  <c r="H36" i="14"/>
  <c r="D94" i="11"/>
  <c r="F94" i="11"/>
  <c r="F38" i="14" s="1"/>
  <c r="H94" i="11"/>
  <c r="H38" i="14" s="1"/>
  <c r="L94" i="11"/>
  <c r="L38" i="14" s="1"/>
  <c r="D99" i="11"/>
  <c r="D43" i="14" s="1"/>
  <c r="F100" i="11"/>
  <c r="H100" i="11"/>
  <c r="N100" i="11"/>
  <c r="P100" i="11"/>
  <c r="R100" i="11"/>
  <c r="J103" i="11"/>
  <c r="L103" i="11"/>
  <c r="N103" i="11"/>
  <c r="P103" i="11"/>
  <c r="P50" i="14" s="1"/>
  <c r="L104" i="11"/>
  <c r="N104" i="11"/>
  <c r="N51" i="14" s="1"/>
  <c r="D111" i="11"/>
  <c r="D63" i="14"/>
  <c r="F111" i="11"/>
  <c r="F63" i="14" s="1"/>
  <c r="H111" i="11"/>
  <c r="H63" i="14" s="1"/>
  <c r="F112" i="11"/>
  <c r="F64" i="14" s="1"/>
  <c r="H112" i="11"/>
  <c r="H64" i="14"/>
  <c r="J112" i="11"/>
  <c r="J64" i="14" s="1"/>
  <c r="L112" i="11"/>
  <c r="D124" i="11"/>
  <c r="D129" i="11" s="1"/>
  <c r="F124" i="11"/>
  <c r="F126" i="11" s="1"/>
  <c r="H124" i="11"/>
  <c r="J124" i="11"/>
  <c r="J144" i="11" s="1"/>
  <c r="L124" i="11"/>
  <c r="N124" i="11"/>
  <c r="N135" i="11" s="1"/>
  <c r="P124" i="11"/>
  <c r="L126" i="11"/>
  <c r="R126" i="11"/>
  <c r="N127" i="11"/>
  <c r="R127" i="11"/>
  <c r="R128" i="11"/>
  <c r="R129" i="11"/>
  <c r="R130" i="11"/>
  <c r="R131" i="11"/>
  <c r="R132" i="11"/>
  <c r="R133" i="11"/>
  <c r="R135" i="11"/>
  <c r="R136" i="11"/>
  <c r="R138" i="11"/>
  <c r="R139" i="11"/>
  <c r="N140" i="11"/>
  <c r="R140" i="11"/>
  <c r="R142" i="11"/>
  <c r="R143" i="11"/>
  <c r="R144" i="11"/>
  <c r="R145" i="11"/>
  <c r="P157" i="11"/>
  <c r="P167" i="11" s="1"/>
  <c r="C158" i="11"/>
  <c r="P162" i="11"/>
  <c r="C163" i="11"/>
  <c r="C165" i="11"/>
  <c r="C166" i="11"/>
  <c r="C167" i="11"/>
  <c r="P80" i="7"/>
  <c r="P83" i="7"/>
  <c r="P86" i="7"/>
  <c r="P89" i="7"/>
  <c r="P91" i="7"/>
  <c r="F80" i="7"/>
  <c r="F82" i="7"/>
  <c r="F85" i="7"/>
  <c r="F87" i="7"/>
  <c r="F90" i="7"/>
  <c r="F92" i="7"/>
  <c r="P115" i="7"/>
  <c r="L48" i="7"/>
  <c r="C115" i="7"/>
  <c r="F83" i="7"/>
  <c r="P82" i="7"/>
  <c r="P78" i="7"/>
  <c r="P77" i="7"/>
  <c r="P76" i="7"/>
  <c r="P75" i="7"/>
  <c r="P74" i="7"/>
  <c r="P73" i="7"/>
  <c r="R48" i="7"/>
  <c r="N48" i="7"/>
  <c r="F48" i="7"/>
  <c r="J48" i="7"/>
  <c r="I119" i="3"/>
  <c r="P118" i="3"/>
  <c r="P114" i="3"/>
  <c r="P109" i="3"/>
  <c r="P119" i="3" s="1"/>
  <c r="N94" i="3"/>
  <c r="N93" i="3"/>
  <c r="N91" i="3"/>
  <c r="N89" i="3"/>
  <c r="F87" i="3"/>
  <c r="F86" i="3"/>
  <c r="N82" i="3"/>
  <c r="L82" i="3"/>
  <c r="K82" i="14"/>
  <c r="L81" i="3"/>
  <c r="M80" i="14"/>
  <c r="N79" i="3"/>
  <c r="L77" i="3"/>
  <c r="R77" i="3"/>
  <c r="R78" i="3"/>
  <c r="R79" i="3"/>
  <c r="R80" i="3"/>
  <c r="R81" i="3"/>
  <c r="N78" i="3"/>
  <c r="N80" i="3"/>
  <c r="J78" i="3"/>
  <c r="J79" i="3"/>
  <c r="J80" i="3"/>
  <c r="J81" i="3"/>
  <c r="M82" i="14"/>
  <c r="N81" i="3"/>
  <c r="K80" i="14"/>
  <c r="L79" i="3"/>
  <c r="N77" i="3"/>
  <c r="I78" i="14"/>
  <c r="J77" i="3"/>
  <c r="P45" i="3"/>
  <c r="P51" i="3"/>
  <c r="L45" i="3"/>
  <c r="L51" i="3"/>
  <c r="H45" i="3"/>
  <c r="H51" i="3"/>
  <c r="D45" i="3"/>
  <c r="D51" i="3"/>
  <c r="P64" i="14"/>
  <c r="N51" i="3"/>
  <c r="P113" i="4"/>
  <c r="D71" i="8"/>
  <c r="D72" i="8"/>
  <c r="D80" i="8"/>
  <c r="D81" i="8"/>
  <c r="D85" i="8"/>
  <c r="D86" i="8"/>
  <c r="D87" i="8"/>
  <c r="D75" i="8"/>
  <c r="D77" i="8"/>
  <c r="D84" i="8"/>
  <c r="R74" i="1"/>
  <c r="J74" i="1"/>
  <c r="F74" i="1"/>
  <c r="J67" i="1"/>
  <c r="D65" i="1"/>
  <c r="J42" i="1"/>
  <c r="R89" i="2"/>
  <c r="N89" i="2"/>
  <c r="J89" i="2"/>
  <c r="R88" i="2"/>
  <c r="N88" i="2"/>
  <c r="J88" i="2"/>
  <c r="R87" i="2"/>
  <c r="N87" i="2"/>
  <c r="J87" i="2"/>
  <c r="R86" i="2"/>
  <c r="N86" i="2"/>
  <c r="D86" i="2"/>
  <c r="J84" i="2"/>
  <c r="R83" i="2"/>
  <c r="N83" i="2"/>
  <c r="D83" i="2"/>
  <c r="J82" i="2"/>
  <c r="R80" i="2"/>
  <c r="N80" i="2"/>
  <c r="D80" i="2"/>
  <c r="J79" i="2"/>
  <c r="R77" i="2"/>
  <c r="J77" i="2"/>
  <c r="D75" i="2"/>
  <c r="J74" i="2"/>
  <c r="D74" i="2"/>
  <c r="D73" i="2"/>
  <c r="D72" i="2"/>
  <c r="P93" i="3"/>
  <c r="F93" i="3"/>
  <c r="P91" i="3"/>
  <c r="F91" i="3"/>
  <c r="P90" i="3"/>
  <c r="F90" i="3"/>
  <c r="P89" i="3"/>
  <c r="F89" i="3"/>
  <c r="P86" i="3"/>
  <c r="L86" i="3"/>
  <c r="F84" i="3"/>
  <c r="F82" i="3"/>
  <c r="F79" i="3"/>
  <c r="F78" i="3"/>
  <c r="L15" i="14"/>
  <c r="J43" i="8"/>
  <c r="L145" i="11"/>
  <c r="H145" i="11"/>
  <c r="L144" i="11"/>
  <c r="H144" i="11"/>
  <c r="D144" i="11"/>
  <c r="L143" i="11"/>
  <c r="H143" i="11"/>
  <c r="L142" i="11"/>
  <c r="H142" i="11"/>
  <c r="D142" i="11"/>
  <c r="L140" i="11"/>
  <c r="H140" i="11"/>
  <c r="L139" i="11"/>
  <c r="H139" i="11"/>
  <c r="D139" i="11"/>
  <c r="L138" i="11"/>
  <c r="H138" i="11"/>
  <c r="L136" i="11"/>
  <c r="H136" i="11"/>
  <c r="D136" i="11"/>
  <c r="L135" i="11"/>
  <c r="H135" i="11"/>
  <c r="L133" i="11"/>
  <c r="L64" i="14"/>
  <c r="P86" i="29"/>
  <c r="L86" i="29"/>
  <c r="P84" i="29"/>
  <c r="L84" i="29"/>
  <c r="P81" i="29"/>
  <c r="L81" i="29"/>
  <c r="P78" i="29"/>
  <c r="L78" i="29"/>
  <c r="P75" i="29"/>
  <c r="L75" i="29"/>
  <c r="P73" i="29"/>
  <c r="L73" i="29"/>
  <c r="P71" i="29"/>
  <c r="L71" i="29"/>
  <c r="N81" i="1"/>
  <c r="J14" i="14"/>
  <c r="D71" i="6"/>
  <c r="F67" i="6"/>
  <c r="F86" i="6" s="1"/>
  <c r="F81" i="9"/>
  <c r="R80" i="9"/>
  <c r="R76" i="9"/>
  <c r="J76" i="9"/>
  <c r="F76" i="9"/>
  <c r="R75" i="9"/>
  <c r="F75" i="9"/>
  <c r="R74" i="9"/>
  <c r="J74" i="9"/>
  <c r="F74" i="9"/>
  <c r="R73" i="9"/>
  <c r="F73" i="9"/>
  <c r="R72" i="9"/>
  <c r="J72" i="9"/>
  <c r="F72" i="9"/>
  <c r="J85" i="13"/>
  <c r="D73" i="13"/>
  <c r="D72" i="13"/>
  <c r="D71" i="13"/>
  <c r="D70" i="13"/>
  <c r="R37" i="13"/>
  <c r="R43" i="13" s="1"/>
  <c r="J37" i="13"/>
  <c r="J43" i="13" s="1"/>
  <c r="R73" i="23"/>
  <c r="N73" i="23"/>
  <c r="R72" i="23"/>
  <c r="R71" i="23"/>
  <c r="J71" i="23"/>
  <c r="J50" i="22"/>
  <c r="N24" i="14"/>
  <c r="F24" i="14"/>
  <c r="D23" i="14"/>
  <c r="N22" i="14"/>
  <c r="F22" i="14"/>
  <c r="D75" i="21"/>
  <c r="D74" i="21"/>
  <c r="D73" i="21"/>
  <c r="F50" i="14"/>
  <c r="P69" i="20"/>
  <c r="L69" i="20"/>
  <c r="H69" i="20"/>
  <c r="D69" i="20"/>
  <c r="P68" i="20"/>
  <c r="L68" i="20"/>
  <c r="H68" i="20"/>
  <c r="D68" i="20"/>
  <c r="L73" i="19"/>
  <c r="L72" i="19"/>
  <c r="N71" i="14"/>
  <c r="N68" i="19"/>
  <c r="N77" i="19" s="1"/>
  <c r="H24" i="14"/>
  <c r="D24" i="14"/>
  <c r="N23" i="14"/>
  <c r="D22" i="14"/>
  <c r="J38" i="19"/>
  <c r="J44" i="19" s="1"/>
  <c r="J46" i="18"/>
  <c r="N70" i="19"/>
  <c r="N86" i="19"/>
  <c r="F81" i="6"/>
  <c r="F70" i="6"/>
  <c r="F74" i="6"/>
  <c r="D67" i="1"/>
  <c r="D74" i="1"/>
  <c r="D76" i="1"/>
  <c r="D80" i="1"/>
  <c r="D81" i="1"/>
  <c r="D85" i="1"/>
  <c r="D86" i="1"/>
  <c r="D68" i="1"/>
  <c r="D69" i="1"/>
  <c r="D70" i="1"/>
  <c r="D71" i="1"/>
  <c r="D72" i="1"/>
  <c r="D77" i="1"/>
  <c r="D79" i="1"/>
  <c r="D83" i="1"/>
  <c r="D84" i="1"/>
  <c r="F79" i="6"/>
  <c r="L130" i="11"/>
  <c r="H130" i="11"/>
  <c r="H128" i="11"/>
  <c r="H126" i="11"/>
  <c r="Q14" i="14"/>
  <c r="Q13" i="14"/>
  <c r="I167" i="11"/>
  <c r="L22" i="14"/>
  <c r="I163" i="11"/>
  <c r="P163" i="11"/>
  <c r="P128" i="11"/>
  <c r="H95" i="11"/>
  <c r="H101" i="11" s="1"/>
  <c r="R24" i="14"/>
  <c r="I114" i="14"/>
  <c r="T86" i="20"/>
  <c r="T84" i="20"/>
  <c r="T81" i="20"/>
  <c r="T79" i="20"/>
  <c r="T76" i="20"/>
  <c r="T73" i="20"/>
  <c r="T71" i="20"/>
  <c r="T69" i="20"/>
  <c r="T67" i="20"/>
  <c r="T85" i="20"/>
  <c r="T83" i="20"/>
  <c r="T80" i="20"/>
  <c r="T77" i="20"/>
  <c r="T74" i="20"/>
  <c r="T72" i="20"/>
  <c r="T70" i="20"/>
  <c r="T68" i="20"/>
  <c r="T87" i="21"/>
  <c r="T80" i="21"/>
  <c r="T76" i="21"/>
  <c r="T74" i="21"/>
  <c r="T72" i="21"/>
  <c r="T89" i="21"/>
  <c r="T81" i="21"/>
  <c r="T78" i="21"/>
  <c r="T75" i="21"/>
  <c r="T73" i="21"/>
  <c r="T88" i="21"/>
  <c r="T83" i="21"/>
  <c r="T71" i="21"/>
  <c r="T90" i="21"/>
  <c r="T85" i="21"/>
  <c r="T77" i="21"/>
  <c r="T84" i="21"/>
  <c r="T93" i="22"/>
  <c r="T88" i="22"/>
  <c r="T83" i="22"/>
  <c r="T74" i="22"/>
  <c r="T92" i="22"/>
  <c r="T90" i="22"/>
  <c r="T81" i="22"/>
  <c r="T90" i="10"/>
  <c r="T88" i="10"/>
  <c r="T85" i="10"/>
  <c r="T83" i="10"/>
  <c r="T80" i="10"/>
  <c r="T77" i="10"/>
  <c r="T75" i="10"/>
  <c r="T73" i="10"/>
  <c r="T71" i="10"/>
  <c r="T89" i="10"/>
  <c r="T87" i="10"/>
  <c r="T84" i="10"/>
  <c r="T81" i="10"/>
  <c r="T78" i="10"/>
  <c r="T76" i="10"/>
  <c r="T74" i="10"/>
  <c r="T72" i="10"/>
  <c r="T87" i="8"/>
  <c r="T85" i="8"/>
  <c r="T82" i="8"/>
  <c r="T80" i="8"/>
  <c r="T77" i="8"/>
  <c r="T74" i="8"/>
  <c r="T72" i="8"/>
  <c r="T70" i="8"/>
  <c r="T68" i="8"/>
  <c r="T86" i="8"/>
  <c r="T84" i="8"/>
  <c r="T81" i="8"/>
  <c r="T78" i="8"/>
  <c r="T75" i="8"/>
  <c r="T73" i="8"/>
  <c r="T71" i="8"/>
  <c r="T69" i="8"/>
  <c r="T92" i="7"/>
  <c r="T90" i="7"/>
  <c r="T87" i="7"/>
  <c r="T85" i="7"/>
  <c r="T82" i="7"/>
  <c r="T79" i="7"/>
  <c r="T77" i="7"/>
  <c r="T75" i="7"/>
  <c r="T73" i="7"/>
  <c r="T91" i="7"/>
  <c r="T89" i="7"/>
  <c r="T86" i="7"/>
  <c r="T83" i="7"/>
  <c r="T80" i="7"/>
  <c r="T78" i="7"/>
  <c r="T76" i="7"/>
  <c r="T74" i="7"/>
  <c r="T88" i="6"/>
  <c r="T86" i="6"/>
  <c r="T83" i="6"/>
  <c r="T81" i="6"/>
  <c r="T78" i="6"/>
  <c r="T75" i="6"/>
  <c r="T73" i="6"/>
  <c r="T71" i="6"/>
  <c r="T69" i="6"/>
  <c r="T87" i="6"/>
  <c r="T85" i="6"/>
  <c r="T82" i="6"/>
  <c r="T79" i="6"/>
  <c r="T76" i="6"/>
  <c r="T74" i="6"/>
  <c r="T72" i="6"/>
  <c r="T70" i="6"/>
  <c r="T93" i="15"/>
  <c r="T91" i="15"/>
  <c r="T88" i="15"/>
  <c r="T86" i="15"/>
  <c r="T83" i="15"/>
  <c r="T80" i="15"/>
  <c r="T78" i="15"/>
  <c r="T76" i="15"/>
  <c r="T74" i="15"/>
  <c r="T92" i="15"/>
  <c r="T90" i="15"/>
  <c r="T87" i="15"/>
  <c r="T84" i="15"/>
  <c r="T81" i="15"/>
  <c r="T79" i="15"/>
  <c r="T77" i="15"/>
  <c r="T75" i="15"/>
  <c r="T87" i="2"/>
  <c r="T70" i="2"/>
  <c r="T88" i="2"/>
  <c r="T86" i="2"/>
  <c r="T83" i="2"/>
  <c r="T80" i="2"/>
  <c r="T77" i="2"/>
  <c r="T75" i="2"/>
  <c r="T73" i="2"/>
  <c r="T71" i="2"/>
  <c r="T89" i="2"/>
  <c r="T84" i="2"/>
  <c r="T82" i="2"/>
  <c r="T79" i="2"/>
  <c r="T76" i="2"/>
  <c r="T74" i="2"/>
  <c r="T72" i="2"/>
  <c r="T85" i="1"/>
  <c r="T83" i="1"/>
  <c r="T80" i="1"/>
  <c r="T77" i="1"/>
  <c r="T74" i="1"/>
  <c r="T72" i="1"/>
  <c r="T70" i="1"/>
  <c r="T68" i="1"/>
  <c r="T86" i="1"/>
  <c r="T84" i="1"/>
  <c r="T81" i="1"/>
  <c r="T79" i="1"/>
  <c r="T76" i="1"/>
  <c r="T73" i="1"/>
  <c r="T71" i="1"/>
  <c r="T69" i="1"/>
  <c r="T67" i="1"/>
  <c r="T85" i="29"/>
  <c r="T80" i="29"/>
  <c r="T74" i="29"/>
  <c r="T70" i="29"/>
  <c r="T86" i="29"/>
  <c r="T81" i="29"/>
  <c r="T75" i="29"/>
  <c r="T71" i="29"/>
  <c r="P109" i="1"/>
  <c r="P72" i="2"/>
  <c r="P74" i="2"/>
  <c r="J70" i="2"/>
  <c r="J71" i="2"/>
  <c r="J73" i="2"/>
  <c r="J75" i="2"/>
  <c r="N84" i="3"/>
  <c r="N90" i="3"/>
  <c r="F81" i="3"/>
  <c r="F94" i="3"/>
  <c r="R71" i="4"/>
  <c r="R72" i="4"/>
  <c r="R73" i="4"/>
  <c r="R74" i="4"/>
  <c r="R75" i="4"/>
  <c r="R76" i="4"/>
  <c r="R77" i="4"/>
  <c r="R78" i="4"/>
  <c r="R80" i="4"/>
  <c r="R81" i="4"/>
  <c r="R83" i="4"/>
  <c r="R84" i="4"/>
  <c r="R85" i="4"/>
  <c r="R87" i="4"/>
  <c r="R88" i="4"/>
  <c r="R89" i="4"/>
  <c r="R90" i="4"/>
  <c r="N71" i="4"/>
  <c r="N72" i="4"/>
  <c r="N73" i="4"/>
  <c r="N74" i="4"/>
  <c r="N76" i="4"/>
  <c r="N78" i="4"/>
  <c r="N80" i="4"/>
  <c r="N83" i="4"/>
  <c r="N84" i="4"/>
  <c r="N88" i="4"/>
  <c r="N89" i="4"/>
  <c r="N90" i="4"/>
  <c r="J71" i="4"/>
  <c r="J72" i="4"/>
  <c r="J73" i="4"/>
  <c r="J74" i="4"/>
  <c r="J75" i="4"/>
  <c r="J76" i="4"/>
  <c r="J78" i="4"/>
  <c r="J80" i="4"/>
  <c r="J81" i="4"/>
  <c r="J87" i="4"/>
  <c r="D83" i="4"/>
  <c r="D84" i="4"/>
  <c r="D85" i="4"/>
  <c r="D88" i="4"/>
  <c r="D89" i="4"/>
  <c r="D90" i="4"/>
  <c r="F44" i="2"/>
  <c r="N86" i="3"/>
  <c r="P93" i="15"/>
  <c r="N92" i="15"/>
  <c r="F92" i="15"/>
  <c r="P91" i="15"/>
  <c r="L84" i="15"/>
  <c r="F83" i="15"/>
  <c r="N77" i="2"/>
  <c r="N71" i="2"/>
  <c r="N73" i="2"/>
  <c r="L44" i="2"/>
  <c r="J82" i="3"/>
  <c r="J86" i="3"/>
  <c r="J90" i="3"/>
  <c r="J93" i="3"/>
  <c r="J94" i="3"/>
  <c r="P74" i="15"/>
  <c r="P81" i="15"/>
  <c r="P86" i="15"/>
  <c r="P87" i="15"/>
  <c r="P92" i="15"/>
  <c r="L81" i="15"/>
  <c r="L83" i="15"/>
  <c r="L86" i="15"/>
  <c r="L87" i="15"/>
  <c r="L88" i="15"/>
  <c r="L92" i="15"/>
  <c r="L93" i="15"/>
  <c r="Y93" i="15" s="1"/>
  <c r="F74" i="15"/>
  <c r="F75" i="15"/>
  <c r="F76" i="15"/>
  <c r="F77" i="15"/>
  <c r="F78" i="15"/>
  <c r="F79" i="15"/>
  <c r="F84" i="15"/>
  <c r="F90" i="15"/>
  <c r="F91" i="15"/>
  <c r="F129" i="11"/>
  <c r="N85" i="29"/>
  <c r="L85" i="29"/>
  <c r="N84" i="29"/>
  <c r="L80" i="29"/>
  <c r="N73" i="29"/>
  <c r="L70" i="29"/>
  <c r="P79" i="1"/>
  <c r="H79" i="1"/>
  <c r="P77" i="1"/>
  <c r="F77" i="1"/>
  <c r="F76" i="1"/>
  <c r="P74" i="1"/>
  <c r="H74" i="1"/>
  <c r="N72" i="1"/>
  <c r="F72" i="1"/>
  <c r="P71" i="1"/>
  <c r="H71" i="1"/>
  <c r="N70" i="1"/>
  <c r="F70" i="1"/>
  <c r="N68" i="1"/>
  <c r="F68" i="1"/>
  <c r="P77" i="2"/>
  <c r="J72" i="2"/>
  <c r="H46" i="4"/>
  <c r="D46" i="4"/>
  <c r="L63" i="14"/>
  <c r="N71" i="10"/>
  <c r="N72" i="10"/>
  <c r="K59" i="14"/>
  <c r="K57" i="14" s="1"/>
  <c r="F74" i="22"/>
  <c r="F84" i="22"/>
  <c r="F90" i="22"/>
  <c r="F92" i="22"/>
  <c r="F93" i="22"/>
  <c r="R73" i="21"/>
  <c r="R75" i="21"/>
  <c r="R76" i="21"/>
  <c r="R78" i="21"/>
  <c r="R80" i="21"/>
  <c r="R81" i="21"/>
  <c r="R83" i="21"/>
  <c r="R84" i="21"/>
  <c r="R85" i="21"/>
  <c r="R87" i="21"/>
  <c r="R88" i="21"/>
  <c r="R89" i="21"/>
  <c r="R90" i="21"/>
  <c r="N73" i="21"/>
  <c r="N75" i="21"/>
  <c r="N76" i="21"/>
  <c r="N78" i="21"/>
  <c r="N83" i="21"/>
  <c r="N84" i="21"/>
  <c r="N89" i="21"/>
  <c r="N90" i="21"/>
  <c r="J46" i="21"/>
  <c r="P67" i="20"/>
  <c r="P70" i="20"/>
  <c r="P71" i="20"/>
  <c r="P72" i="20"/>
  <c r="P74" i="20"/>
  <c r="P76" i="20"/>
  <c r="P77" i="20"/>
  <c r="P79" i="20"/>
  <c r="P80" i="20"/>
  <c r="P81" i="20"/>
  <c r="P83" i="20"/>
  <c r="P84" i="20"/>
  <c r="P85" i="20"/>
  <c r="P86" i="20"/>
  <c r="J67" i="20"/>
  <c r="J69" i="20"/>
  <c r="J74" i="20"/>
  <c r="J76" i="20"/>
  <c r="J77" i="20"/>
  <c r="J79" i="20"/>
  <c r="J80" i="20"/>
  <c r="J81" i="20"/>
  <c r="J83" i="20"/>
  <c r="J84" i="20"/>
  <c r="J85" i="20"/>
  <c r="J86" i="20"/>
  <c r="R70" i="19"/>
  <c r="R72" i="19"/>
  <c r="R77" i="19"/>
  <c r="R82" i="19"/>
  <c r="R83" i="19"/>
  <c r="R84" i="19"/>
  <c r="J70" i="19"/>
  <c r="J72" i="19"/>
  <c r="J74" i="19"/>
  <c r="J75" i="19"/>
  <c r="J80" i="19"/>
  <c r="J82" i="19"/>
  <c r="J87" i="19"/>
  <c r="J88" i="19"/>
  <c r="J89" i="19"/>
  <c r="D70" i="19"/>
  <c r="D71" i="19"/>
  <c r="D73" i="19"/>
  <c r="D77" i="19"/>
  <c r="D79" i="19"/>
  <c r="D83" i="19"/>
  <c r="D84" i="19"/>
  <c r="D86" i="19"/>
  <c r="R90" i="5"/>
  <c r="N90" i="5"/>
  <c r="J90" i="5"/>
  <c r="R89" i="5"/>
  <c r="N89" i="5"/>
  <c r="J89" i="5"/>
  <c r="R88" i="5"/>
  <c r="N88" i="5"/>
  <c r="J88" i="5"/>
  <c r="R87" i="5"/>
  <c r="D87" i="5"/>
  <c r="D85" i="5"/>
  <c r="D84" i="5"/>
  <c r="J83" i="5"/>
  <c r="R81" i="5"/>
  <c r="N81" i="5"/>
  <c r="J81" i="5"/>
  <c r="R80" i="5"/>
  <c r="D80" i="5"/>
  <c r="R76" i="5"/>
  <c r="N76" i="5"/>
  <c r="J76" i="5"/>
  <c r="R75" i="5"/>
  <c r="J75" i="5"/>
  <c r="R74" i="5"/>
  <c r="N74" i="5"/>
  <c r="J74" i="5"/>
  <c r="R73" i="5"/>
  <c r="N73" i="5"/>
  <c r="J73" i="5"/>
  <c r="J72" i="5"/>
  <c r="L46" i="5"/>
  <c r="M15" i="14"/>
  <c r="J88" i="6"/>
  <c r="D88" i="6"/>
  <c r="R87" i="6"/>
  <c r="J87" i="6"/>
  <c r="D87" i="6"/>
  <c r="J86" i="6"/>
  <c r="D86" i="6"/>
  <c r="R85" i="6"/>
  <c r="J85" i="6"/>
  <c r="D85" i="6"/>
  <c r="J83" i="6"/>
  <c r="R82" i="6"/>
  <c r="N82" i="6"/>
  <c r="J82" i="6"/>
  <c r="D82" i="6"/>
  <c r="J81" i="6"/>
  <c r="D81" i="6"/>
  <c r="R79" i="6"/>
  <c r="J79" i="6"/>
  <c r="R78" i="6"/>
  <c r="J76" i="6"/>
  <c r="D76" i="6"/>
  <c r="R74" i="6"/>
  <c r="N74" i="6"/>
  <c r="J74" i="6"/>
  <c r="D74" i="6"/>
  <c r="D72" i="6"/>
  <c r="D69" i="6"/>
  <c r="R44" i="6"/>
  <c r="J44" i="6"/>
  <c r="P87" i="8"/>
  <c r="F87" i="8"/>
  <c r="P85" i="8"/>
  <c r="F85" i="8"/>
  <c r="F84" i="8"/>
  <c r="P82" i="8"/>
  <c r="F82" i="8"/>
  <c r="P80" i="8"/>
  <c r="F80" i="8"/>
  <c r="P77" i="8"/>
  <c r="F75" i="8"/>
  <c r="P73" i="8"/>
  <c r="F73" i="8"/>
  <c r="P71" i="8"/>
  <c r="F71" i="8"/>
  <c r="F69" i="8"/>
  <c r="R90" i="9"/>
  <c r="R88" i="9"/>
  <c r="L88" i="9"/>
  <c r="L87" i="9"/>
  <c r="R85" i="9"/>
  <c r="R83" i="9"/>
  <c r="R81" i="9"/>
  <c r="L81" i="9"/>
  <c r="L80" i="9"/>
  <c r="R78" i="9"/>
  <c r="R46" i="9"/>
  <c r="J46" i="9"/>
  <c r="J84" i="13"/>
  <c r="R81" i="13"/>
  <c r="N81" i="13"/>
  <c r="R80" i="13"/>
  <c r="N80" i="13"/>
  <c r="R78" i="13"/>
  <c r="J78" i="13"/>
  <c r="R77" i="13"/>
  <c r="R75" i="13"/>
  <c r="N75" i="13"/>
  <c r="R73" i="13"/>
  <c r="N73" i="13"/>
  <c r="J73" i="13"/>
  <c r="R71" i="13"/>
  <c r="N71" i="13"/>
  <c r="R69" i="13"/>
  <c r="F90" i="10"/>
  <c r="F89" i="10"/>
  <c r="F88" i="10"/>
  <c r="F87" i="10"/>
  <c r="F85" i="10"/>
  <c r="F84" i="10"/>
  <c r="F83" i="10"/>
  <c r="F81" i="10"/>
  <c r="F80" i="10"/>
  <c r="F78" i="10"/>
  <c r="L76" i="10"/>
  <c r="L75" i="10"/>
  <c r="L74" i="10"/>
  <c r="L73" i="10"/>
  <c r="L72" i="10"/>
  <c r="F71" i="10"/>
  <c r="H50" i="22"/>
  <c r="P113" i="21"/>
  <c r="J88" i="21"/>
  <c r="J85" i="21"/>
  <c r="J84" i="21"/>
  <c r="J83" i="21"/>
  <c r="J80" i="21"/>
  <c r="J78" i="21"/>
  <c r="J74" i="21"/>
  <c r="R86" i="20"/>
  <c r="H85" i="20"/>
  <c r="R84" i="20"/>
  <c r="H83" i="20"/>
  <c r="R81" i="20"/>
  <c r="H80" i="20"/>
  <c r="R79" i="20"/>
  <c r="H77" i="20"/>
  <c r="R76" i="20"/>
  <c r="R72" i="20"/>
  <c r="R71" i="20"/>
  <c r="R70" i="20"/>
  <c r="F42" i="20"/>
  <c r="F86" i="19"/>
  <c r="F84" i="19"/>
  <c r="F83" i="19"/>
  <c r="F73" i="19"/>
  <c r="P38" i="19"/>
  <c r="P44" i="19" s="1"/>
  <c r="L55" i="14"/>
  <c r="L53" i="14" s="1"/>
  <c r="J46" i="10"/>
  <c r="N70" i="23"/>
  <c r="N74" i="23"/>
  <c r="N75" i="23"/>
  <c r="N77" i="23"/>
  <c r="N82" i="23"/>
  <c r="N83" i="23"/>
  <c r="N86" i="23"/>
  <c r="N88" i="23"/>
  <c r="N89" i="23"/>
  <c r="F72" i="23"/>
  <c r="J71" i="21"/>
  <c r="J73" i="21"/>
  <c r="J75" i="21"/>
  <c r="J76" i="21"/>
  <c r="J81" i="21"/>
  <c r="J87" i="21"/>
  <c r="J89" i="21"/>
  <c r="R67" i="20"/>
  <c r="R69" i="20"/>
  <c r="R73" i="20"/>
  <c r="H67" i="20"/>
  <c r="H70" i="20"/>
  <c r="H71" i="20"/>
  <c r="H72" i="20"/>
  <c r="L42" i="20"/>
  <c r="F70" i="19"/>
  <c r="F72" i="19"/>
  <c r="F74" i="19"/>
  <c r="F75" i="19"/>
  <c r="F80" i="19"/>
  <c r="F82" i="19"/>
  <c r="F87" i="19"/>
  <c r="F88" i="19"/>
  <c r="F89" i="19"/>
  <c r="R46" i="21"/>
  <c r="H46" i="21"/>
  <c r="F73" i="24"/>
  <c r="F72" i="24"/>
  <c r="R45" i="24"/>
  <c r="T77" i="3"/>
  <c r="T80" i="3"/>
  <c r="T82" i="3"/>
  <c r="T84" i="3"/>
  <c r="T87" i="3"/>
  <c r="T90" i="3"/>
  <c r="T94" i="3"/>
  <c r="T96" i="3"/>
  <c r="T91" i="3"/>
  <c r="T71" i="4"/>
  <c r="T73" i="4"/>
  <c r="T77" i="4"/>
  <c r="T80" i="4"/>
  <c r="T84" i="4"/>
  <c r="T88" i="4"/>
  <c r="T90" i="4"/>
  <c r="T81" i="4"/>
  <c r="T71" i="5"/>
  <c r="T75" i="5"/>
  <c r="T77" i="5"/>
  <c r="T80" i="5"/>
  <c r="T85" i="5"/>
  <c r="T90" i="5"/>
  <c r="T72" i="5"/>
  <c r="T68" i="13"/>
  <c r="T70" i="13"/>
  <c r="T72" i="13"/>
  <c r="T74" i="13"/>
  <c r="T77" i="13"/>
  <c r="T80" i="13"/>
  <c r="T82" i="13"/>
  <c r="T85" i="13"/>
  <c r="T87" i="13"/>
  <c r="T71" i="19"/>
  <c r="T73" i="19"/>
  <c r="T77" i="19"/>
  <c r="T80" i="19"/>
  <c r="T83" i="19"/>
  <c r="T86" i="19"/>
  <c r="T88" i="19"/>
  <c r="F73" i="18"/>
  <c r="F72" i="18"/>
  <c r="J72" i="17"/>
  <c r="J71" i="17"/>
  <c r="J70" i="17"/>
  <c r="L44" i="17"/>
  <c r="P71" i="27"/>
  <c r="I107" i="27"/>
  <c r="T78" i="3"/>
  <c r="T81" i="3"/>
  <c r="T83" i="3"/>
  <c r="T86" i="3"/>
  <c r="T89" i="3"/>
  <c r="T93" i="3"/>
  <c r="T72" i="4"/>
  <c r="T74" i="4"/>
  <c r="T78" i="4"/>
  <c r="T83" i="4"/>
  <c r="T87" i="4"/>
  <c r="T74" i="5"/>
  <c r="T76" i="5"/>
  <c r="T78" i="5"/>
  <c r="T83" i="5"/>
  <c r="T88" i="5"/>
  <c r="T84" i="5"/>
  <c r="T69" i="13"/>
  <c r="T71" i="13"/>
  <c r="T73" i="13"/>
  <c r="T75" i="13"/>
  <c r="T78" i="13"/>
  <c r="T81" i="13"/>
  <c r="T84" i="13"/>
  <c r="T70" i="23"/>
  <c r="T72" i="23"/>
  <c r="T82" i="23"/>
  <c r="T83" i="23"/>
  <c r="T70" i="19"/>
  <c r="T72" i="19"/>
  <c r="T74" i="19"/>
  <c r="T79" i="19"/>
  <c r="T82" i="19"/>
  <c r="T84" i="19"/>
  <c r="T87" i="19"/>
  <c r="T89" i="19"/>
  <c r="T75" i="19"/>
  <c r="L127" i="11"/>
  <c r="L129" i="11"/>
  <c r="L131" i="11"/>
  <c r="H133" i="11"/>
  <c r="H127" i="11"/>
  <c r="H129" i="11"/>
  <c r="H131" i="11"/>
  <c r="D133" i="11"/>
  <c r="D128" i="11"/>
  <c r="D130" i="11"/>
  <c r="L128" i="11"/>
  <c r="N126" i="11"/>
  <c r="N128" i="11"/>
  <c r="N130" i="11"/>
  <c r="N131" i="11"/>
  <c r="J126" i="11"/>
  <c r="J135" i="11"/>
  <c r="J136" i="11"/>
  <c r="J80" i="9"/>
  <c r="J87" i="9"/>
  <c r="N46" i="9"/>
  <c r="P87" i="29"/>
  <c r="R86" i="29"/>
  <c r="R85" i="29"/>
  <c r="R84" i="29"/>
  <c r="P82" i="29"/>
  <c r="J82" i="29"/>
  <c r="R81" i="29"/>
  <c r="J81" i="29"/>
  <c r="R80" i="29"/>
  <c r="J80" i="29"/>
  <c r="R78" i="29"/>
  <c r="P77" i="29"/>
  <c r="R75" i="29"/>
  <c r="J73" i="29"/>
  <c r="R72" i="29"/>
  <c r="P70" i="29"/>
  <c r="R86" i="1"/>
  <c r="R85" i="1"/>
  <c r="L85" i="1"/>
  <c r="R84" i="1"/>
  <c r="N84" i="1"/>
  <c r="L84" i="1"/>
  <c r="R80" i="1"/>
  <c r="L80" i="1"/>
  <c r="R79" i="1"/>
  <c r="L79" i="1"/>
  <c r="R77" i="1"/>
  <c r="L77" i="1"/>
  <c r="R76" i="1"/>
  <c r="R72" i="1"/>
  <c r="L72" i="1"/>
  <c r="R71" i="1"/>
  <c r="L71" i="1"/>
  <c r="R70" i="1"/>
  <c r="L70" i="1"/>
  <c r="R69" i="1"/>
  <c r="L69" i="1"/>
  <c r="R68" i="1"/>
  <c r="R67" i="1"/>
  <c r="L36" i="1"/>
  <c r="R82" i="2"/>
  <c r="R75" i="2"/>
  <c r="N75" i="2"/>
  <c r="R74" i="2"/>
  <c r="L96" i="3"/>
  <c r="D96" i="3"/>
  <c r="L95" i="3"/>
  <c r="D95" i="3"/>
  <c r="J91" i="3"/>
  <c r="D91" i="3"/>
  <c r="J89" i="3"/>
  <c r="D89" i="3"/>
  <c r="J87" i="3"/>
  <c r="D87" i="3"/>
  <c r="D82" i="3"/>
  <c r="L80" i="3"/>
  <c r="P112" i="4"/>
  <c r="L90" i="4"/>
  <c r="L89" i="4"/>
  <c r="L88" i="4"/>
  <c r="L87" i="4"/>
  <c r="F87" i="4"/>
  <c r="L85" i="4"/>
  <c r="L84" i="4"/>
  <c r="L83" i="4"/>
  <c r="L81" i="4"/>
  <c r="F81" i="4"/>
  <c r="L80" i="4"/>
  <c r="F80" i="4"/>
  <c r="L78" i="4"/>
  <c r="F78" i="4"/>
  <c r="P75" i="4"/>
  <c r="F75" i="4"/>
  <c r="L74" i="4"/>
  <c r="F74" i="4"/>
  <c r="L73" i="4"/>
  <c r="F73" i="4"/>
  <c r="F72" i="4"/>
  <c r="J46" i="4"/>
  <c r="D92" i="15"/>
  <c r="D91" i="15"/>
  <c r="N90" i="15"/>
  <c r="D90" i="15"/>
  <c r="N87" i="15"/>
  <c r="D87" i="15"/>
  <c r="N81" i="15"/>
  <c r="N79" i="15"/>
  <c r="D79" i="15"/>
  <c r="N78" i="15"/>
  <c r="D78" i="15"/>
  <c r="N77" i="15"/>
  <c r="D77" i="15"/>
  <c r="N76" i="15"/>
  <c r="D76" i="15"/>
  <c r="D75" i="15"/>
  <c r="J48" i="15"/>
  <c r="N29" i="15"/>
  <c r="J87" i="5"/>
  <c r="L85" i="5"/>
  <c r="J84" i="5"/>
  <c r="L83" i="5"/>
  <c r="L81" i="5"/>
  <c r="L80" i="5"/>
  <c r="J78" i="5"/>
  <c r="L76" i="5"/>
  <c r="L74" i="5"/>
  <c r="L73" i="5"/>
  <c r="L88" i="6"/>
  <c r="L87" i="6"/>
  <c r="R83" i="6"/>
  <c r="L83" i="6"/>
  <c r="L82" i="6"/>
  <c r="D79" i="6"/>
  <c r="J78" i="6"/>
  <c r="D78" i="6"/>
  <c r="R76" i="6"/>
  <c r="L74" i="6"/>
  <c r="R73" i="6"/>
  <c r="J73" i="6"/>
  <c r="D73" i="6"/>
  <c r="L71" i="6"/>
  <c r="N71" i="8"/>
  <c r="N70" i="8"/>
  <c r="F70" i="8"/>
  <c r="P71" i="9"/>
  <c r="P73" i="9"/>
  <c r="P75" i="9"/>
  <c r="P78" i="9"/>
  <c r="P83" i="9"/>
  <c r="P84" i="9"/>
  <c r="P85" i="9"/>
  <c r="L78" i="9"/>
  <c r="L84" i="9"/>
  <c r="L46" i="9"/>
  <c r="N87" i="13"/>
  <c r="F87" i="13"/>
  <c r="F86" i="13"/>
  <c r="F85" i="13"/>
  <c r="P84" i="13"/>
  <c r="D84" i="13"/>
  <c r="P82" i="13"/>
  <c r="D82" i="13"/>
  <c r="P81" i="13"/>
  <c r="F81" i="13"/>
  <c r="D80" i="13"/>
  <c r="P78" i="13"/>
  <c r="D78" i="13"/>
  <c r="P77" i="13"/>
  <c r="F77" i="13"/>
  <c r="D75" i="13"/>
  <c r="F73" i="13"/>
  <c r="P72" i="13"/>
  <c r="F71" i="13"/>
  <c r="P70" i="13"/>
  <c r="M79" i="14"/>
  <c r="D68" i="13"/>
  <c r="N88" i="10"/>
  <c r="D88" i="10"/>
  <c r="L87" i="10"/>
  <c r="N85" i="10"/>
  <c r="D85" i="10"/>
  <c r="L84" i="10"/>
  <c r="N83" i="10"/>
  <c r="D83" i="10"/>
  <c r="L81" i="10"/>
  <c r="N80" i="10"/>
  <c r="D80" i="10"/>
  <c r="L78" i="10"/>
  <c r="N76" i="10"/>
  <c r="D76" i="10"/>
  <c r="N75" i="10"/>
  <c r="D75" i="10"/>
  <c r="N74" i="10"/>
  <c r="D74" i="10"/>
  <c r="D73" i="10"/>
  <c r="N45" i="10"/>
  <c r="R88" i="23"/>
  <c r="P87" i="23"/>
  <c r="R86" i="23"/>
  <c r="R84" i="23"/>
  <c r="J84" i="23"/>
  <c r="R82" i="23"/>
  <c r="R80" i="23"/>
  <c r="L80" i="23"/>
  <c r="J77" i="23"/>
  <c r="J75" i="23"/>
  <c r="R74" i="23"/>
  <c r="L74" i="23"/>
  <c r="P70" i="23"/>
  <c r="L86" i="22"/>
  <c r="N74" i="22"/>
  <c r="J75" i="22"/>
  <c r="D72" i="19"/>
  <c r="D80" i="19"/>
  <c r="D82" i="19"/>
  <c r="D74" i="19"/>
  <c r="D75" i="19"/>
  <c r="D87" i="19"/>
  <c r="D88" i="19"/>
  <c r="D89" i="19"/>
  <c r="N88" i="21"/>
  <c r="N87" i="21"/>
  <c r="N85" i="21"/>
  <c r="N81" i="21"/>
  <c r="N80" i="21"/>
  <c r="N79" i="17"/>
  <c r="L90" i="21"/>
  <c r="Y90" i="21" s="1"/>
  <c r="L89" i="21"/>
  <c r="Y89" i="21" s="1"/>
  <c r="F89" i="21"/>
  <c r="L88" i="21"/>
  <c r="F88" i="21"/>
  <c r="L87" i="21"/>
  <c r="F87" i="21"/>
  <c r="L85" i="21"/>
  <c r="F85" i="21"/>
  <c r="L84" i="21"/>
  <c r="F84" i="21"/>
  <c r="L83" i="21"/>
  <c r="Y83" i="21" s="1"/>
  <c r="F83" i="21"/>
  <c r="L81" i="21"/>
  <c r="Y81" i="21" s="1"/>
  <c r="F81" i="21"/>
  <c r="L80" i="21"/>
  <c r="F80" i="21"/>
  <c r="L78" i="21"/>
  <c r="Y78" i="21" s="1"/>
  <c r="F78" i="21"/>
  <c r="P76" i="21"/>
  <c r="D76" i="21"/>
  <c r="P75" i="21"/>
  <c r="P74" i="21"/>
  <c r="L74" i="21"/>
  <c r="F74" i="21"/>
  <c r="P73" i="21"/>
  <c r="L72" i="21"/>
  <c r="F72" i="21"/>
  <c r="N86" i="20"/>
  <c r="D86" i="20"/>
  <c r="R85" i="20"/>
  <c r="L85" i="20"/>
  <c r="D85" i="20"/>
  <c r="N84" i="20"/>
  <c r="D84" i="20"/>
  <c r="R83" i="20"/>
  <c r="L83" i="20"/>
  <c r="D83" i="20"/>
  <c r="N81" i="20"/>
  <c r="D81" i="20"/>
  <c r="R80" i="20"/>
  <c r="L80" i="20"/>
  <c r="D80" i="20"/>
  <c r="N79" i="20"/>
  <c r="D79" i="20"/>
  <c r="R77" i="20"/>
  <c r="L77" i="20"/>
  <c r="D77" i="20"/>
  <c r="N76" i="20"/>
  <c r="D76" i="20"/>
  <c r="R74" i="20"/>
  <c r="L74" i="20"/>
  <c r="D74" i="20"/>
  <c r="L72" i="20"/>
  <c r="F72" i="20"/>
  <c r="L71" i="20"/>
  <c r="F71" i="20"/>
  <c r="L70" i="20"/>
  <c r="F70" i="20"/>
  <c r="F69" i="20"/>
  <c r="N68" i="20"/>
  <c r="R86" i="19"/>
  <c r="J84" i="19"/>
  <c r="R80" i="19"/>
  <c r="J79" i="19"/>
  <c r="F79" i="19"/>
  <c r="J77" i="19"/>
  <c r="F77" i="19"/>
  <c r="P75" i="18"/>
  <c r="J75" i="18"/>
  <c r="F75" i="18"/>
  <c r="P74" i="18"/>
  <c r="J74" i="18"/>
  <c r="F74" i="18"/>
  <c r="R76" i="17"/>
  <c r="P76" i="17"/>
  <c r="P74" i="17"/>
  <c r="F74" i="17"/>
  <c r="P73" i="17"/>
  <c r="F73" i="17"/>
  <c r="P72" i="17"/>
  <c r="F72" i="17"/>
  <c r="P71" i="17"/>
  <c r="F71" i="17"/>
  <c r="P70" i="17"/>
  <c r="N78" i="16"/>
  <c r="F77" i="16"/>
  <c r="F75" i="16"/>
  <c r="J48" i="16"/>
  <c r="P74" i="24"/>
  <c r="J74" i="24"/>
  <c r="F74" i="24"/>
  <c r="J73" i="24"/>
  <c r="L45" i="24"/>
  <c r="T73" i="5"/>
  <c r="T74" i="16"/>
  <c r="T78" i="16"/>
  <c r="T80" i="16"/>
  <c r="T83" i="16"/>
  <c r="T73" i="24"/>
  <c r="T75" i="24"/>
  <c r="T77" i="24"/>
  <c r="T80" i="24"/>
  <c r="T85" i="24"/>
  <c r="T88" i="24"/>
  <c r="N46" i="10"/>
  <c r="L42" i="1"/>
  <c r="F24" i="31"/>
  <c r="C118" i="32"/>
  <c r="F94" i="32"/>
  <c r="F92" i="32"/>
  <c r="F86" i="32"/>
  <c r="F81" i="32"/>
  <c r="F80" i="32"/>
  <c r="F79" i="32"/>
  <c r="F78" i="32"/>
  <c r="F77" i="32"/>
  <c r="F93" i="32"/>
  <c r="F90" i="32"/>
  <c r="F89" i="32"/>
  <c r="F88" i="32"/>
  <c r="F85" i="32"/>
  <c r="F83" i="32"/>
  <c r="F76" i="32"/>
  <c r="D93" i="32"/>
  <c r="D90" i="32"/>
  <c r="D89" i="32"/>
  <c r="D88" i="32"/>
  <c r="D85" i="32"/>
  <c r="D83" i="32"/>
  <c r="D76" i="32"/>
  <c r="D94" i="32"/>
  <c r="D92" i="32"/>
  <c r="D86" i="32"/>
  <c r="D81" i="32"/>
  <c r="D80" i="32"/>
  <c r="D79" i="32"/>
  <c r="D78" i="32"/>
  <c r="D77" i="32"/>
  <c r="N24" i="31"/>
  <c r="D87" i="31"/>
  <c r="D83" i="31"/>
  <c r="D82" i="31"/>
  <c r="D81" i="31"/>
  <c r="D78" i="31"/>
  <c r="D76" i="31"/>
  <c r="D88" i="31"/>
  <c r="D86" i="31"/>
  <c r="D85" i="31"/>
  <c r="D79" i="31"/>
  <c r="D74" i="31"/>
  <c r="D73" i="31"/>
  <c r="D72" i="31"/>
  <c r="D71" i="31"/>
  <c r="D70" i="31"/>
  <c r="D69" i="31"/>
  <c r="F71" i="31"/>
  <c r="F69" i="31"/>
  <c r="V71" i="20"/>
  <c r="V70" i="20"/>
  <c r="V69" i="20"/>
  <c r="V68" i="20"/>
  <c r="V73" i="19"/>
  <c r="V88" i="19"/>
  <c r="V86" i="19"/>
  <c r="V83" i="19"/>
  <c r="V80" i="19"/>
  <c r="V76" i="19"/>
  <c r="V74" i="19"/>
  <c r="V72" i="19"/>
  <c r="V71" i="19"/>
  <c r="V70" i="19"/>
  <c r="V75" i="18"/>
  <c r="V74" i="18"/>
  <c r="V73" i="18"/>
  <c r="V72" i="18"/>
  <c r="V79" i="17"/>
  <c r="V74" i="17"/>
  <c r="V72" i="17"/>
  <c r="V88" i="17"/>
  <c r="V86" i="17"/>
  <c r="V83" i="17"/>
  <c r="V81" i="17"/>
  <c r="V78" i="17"/>
  <c r="V75" i="17"/>
  <c r="V73" i="17"/>
  <c r="V71" i="17"/>
  <c r="V70" i="17"/>
  <c r="V76" i="16"/>
  <c r="V75" i="16"/>
  <c r="V75" i="24"/>
  <c r="V76" i="24"/>
  <c r="V74" i="24"/>
  <c r="V73" i="24"/>
  <c r="V72" i="24"/>
  <c r="V90" i="9"/>
  <c r="V88" i="9"/>
  <c r="V85" i="9"/>
  <c r="V80" i="9"/>
  <c r="V81" i="9"/>
  <c r="V78" i="9"/>
  <c r="V77" i="9"/>
  <c r="V71" i="9"/>
  <c r="V73" i="27"/>
  <c r="V71" i="27"/>
  <c r="V87" i="8"/>
  <c r="V81" i="8"/>
  <c r="V86" i="8"/>
  <c r="V84" i="8"/>
  <c r="V75" i="8"/>
  <c r="V82" i="8"/>
  <c r="V80" i="8"/>
  <c r="V71" i="8"/>
  <c r="V78" i="8"/>
  <c r="V73" i="8"/>
  <c r="V69" i="8"/>
  <c r="V77" i="8"/>
  <c r="V74" i="8"/>
  <c r="V72" i="8"/>
  <c r="V70" i="8"/>
  <c r="V92" i="7"/>
  <c r="V90" i="7"/>
  <c r="V80" i="7"/>
  <c r="V89" i="7"/>
  <c r="V86" i="7"/>
  <c r="V76" i="7"/>
  <c r="V83" i="7"/>
  <c r="V78" i="7"/>
  <c r="V74" i="7"/>
  <c r="V85" i="7"/>
  <c r="V82" i="7"/>
  <c r="V79" i="7"/>
  <c r="V77" i="7"/>
  <c r="V75" i="7"/>
  <c r="V86" i="6"/>
  <c r="V76" i="6"/>
  <c r="V87" i="6"/>
  <c r="V85" i="6"/>
  <c r="V81" i="6"/>
  <c r="V72" i="6"/>
  <c r="V82" i="6"/>
  <c r="V79" i="6"/>
  <c r="V74" i="6"/>
  <c r="V70" i="6"/>
  <c r="V78" i="6"/>
  <c r="V75" i="6"/>
  <c r="V73" i="6"/>
  <c r="V71" i="6"/>
  <c r="V72" i="5"/>
  <c r="V90" i="4"/>
  <c r="V73" i="4"/>
  <c r="V81" i="3"/>
  <c r="V79" i="3"/>
  <c r="V77" i="3"/>
  <c r="V72" i="2"/>
  <c r="V71" i="2"/>
  <c r="V79" i="1"/>
  <c r="V77" i="1"/>
  <c r="V76" i="1"/>
  <c r="V71" i="1"/>
  <c r="V70" i="1"/>
  <c r="V80" i="1"/>
  <c r="V74" i="1"/>
  <c r="V72" i="1"/>
  <c r="V67" i="1"/>
  <c r="V69" i="29"/>
  <c r="V95" i="32"/>
  <c r="V93" i="32"/>
  <c r="V90" i="32"/>
  <c r="V88" i="32"/>
  <c r="V85" i="32"/>
  <c r="V82" i="32"/>
  <c r="V80" i="32"/>
  <c r="V78" i="32"/>
  <c r="V86" i="27"/>
  <c r="V80" i="27"/>
  <c r="V77" i="27"/>
  <c r="V75" i="27"/>
  <c r="V72" i="27"/>
  <c r="V74" i="27"/>
  <c r="V89" i="27"/>
  <c r="V87" i="27"/>
  <c r="V84" i="27"/>
  <c r="V82" i="27"/>
  <c r="V79" i="27"/>
  <c r="V76" i="27"/>
  <c r="V90" i="24"/>
  <c r="V88" i="24"/>
  <c r="V85" i="24"/>
  <c r="V87" i="24"/>
  <c r="V83" i="24"/>
  <c r="V80" i="24"/>
  <c r="V77" i="24"/>
  <c r="V84" i="24"/>
  <c r="V81" i="24"/>
  <c r="V78" i="24"/>
  <c r="V80" i="16"/>
  <c r="V77" i="16"/>
  <c r="V85" i="17"/>
  <c r="V76" i="17"/>
  <c r="V87" i="17"/>
  <c r="V82" i="17"/>
  <c r="V83" i="18"/>
  <c r="V80" i="18"/>
  <c r="V78" i="18"/>
  <c r="V76" i="18"/>
  <c r="V77" i="18"/>
  <c r="V82" i="19"/>
  <c r="V75" i="19"/>
  <c r="V84" i="19"/>
  <c r="V79" i="19"/>
  <c r="V81" i="20"/>
  <c r="V77" i="20"/>
  <c r="V79" i="20"/>
  <c r="V74" i="20"/>
  <c r="V72" i="20"/>
  <c r="V76" i="20"/>
  <c r="V73" i="20"/>
  <c r="V86" i="32"/>
  <c r="V94" i="32"/>
  <c r="V89" i="32"/>
  <c r="V81" i="32"/>
  <c r="V77" i="32"/>
  <c r="V83" i="32"/>
  <c r="V79" i="32"/>
  <c r="V83" i="22"/>
  <c r="V79" i="22"/>
  <c r="V77" i="22"/>
  <c r="V74" i="23"/>
  <c r="V71" i="23"/>
  <c r="V83" i="10"/>
  <c r="V77" i="10"/>
  <c r="Y77" i="10" s="1"/>
  <c r="V72" i="10"/>
  <c r="V89" i="10"/>
  <c r="V87" i="10"/>
  <c r="V84" i="10"/>
  <c r="V81" i="10"/>
  <c r="V78" i="10"/>
  <c r="V75" i="10"/>
  <c r="V73" i="10"/>
  <c r="V76" i="10"/>
  <c r="V74" i="10"/>
  <c r="V75" i="13"/>
  <c r="V72" i="13"/>
  <c r="V73" i="13"/>
  <c r="V70" i="13"/>
  <c r="V71" i="13"/>
  <c r="V69" i="13"/>
  <c r="V85" i="8"/>
  <c r="V87" i="7"/>
  <c r="V91" i="7"/>
  <c r="V83" i="6"/>
  <c r="V88" i="6"/>
  <c r="V81" i="5"/>
  <c r="V78" i="5"/>
  <c r="V75" i="5"/>
  <c r="V77" i="5"/>
  <c r="V73" i="5"/>
  <c r="V76" i="5"/>
  <c r="V74" i="5"/>
  <c r="V70" i="31"/>
  <c r="V85" i="4"/>
  <c r="V80" i="4"/>
  <c r="V83" i="4"/>
  <c r="V77" i="4"/>
  <c r="V75" i="4"/>
  <c r="V71" i="4"/>
  <c r="V74" i="4"/>
  <c r="V89" i="4"/>
  <c r="V87" i="4"/>
  <c r="V84" i="4"/>
  <c r="V81" i="4"/>
  <c r="V78" i="4"/>
  <c r="V76" i="4"/>
  <c r="V91" i="3"/>
  <c r="V86" i="3"/>
  <c r="V83" i="3"/>
  <c r="V80" i="3"/>
  <c r="V95" i="3"/>
  <c r="V93" i="3"/>
  <c r="V90" i="3"/>
  <c r="V87" i="3"/>
  <c r="V84" i="3"/>
  <c r="V82" i="3"/>
  <c r="V89" i="2"/>
  <c r="V87" i="2"/>
  <c r="V84" i="2"/>
  <c r="V82" i="2"/>
  <c r="V79" i="2"/>
  <c r="V76" i="2"/>
  <c r="V77" i="2"/>
  <c r="V75" i="2"/>
  <c r="V73" i="2"/>
  <c r="V74" i="2"/>
  <c r="V86" i="1"/>
  <c r="V84" i="1"/>
  <c r="V81" i="1"/>
  <c r="V68" i="1"/>
  <c r="V85" i="1"/>
  <c r="V83" i="1"/>
  <c r="V73" i="1"/>
  <c r="J84" i="29"/>
  <c r="J72" i="29"/>
  <c r="V71" i="29"/>
  <c r="V70" i="29"/>
  <c r="V77" i="19"/>
  <c r="X78" i="29"/>
  <c r="N38" i="14"/>
  <c r="X77" i="19"/>
  <c r="X88" i="19"/>
  <c r="X73" i="19"/>
  <c r="X83" i="19"/>
  <c r="X87" i="19"/>
  <c r="X82" i="19"/>
  <c r="X76" i="19"/>
  <c r="X72" i="19"/>
  <c r="X80" i="19"/>
  <c r="X75" i="19"/>
  <c r="X71" i="19"/>
  <c r="X89" i="19"/>
  <c r="X84" i="19"/>
  <c r="X79" i="19"/>
  <c r="X74" i="19"/>
  <c r="X74" i="20"/>
  <c r="X77" i="20"/>
  <c r="X72" i="20"/>
  <c r="X68" i="20"/>
  <c r="X86" i="20"/>
  <c r="X81" i="20"/>
  <c r="X76" i="20"/>
  <c r="X71" i="20"/>
  <c r="X67" i="20"/>
  <c r="X84" i="20"/>
  <c r="X79" i="20"/>
  <c r="X73" i="20"/>
  <c r="X92" i="32"/>
  <c r="X83" i="32"/>
  <c r="X78" i="32"/>
  <c r="X89" i="32"/>
  <c r="X82" i="32"/>
  <c r="X77" i="32"/>
  <c r="X93" i="32"/>
  <c r="X86" i="32"/>
  <c r="X79" i="32"/>
  <c r="X95" i="32"/>
  <c r="X90" i="32"/>
  <c r="X85" i="32"/>
  <c r="X80" i="32"/>
  <c r="X86" i="23"/>
  <c r="X82" i="13"/>
  <c r="X75" i="13"/>
  <c r="X70" i="13"/>
  <c r="X84" i="13"/>
  <c r="X78" i="13"/>
  <c r="X73" i="13"/>
  <c r="X85" i="8"/>
  <c r="X80" i="8"/>
  <c r="X74" i="8"/>
  <c r="X70" i="8"/>
  <c r="X84" i="8"/>
  <c r="X78" i="8"/>
  <c r="X73" i="8"/>
  <c r="X69" i="8"/>
  <c r="X87" i="8"/>
  <c r="X82" i="8"/>
  <c r="X77" i="8"/>
  <c r="X72" i="8"/>
  <c r="X90" i="7"/>
  <c r="X85" i="7"/>
  <c r="X79" i="7"/>
  <c r="X75" i="7"/>
  <c r="X89" i="7"/>
  <c r="X83" i="7"/>
  <c r="X78" i="7"/>
  <c r="X74" i="7"/>
  <c r="X92" i="7"/>
  <c r="X87" i="7"/>
  <c r="X82" i="7"/>
  <c r="X77" i="7"/>
  <c r="X85" i="6"/>
  <c r="X79" i="6"/>
  <c r="X74" i="6"/>
  <c r="X78" i="5"/>
  <c r="X87" i="5"/>
  <c r="X76" i="5"/>
  <c r="X90" i="5"/>
  <c r="X80" i="5"/>
  <c r="X71" i="5"/>
  <c r="X83" i="5"/>
  <c r="X85" i="31"/>
  <c r="X76" i="31"/>
  <c r="X71" i="31"/>
  <c r="X88" i="31"/>
  <c r="X83" i="31"/>
  <c r="X78" i="31"/>
  <c r="X73" i="31"/>
  <c r="F78" i="31"/>
  <c r="F73" i="31"/>
  <c r="F82" i="31"/>
  <c r="F79" i="31"/>
  <c r="L43" i="31"/>
  <c r="T43" i="31"/>
  <c r="R24" i="31"/>
  <c r="F87" i="31"/>
  <c r="F86" i="31"/>
  <c r="F81" i="31"/>
  <c r="F70" i="31"/>
  <c r="F74" i="31"/>
  <c r="F88" i="31"/>
  <c r="V88" i="31"/>
  <c r="V83" i="31"/>
  <c r="V78" i="31"/>
  <c r="V73" i="31"/>
  <c r="V43" i="31"/>
  <c r="V72" i="31"/>
  <c r="F76" i="31"/>
  <c r="F83" i="31"/>
  <c r="F72" i="31"/>
  <c r="V86" i="31"/>
  <c r="V81" i="31"/>
  <c r="V75" i="31"/>
  <c r="X87" i="4"/>
  <c r="X78" i="4"/>
  <c r="X73" i="4"/>
  <c r="X90" i="4"/>
  <c r="X85" i="4"/>
  <c r="X80" i="4"/>
  <c r="X75" i="4"/>
  <c r="X51" i="3"/>
  <c r="X95" i="3"/>
  <c r="X81" i="3"/>
  <c r="X78" i="3"/>
  <c r="X91" i="3"/>
  <c r="X84" i="3"/>
  <c r="X90" i="3"/>
  <c r="X83" i="3"/>
  <c r="X73" i="2"/>
  <c r="X44" i="2"/>
  <c r="X86" i="2"/>
  <c r="X74" i="2"/>
  <c r="D78" i="9" l="1"/>
  <c r="D73" i="9"/>
  <c r="D72" i="9"/>
  <c r="D80" i="9"/>
  <c r="D74" i="9"/>
  <c r="D71" i="9"/>
  <c r="D83" i="9"/>
  <c r="D75" i="9"/>
  <c r="D89" i="9"/>
  <c r="D90" i="9"/>
  <c r="D84" i="9"/>
  <c r="D87" i="9"/>
  <c r="D76" i="9"/>
  <c r="D81" i="9"/>
  <c r="D85" i="9"/>
  <c r="D88" i="9"/>
  <c r="L73" i="9"/>
  <c r="N74" i="9"/>
  <c r="L74" i="9"/>
  <c r="N85" i="9"/>
  <c r="X83" i="9"/>
  <c r="X76" i="9"/>
  <c r="V73" i="9"/>
  <c r="V84" i="9"/>
  <c r="L75" i="9"/>
  <c r="J90" i="9"/>
  <c r="N88" i="9"/>
  <c r="J85" i="9"/>
  <c r="H78" i="9"/>
  <c r="P46" i="9"/>
  <c r="AC27" i="9"/>
  <c r="V120" i="14"/>
  <c r="X72" i="9"/>
  <c r="N76" i="9"/>
  <c r="N80" i="9"/>
  <c r="X81" i="9"/>
  <c r="V75" i="9"/>
  <c r="V87" i="9"/>
  <c r="L76" i="9"/>
  <c r="J84" i="9"/>
  <c r="J73" i="9"/>
  <c r="J75" i="9"/>
  <c r="N90" i="9"/>
  <c r="J88" i="9"/>
  <c r="H85" i="9"/>
  <c r="H71" i="9"/>
  <c r="T69" i="9"/>
  <c r="X78" i="9"/>
  <c r="N87" i="9"/>
  <c r="N78" i="9"/>
  <c r="N71" i="9"/>
  <c r="J83" i="9"/>
  <c r="X87" i="9"/>
  <c r="V74" i="9"/>
  <c r="V89" i="9"/>
  <c r="J78" i="9"/>
  <c r="L85" i="9"/>
  <c r="N73" i="9"/>
  <c r="N75" i="9"/>
  <c r="J81" i="9"/>
  <c r="M92" i="14"/>
  <c r="M90" i="14"/>
  <c r="L90" i="9"/>
  <c r="H88" i="9"/>
  <c r="N84" i="9"/>
  <c r="H76" i="9"/>
  <c r="AC49" i="9"/>
  <c r="X90" i="9"/>
  <c r="X77" i="9"/>
  <c r="L72" i="9"/>
  <c r="P112" i="9"/>
  <c r="X84" i="9"/>
  <c r="J71" i="9"/>
  <c r="L89" i="9"/>
  <c r="L71" i="9"/>
  <c r="V76" i="9"/>
  <c r="T76" i="9"/>
  <c r="I113" i="9"/>
  <c r="H90" i="9"/>
  <c r="H84" i="9"/>
  <c r="X89" i="9"/>
  <c r="X75" i="9"/>
  <c r="AC15" i="14"/>
  <c r="P117" i="14"/>
  <c r="X79" i="22"/>
  <c r="P75" i="22"/>
  <c r="I115" i="14"/>
  <c r="N78" i="22"/>
  <c r="T78" i="22"/>
  <c r="N90" i="22"/>
  <c r="N81" i="22"/>
  <c r="N93" i="22"/>
  <c r="L90" i="22"/>
  <c r="X84" i="22"/>
  <c r="X91" i="22"/>
  <c r="J77" i="22"/>
  <c r="AC49" i="22"/>
  <c r="X77" i="22"/>
  <c r="P79" i="22"/>
  <c r="N77" i="22"/>
  <c r="M95" i="14"/>
  <c r="M94" i="14"/>
  <c r="N86" i="22"/>
  <c r="P81" i="22"/>
  <c r="D50" i="22"/>
  <c r="X76" i="22"/>
  <c r="N76" i="22"/>
  <c r="T84" i="22"/>
  <c r="X80" i="22"/>
  <c r="AC80" i="22" s="1"/>
  <c r="N75" i="22"/>
  <c r="Q12" i="14"/>
  <c r="M87" i="14"/>
  <c r="J92" i="22"/>
  <c r="X90" i="22"/>
  <c r="T75" i="22"/>
  <c r="N92" i="22"/>
  <c r="P77" i="22"/>
  <c r="N88" i="22"/>
  <c r="J10" i="14"/>
  <c r="F130" i="11"/>
  <c r="P109" i="14"/>
  <c r="R90" i="22"/>
  <c r="L75" i="22"/>
  <c r="E10" i="14"/>
  <c r="R23" i="14"/>
  <c r="AC23" i="14" s="1"/>
  <c r="AC79" i="11"/>
  <c r="AC14" i="14"/>
  <c r="AB57" i="14"/>
  <c r="AC13" i="14"/>
  <c r="V75" i="22"/>
  <c r="V86" i="22"/>
  <c r="J79" i="22"/>
  <c r="L84" i="22"/>
  <c r="N129" i="11"/>
  <c r="D126" i="11"/>
  <c r="F131" i="11"/>
  <c r="T87" i="22"/>
  <c r="T91" i="22"/>
  <c r="F95" i="11"/>
  <c r="F101" i="11" s="1"/>
  <c r="P158" i="11"/>
  <c r="P168" i="11" s="1"/>
  <c r="P130" i="11"/>
  <c r="P135" i="11"/>
  <c r="P138" i="11"/>
  <c r="P140" i="11"/>
  <c r="P143" i="11"/>
  <c r="P145" i="11"/>
  <c r="N145" i="11"/>
  <c r="P131" i="11"/>
  <c r="R82" i="11"/>
  <c r="L92" i="22"/>
  <c r="P87" i="22"/>
  <c r="L79" i="22"/>
  <c r="V44" i="14"/>
  <c r="T63" i="14"/>
  <c r="AC63" i="14" s="1"/>
  <c r="X75" i="22"/>
  <c r="AC75" i="22" s="1"/>
  <c r="AB13" i="14"/>
  <c r="J82" i="11"/>
  <c r="M83" i="14"/>
  <c r="N36" i="14"/>
  <c r="N39" i="14" s="1"/>
  <c r="P74" i="22"/>
  <c r="AC44" i="22"/>
  <c r="V78" i="22"/>
  <c r="J74" i="22"/>
  <c r="D127" i="11"/>
  <c r="F86" i="22"/>
  <c r="R78" i="22"/>
  <c r="D95" i="11"/>
  <c r="F139" i="11"/>
  <c r="P126" i="11"/>
  <c r="D100" i="11"/>
  <c r="P114" i="14"/>
  <c r="F143" i="11"/>
  <c r="P129" i="11"/>
  <c r="L93" i="22"/>
  <c r="R91" i="22"/>
  <c r="P88" i="22"/>
  <c r="J78" i="22"/>
  <c r="I10" i="14"/>
  <c r="AB12" i="22"/>
  <c r="F133" i="11"/>
  <c r="AC82" i="11"/>
  <c r="V74" i="22"/>
  <c r="P86" i="22"/>
  <c r="R84" i="22"/>
  <c r="F136" i="11"/>
  <c r="P133" i="11"/>
  <c r="R74" i="22"/>
  <c r="F127" i="11"/>
  <c r="F142" i="11"/>
  <c r="T77" i="22"/>
  <c r="P127" i="11"/>
  <c r="I158" i="11"/>
  <c r="I168" i="11" s="1"/>
  <c r="P136" i="11"/>
  <c r="P139" i="11"/>
  <c r="P142" i="11"/>
  <c r="P144" i="11"/>
  <c r="F135" i="11"/>
  <c r="P115" i="22"/>
  <c r="J93" i="22"/>
  <c r="F83" i="22"/>
  <c r="L74" i="22"/>
  <c r="AC31" i="22"/>
  <c r="AC24" i="14"/>
  <c r="AC64" i="14"/>
  <c r="V76" i="22"/>
  <c r="L78" i="22"/>
  <c r="L76" i="22"/>
  <c r="P78" i="22"/>
  <c r="N133" i="11"/>
  <c r="D131" i="11"/>
  <c r="F128" i="11"/>
  <c r="F144" i="11"/>
  <c r="T79" i="22"/>
  <c r="T80" i="22"/>
  <c r="Q10" i="14"/>
  <c r="J128" i="11"/>
  <c r="D135" i="11"/>
  <c r="D138" i="11"/>
  <c r="D140" i="11"/>
  <c r="D143" i="11"/>
  <c r="D145" i="11"/>
  <c r="C110" i="14"/>
  <c r="N142" i="11"/>
  <c r="I116" i="22"/>
  <c r="J88" i="22"/>
  <c r="AC92" i="11"/>
  <c r="AC12" i="14"/>
  <c r="AB53" i="14"/>
  <c r="T50" i="14"/>
  <c r="AC25" i="14"/>
  <c r="R83" i="27"/>
  <c r="J88" i="27"/>
  <c r="P83" i="27"/>
  <c r="R80" i="27"/>
  <c r="J73" i="27"/>
  <c r="R45" i="27"/>
  <c r="X72" i="27"/>
  <c r="R84" i="27"/>
  <c r="R74" i="27"/>
  <c r="J83" i="27"/>
  <c r="J72" i="27"/>
  <c r="C118" i="14"/>
  <c r="AB30" i="27"/>
  <c r="AC44" i="27"/>
  <c r="AC39" i="27"/>
  <c r="J43" i="14"/>
  <c r="J44" i="14" s="1"/>
  <c r="J89" i="27"/>
  <c r="R82" i="27"/>
  <c r="J80" i="27"/>
  <c r="J77" i="27"/>
  <c r="R71" i="27"/>
  <c r="J45" i="27"/>
  <c r="T70" i="27"/>
  <c r="X44" i="14"/>
  <c r="AC26" i="27"/>
  <c r="R72" i="27"/>
  <c r="L43" i="14"/>
  <c r="L44" i="14" s="1"/>
  <c r="R88" i="27"/>
  <c r="J87" i="27"/>
  <c r="R79" i="27"/>
  <c r="R76" i="27"/>
  <c r="J74" i="27"/>
  <c r="V81" i="16"/>
  <c r="V79" i="16"/>
  <c r="N88" i="16"/>
  <c r="F87" i="16"/>
  <c r="F83" i="16"/>
  <c r="T81" i="16"/>
  <c r="V84" i="16"/>
  <c r="V88" i="16"/>
  <c r="F76" i="16"/>
  <c r="F93" i="16"/>
  <c r="P91" i="16"/>
  <c r="L90" i="16"/>
  <c r="R86" i="16"/>
  <c r="R81" i="16"/>
  <c r="R74" i="16"/>
  <c r="T84" i="16"/>
  <c r="T76" i="16"/>
  <c r="P88" i="16"/>
  <c r="V83" i="16"/>
  <c r="N79" i="16"/>
  <c r="V87" i="16"/>
  <c r="V86" i="16"/>
  <c r="T88" i="16"/>
  <c r="N76" i="16"/>
  <c r="M88" i="14"/>
  <c r="C116" i="16"/>
  <c r="R92" i="16"/>
  <c r="N91" i="16"/>
  <c r="N86" i="16"/>
  <c r="F84" i="16"/>
  <c r="P81" i="16"/>
  <c r="N74" i="16"/>
  <c r="F74" i="16"/>
  <c r="X74" i="16"/>
  <c r="V90" i="16"/>
  <c r="V93" i="16"/>
  <c r="T86" i="16"/>
  <c r="H23" i="14"/>
  <c r="H26" i="14" s="1"/>
  <c r="D51" i="14"/>
  <c r="F90" i="16"/>
  <c r="AC42" i="16"/>
  <c r="AC47" i="16"/>
  <c r="V92" i="16"/>
  <c r="N77" i="16"/>
  <c r="V78" i="16"/>
  <c r="F78" i="16"/>
  <c r="P76" i="14"/>
  <c r="P91" i="14" s="1"/>
  <c r="D10" i="14"/>
  <c r="F91" i="16"/>
  <c r="N87" i="16"/>
  <c r="F86" i="16"/>
  <c r="AB33" i="16"/>
  <c r="AB11" i="14"/>
  <c r="AB15" i="14"/>
  <c r="AC42" i="14"/>
  <c r="X73" i="29"/>
  <c r="X84" i="29"/>
  <c r="J78" i="29"/>
  <c r="T76" i="14"/>
  <c r="J69" i="29"/>
  <c r="J75" i="29"/>
  <c r="J77" i="29"/>
  <c r="J85" i="29"/>
  <c r="J86" i="29"/>
  <c r="J87" i="29"/>
  <c r="R36" i="14"/>
  <c r="R39" i="14" s="1"/>
  <c r="N70" i="29"/>
  <c r="N78" i="29"/>
  <c r="N80" i="29"/>
  <c r="T69" i="29"/>
  <c r="T73" i="29"/>
  <c r="T78" i="29"/>
  <c r="T84" i="29"/>
  <c r="T68" i="29"/>
  <c r="T72" i="29"/>
  <c r="T77" i="29"/>
  <c r="T82" i="29"/>
  <c r="R95" i="11"/>
  <c r="N87" i="29"/>
  <c r="J71" i="29"/>
  <c r="L43" i="29"/>
  <c r="J43" i="29"/>
  <c r="X85" i="29"/>
  <c r="X77" i="29"/>
  <c r="L95" i="11"/>
  <c r="L101" i="11" s="1"/>
  <c r="J38" i="14"/>
  <c r="P46" i="4"/>
  <c r="F29" i="15"/>
  <c r="P72" i="6"/>
  <c r="N71" i="6"/>
  <c r="P70" i="6"/>
  <c r="J72" i="6"/>
  <c r="D48" i="7"/>
  <c r="R43" i="8"/>
  <c r="N43" i="8"/>
  <c r="H46" i="9"/>
  <c r="L43" i="13"/>
  <c r="D43" i="13"/>
  <c r="P78" i="10"/>
  <c r="P73" i="10"/>
  <c r="P75" i="10"/>
  <c r="P81" i="10"/>
  <c r="Y81" i="10" s="1"/>
  <c r="L71" i="10"/>
  <c r="L83" i="10"/>
  <c r="Y78" i="10"/>
  <c r="Y85" i="21"/>
  <c r="Y88" i="21"/>
  <c r="N76" i="14"/>
  <c r="N82" i="14" s="1"/>
  <c r="N74" i="19"/>
  <c r="J145" i="11"/>
  <c r="N144" i="11"/>
  <c r="N143" i="11"/>
  <c r="F140" i="11"/>
  <c r="N139" i="11"/>
  <c r="N138" i="11"/>
  <c r="N136" i="11"/>
  <c r="L87" i="29"/>
  <c r="L82" i="29"/>
  <c r="N75" i="29"/>
  <c r="L72" i="29"/>
  <c r="N68" i="29"/>
  <c r="R43" i="29"/>
  <c r="N43" i="29"/>
  <c r="P43" i="29"/>
  <c r="P86" i="1"/>
  <c r="F86" i="1"/>
  <c r="J85" i="1"/>
  <c r="P84" i="1"/>
  <c r="J84" i="1"/>
  <c r="R83" i="1"/>
  <c r="P81" i="1"/>
  <c r="J81" i="1"/>
  <c r="F81" i="1"/>
  <c r="F80" i="1"/>
  <c r="J79" i="1"/>
  <c r="P76" i="1"/>
  <c r="J76" i="1"/>
  <c r="J72" i="1"/>
  <c r="J71" i="1"/>
  <c r="P70" i="1"/>
  <c r="F69" i="1"/>
  <c r="P67" i="1"/>
  <c r="H42" i="1"/>
  <c r="P42" i="1"/>
  <c r="D42" i="1"/>
  <c r="P89" i="2"/>
  <c r="L88" i="2"/>
  <c r="L87" i="2"/>
  <c r="P83" i="2"/>
  <c r="P82" i="2"/>
  <c r="L82" i="2"/>
  <c r="L77" i="2"/>
  <c r="L75" i="2"/>
  <c r="L73" i="2"/>
  <c r="P71" i="2"/>
  <c r="P44" i="2"/>
  <c r="C119" i="3"/>
  <c r="F96" i="3"/>
  <c r="P95" i="3"/>
  <c r="F95" i="3"/>
  <c r="L90" i="3"/>
  <c r="L89" i="3"/>
  <c r="L87" i="3"/>
  <c r="L84" i="3"/>
  <c r="P79" i="3"/>
  <c r="F77" i="3"/>
  <c r="P87" i="4"/>
  <c r="P85" i="4"/>
  <c r="J85" i="4"/>
  <c r="P84" i="4"/>
  <c r="P81" i="4"/>
  <c r="D81" i="4"/>
  <c r="P74" i="4"/>
  <c r="D74" i="4"/>
  <c r="P72" i="4"/>
  <c r="N46" i="4"/>
  <c r="J87" i="15"/>
  <c r="F87" i="15"/>
  <c r="J86" i="15"/>
  <c r="F86" i="15"/>
  <c r="N84" i="15"/>
  <c r="P79" i="15"/>
  <c r="P78" i="15"/>
  <c r="N75" i="15"/>
  <c r="H29" i="15"/>
  <c r="D29" i="15"/>
  <c r="P113" i="5"/>
  <c r="N71" i="5"/>
  <c r="F46" i="5"/>
  <c r="P46" i="5"/>
  <c r="H46" i="5"/>
  <c r="L44" i="6"/>
  <c r="N44" i="6"/>
  <c r="F73" i="7"/>
  <c r="R71" i="8"/>
  <c r="R70" i="8"/>
  <c r="P68" i="8"/>
  <c r="P43" i="8"/>
  <c r="L43" i="8"/>
  <c r="P81" i="9"/>
  <c r="H81" i="9"/>
  <c r="H80" i="9"/>
  <c r="H75" i="9"/>
  <c r="P72" i="9"/>
  <c r="F46" i="9"/>
  <c r="C110" i="13"/>
  <c r="F70" i="13"/>
  <c r="F68" i="13"/>
  <c r="P112" i="10"/>
  <c r="L46" i="10"/>
  <c r="D85" i="21"/>
  <c r="D78" i="21"/>
  <c r="D71" i="21"/>
  <c r="D84" i="21"/>
  <c r="D70" i="17"/>
  <c r="D73" i="17"/>
  <c r="D79" i="17"/>
  <c r="D69" i="17"/>
  <c r="D81" i="17"/>
  <c r="D85" i="17"/>
  <c r="Y27" i="10"/>
  <c r="R88" i="22"/>
  <c r="R87" i="22"/>
  <c r="R86" i="22"/>
  <c r="N84" i="22"/>
  <c r="L81" i="22"/>
  <c r="F81" i="22"/>
  <c r="N79" i="22"/>
  <c r="F78" i="22"/>
  <c r="F77" i="22"/>
  <c r="L83" i="22"/>
  <c r="L50" i="22"/>
  <c r="F50" i="22"/>
  <c r="P87" i="21"/>
  <c r="P84" i="21"/>
  <c r="Y84" i="21" s="1"/>
  <c r="P80" i="21"/>
  <c r="Y80" i="21" s="1"/>
  <c r="R77" i="21"/>
  <c r="Y77" i="21" s="1"/>
  <c r="R72" i="21"/>
  <c r="Y72" i="21" s="1"/>
  <c r="D46" i="21"/>
  <c r="L86" i="20"/>
  <c r="N85" i="20"/>
  <c r="L84" i="20"/>
  <c r="N83" i="20"/>
  <c r="H79" i="20"/>
  <c r="L76" i="20"/>
  <c r="N74" i="20"/>
  <c r="N72" i="20"/>
  <c r="N71" i="20"/>
  <c r="N70" i="20"/>
  <c r="N69" i="20"/>
  <c r="D42" i="20"/>
  <c r="J83" i="19"/>
  <c r="P82" i="19"/>
  <c r="P80" i="19"/>
  <c r="F38" i="19"/>
  <c r="F44" i="19" s="1"/>
  <c r="D38" i="19"/>
  <c r="D44" i="19" s="1"/>
  <c r="P90" i="18"/>
  <c r="D90" i="18"/>
  <c r="P88" i="18"/>
  <c r="D88" i="18"/>
  <c r="D85" i="18"/>
  <c r="P83" i="18"/>
  <c r="D83" i="18"/>
  <c r="P80" i="18"/>
  <c r="P71" i="18"/>
  <c r="R46" i="18"/>
  <c r="N88" i="17"/>
  <c r="J88" i="17"/>
  <c r="F88" i="17"/>
  <c r="N87" i="17"/>
  <c r="J87" i="17"/>
  <c r="F87" i="17"/>
  <c r="N86" i="17"/>
  <c r="J86" i="17"/>
  <c r="F86" i="17"/>
  <c r="L85" i="17"/>
  <c r="N83" i="17"/>
  <c r="J83" i="17"/>
  <c r="F83" i="17"/>
  <c r="N82" i="17"/>
  <c r="J82" i="17"/>
  <c r="F82" i="17"/>
  <c r="L81" i="17"/>
  <c r="J79" i="17"/>
  <c r="F79" i="17"/>
  <c r="N78" i="17"/>
  <c r="J78" i="17"/>
  <c r="F78" i="17"/>
  <c r="L76" i="17"/>
  <c r="R75" i="17"/>
  <c r="L74" i="17"/>
  <c r="L73" i="17"/>
  <c r="N72" i="17"/>
  <c r="L70" i="17"/>
  <c r="N44" i="17"/>
  <c r="J44" i="17"/>
  <c r="F44" i="17"/>
  <c r="L93" i="16"/>
  <c r="D93" i="16"/>
  <c r="P92" i="16"/>
  <c r="L86" i="16"/>
  <c r="D86" i="16"/>
  <c r="L75" i="16"/>
  <c r="H48" i="16"/>
  <c r="F29" i="16"/>
  <c r="N90" i="24"/>
  <c r="N89" i="24"/>
  <c r="N88" i="24"/>
  <c r="J85" i="24"/>
  <c r="N84" i="24"/>
  <c r="J80" i="24"/>
  <c r="J78" i="24"/>
  <c r="F45" i="24"/>
  <c r="N74" i="27"/>
  <c r="P45" i="27"/>
  <c r="J120" i="14"/>
  <c r="R51" i="14"/>
  <c r="T83" i="27"/>
  <c r="T73" i="27"/>
  <c r="T36" i="14"/>
  <c r="T79" i="3"/>
  <c r="T71" i="18"/>
  <c r="T78" i="17"/>
  <c r="F46" i="21"/>
  <c r="R42" i="20"/>
  <c r="D44" i="17"/>
  <c r="R48" i="16"/>
  <c r="N48" i="16"/>
  <c r="D29" i="16"/>
  <c r="H45" i="24"/>
  <c r="D45" i="24"/>
  <c r="R50" i="14"/>
  <c r="T48" i="15"/>
  <c r="T43" i="8"/>
  <c r="T42" i="20"/>
  <c r="T46" i="18"/>
  <c r="T48" i="16"/>
  <c r="T38" i="14"/>
  <c r="T128" i="11"/>
  <c r="S87" i="14"/>
  <c r="T74" i="18"/>
  <c r="T80" i="18"/>
  <c r="T83" i="18"/>
  <c r="T85" i="18"/>
  <c r="T88" i="18"/>
  <c r="T90" i="18"/>
  <c r="T72" i="18"/>
  <c r="T69" i="17"/>
  <c r="T79" i="17"/>
  <c r="T81" i="17"/>
  <c r="T90" i="24"/>
  <c r="T24" i="31"/>
  <c r="V70" i="27"/>
  <c r="V45" i="27"/>
  <c r="AC100" i="11"/>
  <c r="V72" i="29"/>
  <c r="V81" i="22"/>
  <c r="V78" i="13"/>
  <c r="U14" i="14"/>
  <c r="AB14" i="14" s="1"/>
  <c r="U82" i="14"/>
  <c r="U88" i="14"/>
  <c r="U94" i="14"/>
  <c r="D43" i="31"/>
  <c r="H43" i="31"/>
  <c r="F51" i="32"/>
  <c r="N51" i="32"/>
  <c r="R32" i="32"/>
  <c r="V51" i="32"/>
  <c r="V85" i="31"/>
  <c r="V79" i="31"/>
  <c r="V74" i="31"/>
  <c r="V101" i="11"/>
  <c r="V82" i="29"/>
  <c r="V74" i="29"/>
  <c r="V43" i="29"/>
  <c r="V80" i="2"/>
  <c r="V78" i="3"/>
  <c r="V90" i="5"/>
  <c r="V87" i="5"/>
  <c r="V84" i="5"/>
  <c r="V71" i="5"/>
  <c r="V44" i="6"/>
  <c r="V45" i="24"/>
  <c r="V84" i="18"/>
  <c r="V89" i="19"/>
  <c r="V44" i="19"/>
  <c r="V85" i="20"/>
  <c r="V83" i="20"/>
  <c r="V67" i="20"/>
  <c r="V42" i="20"/>
  <c r="V92" i="22"/>
  <c r="V86" i="13"/>
  <c r="V82" i="13"/>
  <c r="V80" i="13"/>
  <c r="V68" i="13"/>
  <c r="V46" i="21"/>
  <c r="V48" i="15"/>
  <c r="V38" i="14"/>
  <c r="U78" i="14"/>
  <c r="U87" i="14"/>
  <c r="U90" i="14"/>
  <c r="U95" i="14"/>
  <c r="X101" i="11"/>
  <c r="X39" i="14"/>
  <c r="X86" i="29"/>
  <c r="X82" i="29"/>
  <c r="X80" i="29"/>
  <c r="X74" i="29"/>
  <c r="X86" i="1"/>
  <c r="X84" i="1"/>
  <c r="X81" i="1"/>
  <c r="X77" i="1"/>
  <c r="X87" i="2"/>
  <c r="X46" i="5"/>
  <c r="X87" i="6"/>
  <c r="X83" i="6"/>
  <c r="X81" i="6"/>
  <c r="X76" i="6"/>
  <c r="X72" i="6"/>
  <c r="X86" i="8"/>
  <c r="X86" i="13"/>
  <c r="X77" i="13"/>
  <c r="X85" i="20"/>
  <c r="X80" i="20"/>
  <c r="X89" i="18"/>
  <c r="X87" i="18"/>
  <c r="X84" i="18"/>
  <c r="X81" i="18"/>
  <c r="X77" i="18"/>
  <c r="X44" i="17"/>
  <c r="X92" i="16"/>
  <c r="X87" i="24"/>
  <c r="X83" i="24"/>
  <c r="X76" i="24"/>
  <c r="S55" i="14"/>
  <c r="AB55" i="14" s="1"/>
  <c r="S59" i="14"/>
  <c r="AB59" i="14" s="1"/>
  <c r="X86" i="16"/>
  <c r="X79" i="16"/>
  <c r="X78" i="18"/>
  <c r="X76" i="18"/>
  <c r="X74" i="18"/>
  <c r="X75" i="18"/>
  <c r="X72" i="18"/>
  <c r="X73" i="18"/>
  <c r="X70" i="20"/>
  <c r="X87" i="23"/>
  <c r="X84" i="23"/>
  <c r="X72" i="13"/>
  <c r="X68" i="13"/>
  <c r="X74" i="9"/>
  <c r="X71" i="9"/>
  <c r="X81" i="8"/>
  <c r="X71" i="8"/>
  <c r="X86" i="7"/>
  <c r="X76" i="7"/>
  <c r="X73" i="6"/>
  <c r="X71" i="6"/>
  <c r="X70" i="6"/>
  <c r="X87" i="31"/>
  <c r="X79" i="31"/>
  <c r="X76" i="4"/>
  <c r="X74" i="4"/>
  <c r="X74" i="1"/>
  <c r="X79" i="1"/>
  <c r="X76" i="1"/>
  <c r="X68" i="1"/>
  <c r="X77" i="24"/>
  <c r="X73" i="24"/>
  <c r="X72" i="24"/>
  <c r="X86" i="19"/>
  <c r="X96" i="3"/>
  <c r="X87" i="3"/>
  <c r="X75" i="2"/>
  <c r="X88" i="2"/>
  <c r="X83" i="2"/>
  <c r="X77" i="2"/>
  <c r="X72" i="2"/>
  <c r="X71" i="2"/>
  <c r="X80" i="2"/>
  <c r="X82" i="2"/>
  <c r="X89" i="2"/>
  <c r="X84" i="2"/>
  <c r="X79" i="2"/>
  <c r="X76" i="2"/>
  <c r="X82" i="31"/>
  <c r="X74" i="31"/>
  <c r="X86" i="31"/>
  <c r="X81" i="31"/>
  <c r="X75" i="31"/>
  <c r="X72" i="31"/>
  <c r="X94" i="32"/>
  <c r="X81" i="32"/>
  <c r="X88" i="22"/>
  <c r="X92" i="22"/>
  <c r="X81" i="22"/>
  <c r="X87" i="13"/>
  <c r="X85" i="13"/>
  <c r="X80" i="13"/>
  <c r="X74" i="13"/>
  <c r="X71" i="13"/>
  <c r="X77" i="5"/>
  <c r="X88" i="5"/>
  <c r="X75" i="5"/>
  <c r="X85" i="5"/>
  <c r="X72" i="5"/>
  <c r="X81" i="5"/>
  <c r="X74" i="5"/>
  <c r="X84" i="5"/>
  <c r="X89" i="5"/>
  <c r="X90" i="16"/>
  <c r="X81" i="16"/>
  <c r="X76" i="16"/>
  <c r="X91" i="16"/>
  <c r="X87" i="16"/>
  <c r="X84" i="16"/>
  <c r="X80" i="16"/>
  <c r="X77" i="16"/>
  <c r="X75" i="16"/>
  <c r="X93" i="3"/>
  <c r="X82" i="3"/>
  <c r="X94" i="3"/>
  <c r="X89" i="3"/>
  <c r="X86" i="3"/>
  <c r="X79" i="3"/>
  <c r="X71" i="1"/>
  <c r="X72" i="1"/>
  <c r="X70" i="1"/>
  <c r="X71" i="29"/>
  <c r="X68" i="29"/>
  <c r="X75" i="29"/>
  <c r="X72" i="29"/>
  <c r="X70" i="29"/>
  <c r="X48" i="16"/>
  <c r="X44" i="19"/>
  <c r="X43" i="13"/>
  <c r="X46" i="9"/>
  <c r="Y83" i="15"/>
  <c r="F87" i="6"/>
  <c r="F73" i="6"/>
  <c r="F69" i="6"/>
  <c r="F78" i="6"/>
  <c r="N89" i="19"/>
  <c r="N80" i="19"/>
  <c r="N73" i="19"/>
  <c r="N84" i="19"/>
  <c r="P116" i="15"/>
  <c r="Y87" i="21"/>
  <c r="Y84" i="15"/>
  <c r="F83" i="6"/>
  <c r="F85" i="6"/>
  <c r="F72" i="6"/>
  <c r="F88" i="6"/>
  <c r="F76" i="6"/>
  <c r="N88" i="19"/>
  <c r="N79" i="19"/>
  <c r="N72" i="19"/>
  <c r="N83" i="19"/>
  <c r="N50" i="14"/>
  <c r="J50" i="14"/>
  <c r="P10" i="14"/>
  <c r="AC10" i="14" s="1"/>
  <c r="J127" i="11"/>
  <c r="C168" i="11"/>
  <c r="F82" i="6"/>
  <c r="F71" i="6"/>
  <c r="N82" i="19"/>
  <c r="N87" i="19"/>
  <c r="N75" i="19"/>
  <c r="N71" i="19"/>
  <c r="L73" i="6"/>
  <c r="L81" i="6"/>
  <c r="L69" i="6"/>
  <c r="L72" i="6"/>
  <c r="L85" i="6"/>
  <c r="L70" i="6"/>
  <c r="L76" i="6"/>
  <c r="L78" i="6"/>
  <c r="L79" i="6"/>
  <c r="L86" i="6"/>
  <c r="J130" i="11"/>
  <c r="J142" i="11"/>
  <c r="J143" i="11"/>
  <c r="J129" i="11"/>
  <c r="J139" i="11"/>
  <c r="J140" i="11"/>
  <c r="J131" i="11"/>
  <c r="J133" i="11"/>
  <c r="J138" i="11"/>
  <c r="Y74" i="15"/>
  <c r="D69" i="8"/>
  <c r="D73" i="8"/>
  <c r="D82" i="8"/>
  <c r="D68" i="8"/>
  <c r="D70" i="8"/>
  <c r="D78" i="8"/>
  <c r="F145" i="11"/>
  <c r="N86" i="29"/>
  <c r="N77" i="29"/>
  <c r="R73" i="29"/>
  <c r="R71" i="29"/>
  <c r="J70" i="29"/>
  <c r="N85" i="1"/>
  <c r="H84" i="1"/>
  <c r="N83" i="1"/>
  <c r="H80" i="1"/>
  <c r="N71" i="1"/>
  <c r="H67" i="1"/>
  <c r="F88" i="2"/>
  <c r="F84" i="2"/>
  <c r="F79" i="2"/>
  <c r="F77" i="2"/>
  <c r="F74" i="2"/>
  <c r="D90" i="3"/>
  <c r="P84" i="3"/>
  <c r="P81" i="3"/>
  <c r="P78" i="3"/>
  <c r="E78" i="14"/>
  <c r="D78" i="4"/>
  <c r="D75" i="4"/>
  <c r="P115" i="15"/>
  <c r="D93" i="15"/>
  <c r="J92" i="15"/>
  <c r="R90" i="15"/>
  <c r="D88" i="15"/>
  <c r="R81" i="15"/>
  <c r="Y81" i="15" s="1"/>
  <c r="R80" i="15"/>
  <c r="Y80" i="15" s="1"/>
  <c r="J79" i="15"/>
  <c r="Y78" i="15"/>
  <c r="P77" i="15"/>
  <c r="R76" i="15"/>
  <c r="J75" i="15"/>
  <c r="J74" i="15"/>
  <c r="Y47" i="15"/>
  <c r="Y12" i="15"/>
  <c r="P112" i="5"/>
  <c r="F90" i="5"/>
  <c r="P87" i="5"/>
  <c r="P78" i="5"/>
  <c r="F78" i="5"/>
  <c r="F76" i="5"/>
  <c r="F75" i="5"/>
  <c r="F74" i="5"/>
  <c r="F73" i="5"/>
  <c r="R71" i="5"/>
  <c r="J70" i="6"/>
  <c r="N92" i="7"/>
  <c r="N89" i="7"/>
  <c r="F89" i="7"/>
  <c r="N87" i="7"/>
  <c r="N83" i="7"/>
  <c r="N80" i="7"/>
  <c r="N75" i="7"/>
  <c r="F75" i="7"/>
  <c r="N87" i="8"/>
  <c r="R86" i="8"/>
  <c r="N85" i="8"/>
  <c r="R84" i="8"/>
  <c r="R80" i="8"/>
  <c r="R77" i="8"/>
  <c r="N89" i="9"/>
  <c r="P88" i="9"/>
  <c r="F85" i="9"/>
  <c r="F84" i="9"/>
  <c r="F80" i="9"/>
  <c r="P76" i="9"/>
  <c r="D87" i="13"/>
  <c r="J86" i="13"/>
  <c r="J81" i="13"/>
  <c r="N78" i="13"/>
  <c r="J77" i="13"/>
  <c r="R74" i="13"/>
  <c r="J70" i="13"/>
  <c r="N69" i="13"/>
  <c r="J69" i="13"/>
  <c r="P90" i="10"/>
  <c r="N89" i="10"/>
  <c r="N87" i="10"/>
  <c r="P83" i="10"/>
  <c r="Y83" i="10" s="1"/>
  <c r="L80" i="10"/>
  <c r="R73" i="10"/>
  <c r="Y73" i="10" s="1"/>
  <c r="R75" i="10"/>
  <c r="Y75" i="10" s="1"/>
  <c r="H46" i="10"/>
  <c r="J86" i="23"/>
  <c r="P72" i="23"/>
  <c r="P73" i="23"/>
  <c r="P80" i="23"/>
  <c r="P84" i="23"/>
  <c r="P86" i="23"/>
  <c r="P88" i="23"/>
  <c r="F138" i="11"/>
  <c r="R101" i="11"/>
  <c r="R87" i="29"/>
  <c r="N81" i="29"/>
  <c r="N71" i="29"/>
  <c r="R69" i="29"/>
  <c r="H86" i="1"/>
  <c r="R81" i="1"/>
  <c r="H77" i="1"/>
  <c r="H70" i="1"/>
  <c r="F87" i="2"/>
  <c r="F86" i="2"/>
  <c r="F82" i="2"/>
  <c r="F80" i="2"/>
  <c r="F75" i="2"/>
  <c r="F73" i="2"/>
  <c r="F72" i="2"/>
  <c r="F70" i="2"/>
  <c r="P96" i="3"/>
  <c r="J95" i="3"/>
  <c r="P94" i="3"/>
  <c r="F85" i="4"/>
  <c r="F84" i="4"/>
  <c r="F83" i="4"/>
  <c r="D80" i="4"/>
  <c r="F76" i="4"/>
  <c r="D72" i="4"/>
  <c r="J93" i="15"/>
  <c r="R92" i="15"/>
  <c r="Y92" i="15" s="1"/>
  <c r="Y91" i="15"/>
  <c r="R88" i="15"/>
  <c r="Y88" i="15" s="1"/>
  <c r="J88" i="15"/>
  <c r="R87" i="15"/>
  <c r="Y87" i="15" s="1"/>
  <c r="R86" i="15"/>
  <c r="Y86" i="15" s="1"/>
  <c r="D84" i="15"/>
  <c r="J83" i="15"/>
  <c r="J81" i="15"/>
  <c r="R79" i="15"/>
  <c r="Y77" i="15"/>
  <c r="Y72" i="15"/>
  <c r="P90" i="5"/>
  <c r="F89" i="5"/>
  <c r="F87" i="5"/>
  <c r="P84" i="5"/>
  <c r="P81" i="5"/>
  <c r="N76" i="7"/>
  <c r="R81" i="8"/>
  <c r="N80" i="8"/>
  <c r="R78" i="8"/>
  <c r="N75" i="8"/>
  <c r="R74" i="8"/>
  <c r="N72" i="8"/>
  <c r="N69" i="8"/>
  <c r="P90" i="9"/>
  <c r="F90" i="9"/>
  <c r="F88" i="9"/>
  <c r="R84" i="9"/>
  <c r="F83" i="9"/>
  <c r="R71" i="9"/>
  <c r="F71" i="9"/>
  <c r="N85" i="13"/>
  <c r="N84" i="13"/>
  <c r="J80" i="13"/>
  <c r="N77" i="13"/>
  <c r="J75" i="13"/>
  <c r="J71" i="13"/>
  <c r="P74" i="10"/>
  <c r="Y74" i="10" s="1"/>
  <c r="P71" i="10"/>
  <c r="P72" i="10"/>
  <c r="Y72" i="10" s="1"/>
  <c r="P76" i="10"/>
  <c r="Y76" i="10" s="1"/>
  <c r="D74" i="23"/>
  <c r="D72" i="23"/>
  <c r="D77" i="23"/>
  <c r="D88" i="23"/>
  <c r="D70" i="23"/>
  <c r="D71" i="23"/>
  <c r="D79" i="23"/>
  <c r="H85" i="1"/>
  <c r="O100" i="14"/>
  <c r="Y90" i="15"/>
  <c r="Y76" i="15"/>
  <c r="Y42" i="15"/>
  <c r="Y29" i="15"/>
  <c r="Y42" i="10"/>
  <c r="N41" i="14"/>
  <c r="P110" i="14"/>
  <c r="L72" i="23"/>
  <c r="L75" i="23"/>
  <c r="L84" i="23"/>
  <c r="Y71" i="21"/>
  <c r="Y79" i="15"/>
  <c r="Y75" i="15"/>
  <c r="L48" i="15"/>
  <c r="Y48" i="15" s="1"/>
  <c r="X33" i="15"/>
  <c r="N78" i="7"/>
  <c r="R75" i="8"/>
  <c r="R72" i="8"/>
  <c r="R69" i="8"/>
  <c r="P89" i="10"/>
  <c r="Y89" i="10" s="1"/>
  <c r="P87" i="10"/>
  <c r="Y87" i="10" s="1"/>
  <c r="N84" i="10"/>
  <c r="Y84" i="10" s="1"/>
  <c r="P80" i="10"/>
  <c r="R46" i="10"/>
  <c r="R70" i="23"/>
  <c r="R83" i="23"/>
  <c r="R79" i="23"/>
  <c r="R89" i="23"/>
  <c r="J74" i="23"/>
  <c r="J70" i="23"/>
  <c r="D73" i="24"/>
  <c r="D81" i="24"/>
  <c r="D83" i="24"/>
  <c r="D74" i="24"/>
  <c r="D84" i="24"/>
  <c r="D85" i="24"/>
  <c r="D72" i="24"/>
  <c r="D75" i="24"/>
  <c r="D76" i="24"/>
  <c r="D87" i="24"/>
  <c r="D71" i="24"/>
  <c r="D78" i="24"/>
  <c r="D80" i="24"/>
  <c r="D88" i="24"/>
  <c r="D89" i="24"/>
  <c r="D90" i="24"/>
  <c r="D50" i="14"/>
  <c r="D45" i="23"/>
  <c r="M10" i="14"/>
  <c r="F10" i="14"/>
  <c r="P91" i="22"/>
  <c r="J84" i="22"/>
  <c r="R50" i="22"/>
  <c r="D83" i="21"/>
  <c r="D81" i="21"/>
  <c r="D80" i="21"/>
  <c r="L75" i="21"/>
  <c r="Y75" i="21" s="1"/>
  <c r="N74" i="21"/>
  <c r="Y74" i="21" s="1"/>
  <c r="F73" i="21"/>
  <c r="D72" i="21"/>
  <c r="Y45" i="21"/>
  <c r="Y27" i="21"/>
  <c r="F84" i="20"/>
  <c r="H81" i="20"/>
  <c r="F77" i="20"/>
  <c r="D72" i="20"/>
  <c r="J68" i="20"/>
  <c r="F68" i="20"/>
  <c r="J86" i="19"/>
  <c r="L71" i="19"/>
  <c r="N38" i="19"/>
  <c r="N44" i="19" s="1"/>
  <c r="N87" i="18"/>
  <c r="P85" i="18"/>
  <c r="R84" i="18"/>
  <c r="R83" i="18"/>
  <c r="R81" i="18"/>
  <c r="R80" i="18"/>
  <c r="D80" i="18"/>
  <c r="D78" i="18"/>
  <c r="R73" i="18"/>
  <c r="D73" i="18"/>
  <c r="R71" i="18"/>
  <c r="P73" i="18"/>
  <c r="D88" i="17"/>
  <c r="D87" i="17"/>
  <c r="D86" i="17"/>
  <c r="P82" i="17"/>
  <c r="P81" i="17"/>
  <c r="R79" i="17"/>
  <c r="R78" i="17"/>
  <c r="D78" i="17"/>
  <c r="R74" i="17"/>
  <c r="R72" i="17"/>
  <c r="D72" i="17"/>
  <c r="R69" i="17"/>
  <c r="L91" i="16"/>
  <c r="D91" i="16"/>
  <c r="P87" i="16"/>
  <c r="P86" i="16"/>
  <c r="L84" i="16"/>
  <c r="D84" i="16"/>
  <c r="N81" i="16"/>
  <c r="P79" i="16"/>
  <c r="P78" i="16"/>
  <c r="D78" i="16"/>
  <c r="P76" i="16"/>
  <c r="D76" i="16"/>
  <c r="P74" i="16"/>
  <c r="N75" i="16"/>
  <c r="N29" i="16"/>
  <c r="L90" i="24"/>
  <c r="L89" i="24"/>
  <c r="L88" i="24"/>
  <c r="F87" i="24"/>
  <c r="J83" i="24"/>
  <c r="J81" i="24"/>
  <c r="L80" i="24"/>
  <c r="L78" i="24"/>
  <c r="N76" i="24"/>
  <c r="F76" i="24"/>
  <c r="N75" i="24"/>
  <c r="F75" i="24"/>
  <c r="L74" i="24"/>
  <c r="N73" i="24"/>
  <c r="J71" i="24"/>
  <c r="N89" i="27"/>
  <c r="N86" i="27"/>
  <c r="N82" i="27"/>
  <c r="N77" i="27"/>
  <c r="N73" i="27"/>
  <c r="X84" i="15"/>
  <c r="T87" i="5"/>
  <c r="L10" i="14"/>
  <c r="Y76" i="21"/>
  <c r="R72" i="18"/>
  <c r="P78" i="17"/>
  <c r="D74" i="17"/>
  <c r="D71" i="17"/>
  <c r="P84" i="16"/>
  <c r="L83" i="16"/>
  <c r="D83" i="16"/>
  <c r="L81" i="16"/>
  <c r="D81" i="16"/>
  <c r="L78" i="16"/>
  <c r="L76" i="16"/>
  <c r="D74" i="16"/>
  <c r="L87" i="24"/>
  <c r="F85" i="24"/>
  <c r="F84" i="24"/>
  <c r="L76" i="24"/>
  <c r="L75" i="24"/>
  <c r="L73" i="24"/>
  <c r="L71" i="24"/>
  <c r="N88" i="27"/>
  <c r="N84" i="27"/>
  <c r="N80" i="27"/>
  <c r="N72" i="27"/>
  <c r="N71" i="27"/>
  <c r="N70" i="27"/>
  <c r="J26" i="14"/>
  <c r="X91" i="15"/>
  <c r="X71" i="21"/>
  <c r="X80" i="21"/>
  <c r="X85" i="21"/>
  <c r="Y49" i="10"/>
  <c r="I110" i="14"/>
  <c r="I120" i="14" s="1"/>
  <c r="L70" i="23"/>
  <c r="L51" i="14"/>
  <c r="H45" i="23"/>
  <c r="H14" i="14"/>
  <c r="P92" i="22"/>
  <c r="J91" i="22"/>
  <c r="P90" i="22"/>
  <c r="J90" i="22"/>
  <c r="J86" i="22"/>
  <c r="D84" i="22"/>
  <c r="J83" i="22"/>
  <c r="J81" i="22"/>
  <c r="N50" i="22"/>
  <c r="P50" i="22"/>
  <c r="D89" i="21"/>
  <c r="D88" i="21"/>
  <c r="D87" i="21"/>
  <c r="F75" i="21"/>
  <c r="L73" i="21"/>
  <c r="Y73" i="21" s="1"/>
  <c r="Y40" i="21"/>
  <c r="H86" i="20"/>
  <c r="F83" i="20"/>
  <c r="H76" i="20"/>
  <c r="D70" i="20"/>
  <c r="P89" i="19"/>
  <c r="P88" i="19"/>
  <c r="P87" i="19"/>
  <c r="P84" i="19"/>
  <c r="L83" i="19"/>
  <c r="L80" i="19"/>
  <c r="P75" i="19"/>
  <c r="P74" i="19"/>
  <c r="R90" i="18"/>
  <c r="R89" i="18"/>
  <c r="R88" i="18"/>
  <c r="R87" i="18"/>
  <c r="D87" i="18"/>
  <c r="N80" i="18"/>
  <c r="P78" i="18"/>
  <c r="R76" i="18"/>
  <c r="D75" i="18"/>
  <c r="AB16" i="14"/>
  <c r="P88" i="17"/>
  <c r="P87" i="17"/>
  <c r="P86" i="17"/>
  <c r="P85" i="17"/>
  <c r="R83" i="17"/>
  <c r="D83" i="17"/>
  <c r="D82" i="17"/>
  <c r="D76" i="17"/>
  <c r="R73" i="17"/>
  <c r="N93" i="16"/>
  <c r="P90" i="16"/>
  <c r="L88" i="16"/>
  <c r="D88" i="16"/>
  <c r="L87" i="16"/>
  <c r="D87" i="16"/>
  <c r="P83" i="16"/>
  <c r="L79" i="16"/>
  <c r="D79" i="16"/>
  <c r="P77" i="16"/>
  <c r="D77" i="16"/>
  <c r="J87" i="24"/>
  <c r="L85" i="24"/>
  <c r="L84" i="24"/>
  <c r="F83" i="24"/>
  <c r="N81" i="24"/>
  <c r="F81" i="24"/>
  <c r="J76" i="24"/>
  <c r="R77" i="27"/>
  <c r="L72" i="27"/>
  <c r="AB9" i="14"/>
  <c r="T81" i="5"/>
  <c r="T50" i="22"/>
  <c r="X92" i="15"/>
  <c r="X81" i="21"/>
  <c r="X87" i="21"/>
  <c r="F14" i="14"/>
  <c r="P116" i="22"/>
  <c r="Y69" i="21"/>
  <c r="Y46" i="21"/>
  <c r="AC9" i="14"/>
  <c r="T75" i="4"/>
  <c r="T85" i="4"/>
  <c r="X74" i="15"/>
  <c r="X83" i="15"/>
  <c r="X88" i="15"/>
  <c r="X88" i="21"/>
  <c r="T87" i="23"/>
  <c r="T87" i="27"/>
  <c r="T82" i="27"/>
  <c r="T76" i="27"/>
  <c r="T72" i="27"/>
  <c r="R55" i="14"/>
  <c r="S96" i="14"/>
  <c r="S78" i="14"/>
  <c r="S92" i="14"/>
  <c r="T78" i="18"/>
  <c r="T75" i="18"/>
  <c r="T86" i="17"/>
  <c r="T76" i="24"/>
  <c r="T87" i="24"/>
  <c r="T71" i="24"/>
  <c r="V88" i="27"/>
  <c r="V87" i="29"/>
  <c r="V80" i="29"/>
  <c r="V73" i="29"/>
  <c r="V83" i="2"/>
  <c r="V94" i="3"/>
  <c r="V72" i="4"/>
  <c r="V83" i="5"/>
  <c r="V88" i="5"/>
  <c r="V69" i="6"/>
  <c r="V48" i="7"/>
  <c r="V46" i="18"/>
  <c r="Y45" i="10"/>
  <c r="S10" i="14"/>
  <c r="T86" i="27"/>
  <c r="T80" i="27"/>
  <c r="T75" i="27"/>
  <c r="T71" i="27"/>
  <c r="S80" i="14"/>
  <c r="T72" i="14"/>
  <c r="S88" i="14"/>
  <c r="T86" i="23"/>
  <c r="S90" i="14"/>
  <c r="T73" i="18"/>
  <c r="T76" i="17"/>
  <c r="T73" i="17"/>
  <c r="T75" i="17"/>
  <c r="T77" i="16"/>
  <c r="T87" i="16"/>
  <c r="T78" i="24"/>
  <c r="T89" i="24"/>
  <c r="T93" i="16"/>
  <c r="V83" i="27"/>
  <c r="V85" i="29"/>
  <c r="V78" i="29"/>
  <c r="V42" i="1"/>
  <c r="V46" i="9"/>
  <c r="Y40" i="10"/>
  <c r="J95" i="11"/>
  <c r="J101" i="11" s="1"/>
  <c r="P36" i="14"/>
  <c r="P39" i="14" s="1"/>
  <c r="T89" i="27"/>
  <c r="T84" i="27"/>
  <c r="T79" i="27"/>
  <c r="T74" i="27"/>
  <c r="R59" i="14"/>
  <c r="R57" i="14" s="1"/>
  <c r="AC57" i="14" s="1"/>
  <c r="S82" i="14"/>
  <c r="S97" i="14"/>
  <c r="T76" i="4"/>
  <c r="V68" i="29"/>
  <c r="V75" i="29"/>
  <c r="V81" i="29"/>
  <c r="V86" i="29"/>
  <c r="V70" i="2"/>
  <c r="V88" i="2"/>
  <c r="V89" i="3"/>
  <c r="V46" i="5"/>
  <c r="V68" i="8"/>
  <c r="V44" i="17"/>
  <c r="V89" i="24"/>
  <c r="V71" i="24"/>
  <c r="V87" i="19"/>
  <c r="Y46" i="10"/>
  <c r="V89" i="18"/>
  <c r="V93" i="22"/>
  <c r="Y88" i="10"/>
  <c r="Y69" i="10"/>
  <c r="V84" i="13"/>
  <c r="V43" i="13"/>
  <c r="U10" i="14"/>
  <c r="V43" i="14"/>
  <c r="AC43" i="14" s="1"/>
  <c r="V37" i="14"/>
  <c r="AC37" i="14" s="1"/>
  <c r="Y85" i="10"/>
  <c r="V88" i="22"/>
  <c r="Y80" i="10"/>
  <c r="V41" i="14"/>
  <c r="AC41" i="14" s="1"/>
  <c r="U12" i="14"/>
  <c r="V87" i="22"/>
  <c r="Y90" i="10"/>
  <c r="Y71" i="10"/>
  <c r="V77" i="13"/>
  <c r="V45" i="23"/>
  <c r="V36" i="14"/>
  <c r="T51" i="14"/>
  <c r="X67" i="1"/>
  <c r="X80" i="3"/>
  <c r="X71" i="4"/>
  <c r="X70" i="31"/>
  <c r="X91" i="7"/>
  <c r="X73" i="7"/>
  <c r="X75" i="8"/>
  <c r="X50" i="22"/>
  <c r="X88" i="32"/>
  <c r="X69" i="1"/>
  <c r="X78" i="22"/>
  <c r="AC78" i="22" s="1"/>
  <c r="X46" i="18"/>
  <c r="X45" i="27"/>
  <c r="AC45" i="27" s="1"/>
  <c r="X76" i="14"/>
  <c r="X79" i="14" s="1"/>
  <c r="V39" i="14"/>
  <c r="R83" i="22"/>
  <c r="R77" i="22"/>
  <c r="R92" i="22"/>
  <c r="R80" i="22"/>
  <c r="D75" i="22"/>
  <c r="P76" i="22"/>
  <c r="S84" i="14"/>
  <c r="X87" i="22"/>
  <c r="X74" i="22"/>
  <c r="T76" i="22"/>
  <c r="T86" i="22"/>
  <c r="R76" i="14"/>
  <c r="R91" i="14" s="1"/>
  <c r="R93" i="22"/>
  <c r="D86" i="22"/>
  <c r="D77" i="22"/>
  <c r="V91" i="22"/>
  <c r="V84" i="22"/>
  <c r="V50" i="22"/>
  <c r="V26" i="14"/>
  <c r="X93" i="22"/>
  <c r="X83" i="22"/>
  <c r="D78" i="22"/>
  <c r="D76" i="22"/>
  <c r="R81" i="22"/>
  <c r="R76" i="22"/>
  <c r="R79" i="22"/>
  <c r="H10" i="14"/>
  <c r="P93" i="22"/>
  <c r="D92" i="22"/>
  <c r="L91" i="22"/>
  <c r="D91" i="22"/>
  <c r="D90" i="22"/>
  <c r="L88" i="22"/>
  <c r="D88" i="22"/>
  <c r="L87" i="22"/>
  <c r="D87" i="22"/>
  <c r="D83" i="22"/>
  <c r="D79" i="22"/>
  <c r="T44" i="14"/>
  <c r="V90" i="22"/>
  <c r="R45" i="23"/>
  <c r="P45" i="23"/>
  <c r="T45" i="23"/>
  <c r="X70" i="23"/>
  <c r="V73" i="23"/>
  <c r="P77" i="23"/>
  <c r="J83" i="23"/>
  <c r="T79" i="23"/>
  <c r="T84" i="23"/>
  <c r="L50" i="14"/>
  <c r="J72" i="23"/>
  <c r="K78" i="14"/>
  <c r="J89" i="23"/>
  <c r="J88" i="23"/>
  <c r="J80" i="23"/>
  <c r="N45" i="23"/>
  <c r="T39" i="14"/>
  <c r="S81" i="14"/>
  <c r="V80" i="23"/>
  <c r="X77" i="23"/>
  <c r="V76" i="14"/>
  <c r="X89" i="23"/>
  <c r="P83" i="23"/>
  <c r="J87" i="23"/>
  <c r="T73" i="23"/>
  <c r="F86" i="23"/>
  <c r="N87" i="23"/>
  <c r="N80" i="23"/>
  <c r="N71" i="23"/>
  <c r="F75" i="23"/>
  <c r="J82" i="23"/>
  <c r="J79" i="23"/>
  <c r="L45" i="23"/>
  <c r="S91" i="14"/>
  <c r="S85" i="14"/>
  <c r="V79" i="23"/>
  <c r="X74" i="23"/>
  <c r="X45" i="23"/>
  <c r="P112" i="23"/>
  <c r="P115" i="14"/>
  <c r="F80" i="23"/>
  <c r="C115" i="14"/>
  <c r="C120" i="14" s="1"/>
  <c r="S94" i="14"/>
  <c r="V70" i="23"/>
  <c r="V76" i="23"/>
  <c r="P71" i="23"/>
  <c r="L79" i="23"/>
  <c r="L82" i="23"/>
  <c r="F84" i="23"/>
  <c r="T89" i="23"/>
  <c r="T76" i="23"/>
  <c r="T77" i="23"/>
  <c r="F88" i="23"/>
  <c r="F77" i="23"/>
  <c r="F83" i="23"/>
  <c r="M78" i="14"/>
  <c r="P111" i="23"/>
  <c r="L87" i="23"/>
  <c r="D84" i="23"/>
  <c r="D83" i="23"/>
  <c r="F82" i="23"/>
  <c r="R77" i="23"/>
  <c r="R76" i="23"/>
  <c r="D75" i="23"/>
  <c r="F74" i="23"/>
  <c r="D73" i="23"/>
  <c r="L71" i="23"/>
  <c r="S79" i="14"/>
  <c r="V89" i="23"/>
  <c r="V83" i="23"/>
  <c r="V77" i="23"/>
  <c r="X82" i="23"/>
  <c r="X73" i="23"/>
  <c r="L86" i="23"/>
  <c r="L88" i="23"/>
  <c r="T80" i="23"/>
  <c r="T71" i="23"/>
  <c r="F89" i="23"/>
  <c r="F79" i="23"/>
  <c r="F71" i="23"/>
  <c r="D38" i="14"/>
  <c r="D39" i="14" s="1"/>
  <c r="L89" i="23"/>
  <c r="S83" i="14"/>
  <c r="X75" i="23"/>
  <c r="X76" i="23"/>
  <c r="X80" i="23"/>
  <c r="X83" i="23"/>
  <c r="V72" i="23"/>
  <c r="L73" i="23"/>
  <c r="P75" i="23"/>
  <c r="P79" i="23"/>
  <c r="T74" i="23"/>
  <c r="T75" i="23"/>
  <c r="F87" i="23"/>
  <c r="F73" i="23"/>
  <c r="P82" i="23"/>
  <c r="D82" i="23"/>
  <c r="D80" i="23"/>
  <c r="L77" i="23"/>
  <c r="P74" i="23"/>
  <c r="S95" i="14"/>
  <c r="V87" i="23"/>
  <c r="V82" i="23"/>
  <c r="X88" i="23"/>
  <c r="X79" i="23"/>
  <c r="X72" i="23"/>
  <c r="P79" i="14"/>
  <c r="D44" i="14"/>
  <c r="X88" i="27"/>
  <c r="X80" i="27"/>
  <c r="X74" i="27"/>
  <c r="X86" i="27"/>
  <c r="X79" i="27"/>
  <c r="X84" i="27"/>
  <c r="X77" i="27"/>
  <c r="X71" i="27"/>
  <c r="X73" i="27"/>
  <c r="X89" i="27"/>
  <c r="X83" i="27"/>
  <c r="X75" i="27"/>
  <c r="X70" i="27"/>
  <c r="X87" i="27"/>
  <c r="X82" i="27"/>
  <c r="X76" i="27"/>
  <c r="I118" i="14"/>
  <c r="P95" i="11"/>
  <c r="P101" i="11" s="1"/>
  <c r="J36" i="14"/>
  <c r="C117" i="14"/>
  <c r="X88" i="24"/>
  <c r="X81" i="24"/>
  <c r="X74" i="24"/>
  <c r="X90" i="24"/>
  <c r="X85" i="24"/>
  <c r="X80" i="24"/>
  <c r="X75" i="24"/>
  <c r="N44" i="14"/>
  <c r="X93" i="16"/>
  <c r="X88" i="16"/>
  <c r="X83" i="16"/>
  <c r="X78" i="16"/>
  <c r="F26" i="14"/>
  <c r="H39" i="14"/>
  <c r="F39" i="14"/>
  <c r="P96" i="14"/>
  <c r="F44" i="14"/>
  <c r="L26" i="14"/>
  <c r="R44" i="14"/>
  <c r="T26" i="14"/>
  <c r="L39" i="14"/>
  <c r="I119" i="14"/>
  <c r="I117" i="14"/>
  <c r="X87" i="17"/>
  <c r="X79" i="17"/>
  <c r="X73" i="17"/>
  <c r="X78" i="17"/>
  <c r="X72" i="17"/>
  <c r="X83" i="17"/>
  <c r="X76" i="17"/>
  <c r="X70" i="17"/>
  <c r="X85" i="17"/>
  <c r="X88" i="17"/>
  <c r="X82" i="17"/>
  <c r="X74" i="17"/>
  <c r="X69" i="17"/>
  <c r="X86" i="17"/>
  <c r="X81" i="17"/>
  <c r="X75" i="17"/>
  <c r="L76" i="14"/>
  <c r="L92" i="14" s="1"/>
  <c r="H44" i="14"/>
  <c r="J76" i="14"/>
  <c r="J78" i="14" s="1"/>
  <c r="F76" i="14"/>
  <c r="F79" i="14" s="1"/>
  <c r="D76" i="14"/>
  <c r="J79" i="14" s="1"/>
  <c r="N26" i="14"/>
  <c r="T59" i="14"/>
  <c r="D26" i="14"/>
  <c r="P118" i="14"/>
  <c r="P26" i="14"/>
  <c r="C119" i="14"/>
  <c r="P44" i="14"/>
  <c r="T71" i="9" l="1"/>
  <c r="T83" i="9"/>
  <c r="T73" i="9"/>
  <c r="T89" i="9"/>
  <c r="T80" i="9"/>
  <c r="T74" i="9"/>
  <c r="T78" i="9"/>
  <c r="T90" i="9"/>
  <c r="T81" i="9"/>
  <c r="T77" i="9"/>
  <c r="T72" i="9"/>
  <c r="T87" i="9"/>
  <c r="T84" i="9"/>
  <c r="T75" i="9"/>
  <c r="P119" i="14"/>
  <c r="AC46" i="9"/>
  <c r="T85" i="9"/>
  <c r="AC51" i="14"/>
  <c r="T88" i="9"/>
  <c r="R26" i="14"/>
  <c r="P87" i="14"/>
  <c r="P83" i="14"/>
  <c r="P92" i="14"/>
  <c r="P94" i="14"/>
  <c r="P95" i="14"/>
  <c r="AB12" i="14"/>
  <c r="AC59" i="14"/>
  <c r="P81" i="14"/>
  <c r="T88" i="14"/>
  <c r="D101" i="11"/>
  <c r="AB10" i="14"/>
  <c r="AC50" i="22"/>
  <c r="AC50" i="14"/>
  <c r="R53" i="14"/>
  <c r="AC55" i="14"/>
  <c r="AC36" i="14"/>
  <c r="N92" i="14"/>
  <c r="AC26" i="14"/>
  <c r="V78" i="14"/>
  <c r="P82" i="14"/>
  <c r="R85" i="14"/>
  <c r="AC44" i="14"/>
  <c r="R97" i="14"/>
  <c r="P97" i="14"/>
  <c r="D88" i="14"/>
  <c r="P90" i="14"/>
  <c r="AC48" i="16"/>
  <c r="AC38" i="14"/>
  <c r="P78" i="14"/>
  <c r="P85" i="14"/>
  <c r="T45" i="14"/>
  <c r="T47" i="14" s="1"/>
  <c r="P80" i="14"/>
  <c r="P88" i="14"/>
  <c r="R90" i="14"/>
  <c r="R95" i="14"/>
  <c r="R92" i="14"/>
  <c r="AC39" i="14"/>
  <c r="R78" i="14"/>
  <c r="T78" i="14"/>
  <c r="V85" i="14"/>
  <c r="V80" i="14"/>
  <c r="J39" i="14"/>
  <c r="J45" i="14" s="1"/>
  <c r="J47" i="14" s="1"/>
  <c r="V92" i="14"/>
  <c r="R79" i="14"/>
  <c r="N83" i="14"/>
  <c r="R88" i="14"/>
  <c r="R94" i="14"/>
  <c r="N79" i="14"/>
  <c r="N97" i="14"/>
  <c r="N88" i="14"/>
  <c r="N85" i="14"/>
  <c r="T84" i="14"/>
  <c r="T97" i="14"/>
  <c r="T87" i="14"/>
  <c r="V95" i="14"/>
  <c r="T82" i="14"/>
  <c r="N94" i="14"/>
  <c r="N87" i="14"/>
  <c r="T83" i="14"/>
  <c r="T79" i="14"/>
  <c r="T94" i="14"/>
  <c r="T91" i="14"/>
  <c r="T90" i="14"/>
  <c r="T96" i="14"/>
  <c r="N81" i="14"/>
  <c r="N96" i="14"/>
  <c r="N95" i="14"/>
  <c r="N91" i="14"/>
  <c r="N90" i="14"/>
  <c r="N80" i="14"/>
  <c r="V88" i="14"/>
  <c r="X45" i="14"/>
  <c r="X47" i="14" s="1"/>
  <c r="R80" i="14"/>
  <c r="R81" i="14"/>
  <c r="R84" i="14"/>
  <c r="R83" i="14"/>
  <c r="R96" i="14"/>
  <c r="R82" i="14"/>
  <c r="R87" i="14"/>
  <c r="T81" i="14"/>
  <c r="T92" i="14"/>
  <c r="T85" i="14"/>
  <c r="T80" i="14"/>
  <c r="V91" i="14"/>
  <c r="AC101" i="11"/>
  <c r="AC95" i="11"/>
  <c r="X88" i="14"/>
  <c r="X80" i="14"/>
  <c r="X83" i="14"/>
  <c r="X94" i="14"/>
  <c r="X84" i="14"/>
  <c r="X82" i="14"/>
  <c r="X87" i="14"/>
  <c r="X97" i="14"/>
  <c r="X81" i="14"/>
  <c r="X85" i="14"/>
  <c r="X91" i="14"/>
  <c r="X96" i="14"/>
  <c r="X90" i="14"/>
  <c r="X95" i="14"/>
  <c r="X92" i="14"/>
  <c r="X78" i="14"/>
  <c r="P120" i="14"/>
  <c r="V45" i="14"/>
  <c r="T95" i="14"/>
  <c r="V90" i="14"/>
  <c r="V94" i="14"/>
  <c r="V82" i="14"/>
  <c r="V83" i="14"/>
  <c r="V97" i="14"/>
  <c r="L81" i="14"/>
  <c r="F45" i="14"/>
  <c r="F47" i="14" s="1"/>
  <c r="V87" i="14"/>
  <c r="V84" i="14"/>
  <c r="N45" i="14"/>
  <c r="N47" i="14" s="1"/>
  <c r="N78" i="14"/>
  <c r="V96" i="14"/>
  <c r="L83" i="14"/>
  <c r="V81" i="14"/>
  <c r="V79" i="14"/>
  <c r="F95" i="14"/>
  <c r="R45" i="14"/>
  <c r="R47" i="14" s="1"/>
  <c r="J80" i="14"/>
  <c r="L94" i="14"/>
  <c r="D92" i="14"/>
  <c r="D82" i="14"/>
  <c r="L87" i="14"/>
  <c r="L97" i="14"/>
  <c r="D45" i="14"/>
  <c r="D47" i="14" s="1"/>
  <c r="L91" i="14"/>
  <c r="H45" i="14"/>
  <c r="H47" i="14" s="1"/>
  <c r="J90" i="14"/>
  <c r="J87" i="14"/>
  <c r="F80" i="14"/>
  <c r="D96" i="14"/>
  <c r="D80" i="14"/>
  <c r="D85" i="14"/>
  <c r="F97" i="14"/>
  <c r="F87" i="14"/>
  <c r="J91" i="14"/>
  <c r="F82" i="14"/>
  <c r="F91" i="14"/>
  <c r="D90" i="14"/>
  <c r="L45" i="14"/>
  <c r="L47" i="14" s="1"/>
  <c r="D95" i="14"/>
  <c r="D91" i="14"/>
  <c r="J82" i="14"/>
  <c r="J92" i="14"/>
  <c r="P45" i="14"/>
  <c r="P47" i="14" s="1"/>
  <c r="F94" i="14"/>
  <c r="F88" i="14"/>
  <c r="F81" i="14"/>
  <c r="F90" i="14"/>
  <c r="D83" i="14"/>
  <c r="J94" i="14"/>
  <c r="D78" i="14"/>
  <c r="D94" i="14"/>
  <c r="J97" i="14"/>
  <c r="J81" i="14"/>
  <c r="J85" i="14"/>
  <c r="J96" i="14"/>
  <c r="L85" i="14"/>
  <c r="L88" i="14"/>
  <c r="L79" i="14"/>
  <c r="L80" i="14"/>
  <c r="L78" i="14"/>
  <c r="L96" i="14"/>
  <c r="L90" i="14"/>
  <c r="F85" i="14"/>
  <c r="L95" i="14"/>
  <c r="J88" i="14"/>
  <c r="J83" i="14"/>
  <c r="D79" i="14"/>
  <c r="F96" i="14"/>
  <c r="D81" i="14"/>
  <c r="D87" i="14"/>
  <c r="F83" i="14"/>
  <c r="J95" i="14"/>
  <c r="D97" i="14"/>
  <c r="L82" i="14"/>
  <c r="F92" i="14"/>
  <c r="F78" i="14"/>
  <c r="AC45" i="14" l="1"/>
  <c r="V47" i="14"/>
  <c r="AC47" i="14" s="1"/>
</calcChain>
</file>

<file path=xl/sharedStrings.xml><?xml version="1.0" encoding="utf-8"?>
<sst xmlns="http://schemas.openxmlformats.org/spreadsheetml/2006/main" count="8663" uniqueCount="296">
  <si>
    <t xml:space="preserve">Department:  Art </t>
  </si>
  <si>
    <t># of</t>
  </si>
  <si>
    <t>Degrees</t>
  </si>
  <si>
    <t>Majors</t>
  </si>
  <si>
    <t>Conferred</t>
  </si>
  <si>
    <t># of Majors &amp; Degrees Conferred:</t>
  </si>
  <si>
    <t>Doctorate Program</t>
  </si>
  <si>
    <t>Student Credit Hours Generated:</t>
  </si>
  <si>
    <t>(Base courses only)</t>
  </si>
  <si>
    <t>Lower Division (0-299 level)</t>
  </si>
  <si>
    <t>Upper Division (300-699 level)</t>
  </si>
  <si>
    <t>Graduate I (700-899 level)</t>
  </si>
  <si>
    <t>Graduate II (900-999 level)</t>
  </si>
  <si>
    <t>Total</t>
  </si>
  <si>
    <t>Instructional Expenditures</t>
  </si>
  <si>
    <t>Research/Public Serv. Expenditures</t>
  </si>
  <si>
    <t>Grants/Contracts Awarded:</t>
  </si>
  <si>
    <t>FTE</t>
  </si>
  <si>
    <t xml:space="preserve">Department:  Chemistry </t>
  </si>
  <si>
    <t xml:space="preserve">Department:  Economics </t>
  </si>
  <si>
    <t xml:space="preserve">Department:  English </t>
  </si>
  <si>
    <t xml:space="preserve">Department:  Geography </t>
  </si>
  <si>
    <t xml:space="preserve">Department:  Geology </t>
  </si>
  <si>
    <t xml:space="preserve">Department:  History </t>
  </si>
  <si>
    <t xml:space="preserve">Department:  Kinesiology </t>
  </si>
  <si>
    <t>xxxxx</t>
  </si>
  <si>
    <t>Latin American Studies - 05.0107</t>
  </si>
  <si>
    <t>Women's Studies - 05.0207</t>
  </si>
  <si>
    <t>Physical Sciences - 40.0101</t>
  </si>
  <si>
    <t xml:space="preserve"> </t>
  </si>
  <si>
    <t>Biochemistry - 26.0202</t>
  </si>
  <si>
    <t>Chemistry, General - 40.0501</t>
  </si>
  <si>
    <t>Chemical Science - 40.0599</t>
  </si>
  <si>
    <t>Economics - 45.0601</t>
  </si>
  <si>
    <t>English - 23.0101</t>
  </si>
  <si>
    <t xml:space="preserve">  </t>
  </si>
  <si>
    <t>Geography - 45.0701</t>
  </si>
  <si>
    <t>Undergraduate Program</t>
  </si>
  <si>
    <t>Doctorate Program *</t>
  </si>
  <si>
    <t>Secondary Major Program</t>
  </si>
  <si>
    <t>* Interdisciplinary Programs</t>
  </si>
  <si>
    <t xml:space="preserve">Department:  Division of Biology </t>
  </si>
  <si>
    <t>Department:   School of Journalism and Mass Communications</t>
  </si>
  <si>
    <t>Department:  General Arts &amp; Sciences   (Dean's Office)</t>
  </si>
  <si>
    <t>Instructional Expenditures (includes Instructional Support)</t>
  </si>
  <si>
    <t>Pre-Dentistry - 51.1101*</t>
  </si>
  <si>
    <t>Pre-Medicine - 51.1102*</t>
  </si>
  <si>
    <t>*Genetics program - interdisciplinary program is shown in the Ag, Dean's office.</t>
  </si>
  <si>
    <t>*Natural Resource and Environmental Studies - interdisciplinary program  is shown in the Ag. Dean's Office.</t>
  </si>
  <si>
    <t>FY 2004</t>
  </si>
  <si>
    <t>FY 2005</t>
  </si>
  <si>
    <t>Fall 2003</t>
  </si>
  <si>
    <t>Fall 2004</t>
  </si>
  <si>
    <t>Faculty Demographics:</t>
  </si>
  <si>
    <t xml:space="preserve">Instructional </t>
  </si>
  <si>
    <t>Full-time</t>
  </si>
  <si>
    <t>Part-time*</t>
  </si>
  <si>
    <t xml:space="preserve">Research </t>
  </si>
  <si>
    <t>Humanities/Humanistic Studies - 24.0103</t>
  </si>
  <si>
    <t>Social Sciences, General - 45.0101</t>
  </si>
  <si>
    <t>Pre-Law Studies - 22.0001</t>
  </si>
  <si>
    <t>Fine/Studio Arts, General - 50.0702</t>
  </si>
  <si>
    <t>Biology/Biological Sciences, General - 26.0101</t>
  </si>
  <si>
    <t>Wildlife Biology  - 26.0709</t>
  </si>
  <si>
    <t>Microbiology, General - 26.0502</t>
  </si>
  <si>
    <t>Geology/Earth Science, General - 40.0601</t>
  </si>
  <si>
    <t>History, General - 54.0101</t>
  </si>
  <si>
    <t>Grants/Contracts Proposed:</t>
  </si>
  <si>
    <t>B. Financial Information:</t>
  </si>
  <si>
    <t>Budgeted Dollars:</t>
  </si>
  <si>
    <t>Main Campus</t>
  </si>
  <si>
    <t>General Use</t>
  </si>
  <si>
    <t>Total Main Campus</t>
  </si>
  <si>
    <t>Research &amp; Extension</t>
  </si>
  <si>
    <t>Total Research &amp; Extension</t>
  </si>
  <si>
    <t>Total Department</t>
  </si>
  <si>
    <t>C. Faculty Information</t>
  </si>
  <si>
    <t>A.  Student Information</t>
  </si>
  <si>
    <t>C Faculty Information</t>
  </si>
  <si>
    <t>C. Facutly Information</t>
  </si>
  <si>
    <t>Minor's Program</t>
  </si>
  <si>
    <t>Undergraduate Certificate Program</t>
  </si>
  <si>
    <t>Graduate Certificate Program</t>
  </si>
  <si>
    <t>Other (Grants, contracts, SRO, fees, sales &amp; service, copy centers, storerooms, etc)</t>
  </si>
  <si>
    <t>Foundation Accounts:</t>
  </si>
  <si>
    <t>Total Donations</t>
  </si>
  <si>
    <t>Endowed Chairs</t>
  </si>
  <si>
    <t>White</t>
  </si>
  <si>
    <t>Black</t>
  </si>
  <si>
    <t>Hispanic</t>
  </si>
  <si>
    <t>Native American</t>
  </si>
  <si>
    <t xml:space="preserve">Asian </t>
  </si>
  <si>
    <t>Non-Resident</t>
  </si>
  <si>
    <t>Unknown</t>
  </si>
  <si>
    <t>Secondary Majors</t>
  </si>
  <si>
    <t>Doctorate Programs</t>
  </si>
  <si>
    <t>Graduate Certificate Programs</t>
  </si>
  <si>
    <t xml:space="preserve">Department:  Statistics </t>
  </si>
  <si>
    <t>Statistics , General- 27.0501</t>
  </si>
  <si>
    <t>Department:  Mathematics</t>
  </si>
  <si>
    <t>Mathematics - 27.0101</t>
  </si>
  <si>
    <t xml:space="preserve">Department:  Modern Languages </t>
  </si>
  <si>
    <t>Foreign Languages/Modern Language - 16.0101</t>
  </si>
  <si>
    <t>Minor's Program in French</t>
  </si>
  <si>
    <t>Minor's Program in German</t>
  </si>
  <si>
    <t>Minor's Program in Japanese</t>
  </si>
  <si>
    <t>Minor's Program in Russian</t>
  </si>
  <si>
    <t>Minor's Program in Spanish</t>
  </si>
  <si>
    <t xml:space="preserve">Department:  Music </t>
  </si>
  <si>
    <t>Music Teacher Education - 13.1312</t>
  </si>
  <si>
    <t>Department:   Philosophy</t>
  </si>
  <si>
    <t>Philosophy - 38.0101</t>
  </si>
  <si>
    <t xml:space="preserve">Department:  Physics </t>
  </si>
  <si>
    <t>Physics 40.0801</t>
  </si>
  <si>
    <t xml:space="preserve">Department:  Political Science </t>
  </si>
  <si>
    <t>Political Science  &amp; Government, General- 45.1001</t>
  </si>
  <si>
    <t>Public Administration - 44.0401</t>
  </si>
  <si>
    <t>Psychology, General - 42.0101</t>
  </si>
  <si>
    <t>Department:  Sociology, Anthropology &amp; Social Work</t>
  </si>
  <si>
    <t>Sociology - 45.1101</t>
  </si>
  <si>
    <t>Social Work - 44.0701</t>
  </si>
  <si>
    <t>Anthropology - 45.0201</t>
  </si>
  <si>
    <t>Minor's Program in Theatre</t>
  </si>
  <si>
    <t>Minor's Program in Dance</t>
  </si>
  <si>
    <t>Male</t>
  </si>
  <si>
    <t>Female</t>
  </si>
  <si>
    <t>Tenure</t>
  </si>
  <si>
    <t>Tenure-Track</t>
  </si>
  <si>
    <t>Non-Tenured</t>
  </si>
  <si>
    <t>Ph. D.</t>
  </si>
  <si>
    <t>M.S.</t>
  </si>
  <si>
    <t>B.S.</t>
  </si>
  <si>
    <t>Other</t>
  </si>
  <si>
    <t>N</t>
  </si>
  <si>
    <t>%</t>
  </si>
  <si>
    <t>Ethnicity</t>
  </si>
  <si>
    <t>Gender</t>
  </si>
  <si>
    <t>Tenure Status</t>
  </si>
  <si>
    <t>Highest Degree</t>
  </si>
  <si>
    <t>$</t>
  </si>
  <si>
    <t>Undergraduate Certificate Programs</t>
  </si>
  <si>
    <t>FY 2006</t>
  </si>
  <si>
    <t>Total Annual Donations</t>
  </si>
  <si>
    <t>Budgeted Dollars*:</t>
  </si>
  <si>
    <t>*Instructional Reserve included</t>
  </si>
  <si>
    <t xml:space="preserve">Total College </t>
  </si>
  <si>
    <t xml:space="preserve">Research &amp; Extension Units </t>
  </si>
  <si>
    <t xml:space="preserve">Academic Units </t>
  </si>
  <si>
    <t xml:space="preserve">Total Grants &amp; Contracts Proposed </t>
  </si>
  <si>
    <t xml:space="preserve">Total Grants &amp; Contracts </t>
  </si>
  <si>
    <t>Pre-Veterinary - 51.1104</t>
  </si>
  <si>
    <t>* # of majors &amp; degrees conferred include second majors.</t>
  </si>
  <si>
    <t>FY 2007</t>
  </si>
  <si>
    <t>Nonviolence Studies-05.0207</t>
  </si>
  <si>
    <t>FY 2008</t>
  </si>
  <si>
    <t>Department:  American Ethnic Studies</t>
  </si>
  <si>
    <t>Endowed Faculty Support Funds-cum.total</t>
  </si>
  <si>
    <t>.</t>
  </si>
  <si>
    <t>Communications Studies/Speech Communications and Rhetoric- 09.0101</t>
  </si>
  <si>
    <t>Theatre and Dance, General - 50.0501</t>
  </si>
  <si>
    <t>American Language and Culture-32.0109</t>
  </si>
  <si>
    <t>English Language Program -  32.0109</t>
  </si>
  <si>
    <t>Clinical Lab. Sci./Med.Technician - 51.1005</t>
  </si>
  <si>
    <t>xxxx</t>
  </si>
  <si>
    <t xml:space="preserve">$ </t>
  </si>
  <si>
    <t>Department: Women's Studies</t>
  </si>
  <si>
    <t>Undergrad Certificate</t>
  </si>
  <si>
    <t>Master's Program</t>
  </si>
  <si>
    <t>Security Studies - 45.0901</t>
  </si>
  <si>
    <t>Minor's Programs</t>
  </si>
  <si>
    <t># of majors &amp; degrees conferred include second majors.</t>
  </si>
  <si>
    <t>FY 2009</t>
  </si>
  <si>
    <t xml:space="preserve"> Total Academic Departments* </t>
  </si>
  <si>
    <t>*includes Community Health Center, Cancer Center and MacDonald lab</t>
  </si>
  <si>
    <r>
      <t xml:space="preserve">Total Department - </t>
    </r>
    <r>
      <rPr>
        <sz val="9"/>
        <rFont val="Arial"/>
        <family val="2"/>
      </rPr>
      <t>includes  MacDonald lab</t>
    </r>
  </si>
  <si>
    <r>
      <t xml:space="preserve">Total Department - </t>
    </r>
    <r>
      <rPr>
        <sz val="9"/>
        <rFont val="Arial"/>
        <family val="2"/>
      </rPr>
      <t>includes Cancer center</t>
    </r>
  </si>
  <si>
    <r>
      <t xml:space="preserve">Total Department - </t>
    </r>
    <r>
      <rPr>
        <sz val="9"/>
        <rFont val="Arial"/>
        <family val="2"/>
      </rPr>
      <t>includes Student publications</t>
    </r>
  </si>
  <si>
    <r>
      <t>Total Department -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includes Community Health Institute</t>
    </r>
  </si>
  <si>
    <t>Graduate DCE</t>
  </si>
  <si>
    <t xml:space="preserve">Department:  Communication Studies, Theatre and Dance </t>
  </si>
  <si>
    <t># of majors &amp; degrees conferred include second majors and degrees</t>
  </si>
  <si>
    <t>Part-time</t>
  </si>
  <si>
    <t xml:space="preserve"> # of majors &amp; degrees conferred include second majors.</t>
  </si>
  <si>
    <t>Numbers of majors &amp; degrees conferred include second majors</t>
  </si>
  <si>
    <t>Fall 2005</t>
  </si>
  <si>
    <t>Fall 2006</t>
  </si>
  <si>
    <t xml:space="preserve">Graduate Assistants </t>
  </si>
  <si>
    <t>GRAs</t>
  </si>
  <si>
    <t>GTAs</t>
  </si>
  <si>
    <t xml:space="preserve">     1.  Their Undergraduate Majors</t>
  </si>
  <si>
    <t xml:space="preserve">     2.  Their Graduate Majors</t>
  </si>
  <si>
    <t xml:space="preserve">     3.  Non-Majors</t>
  </si>
  <si>
    <t xml:space="preserve">     1.  Tenure/Tenure Track Faculty</t>
  </si>
  <si>
    <t xml:space="preserve">     2.  Graduate Teaching Assistants</t>
  </si>
  <si>
    <t xml:space="preserve">            a.  Instructor of Record</t>
  </si>
  <si>
    <t xml:space="preserve">            b.  Not Instructor of Record</t>
  </si>
  <si>
    <t xml:space="preserve">     3.  Other</t>
  </si>
  <si>
    <t xml:space="preserve">     4.  Total FTE (1 to 3)</t>
  </si>
  <si>
    <t xml:space="preserve">     5.  SCH Generated by Faculty</t>
  </si>
  <si>
    <t xml:space="preserve">     6.  SCH Generated by GTA's</t>
  </si>
  <si>
    <t xml:space="preserve">     7.  SCH Generated by Others</t>
  </si>
  <si>
    <t xml:space="preserve">    12.  Ave. SCH per FTE</t>
  </si>
  <si>
    <t>Fall 2007</t>
  </si>
  <si>
    <t>Fall 2008</t>
  </si>
  <si>
    <t>SCH:</t>
  </si>
  <si>
    <t>RATE (SCH per FTE):</t>
  </si>
  <si>
    <t xml:space="preserve">     9.  Ave. SCH per Tenure/ Ten Trk </t>
  </si>
  <si>
    <t xml:space="preserve">    10. Ave. SCH per GTA (I of R only)</t>
  </si>
  <si>
    <t xml:space="preserve">    11. Ave. SCH per Other Faculty</t>
  </si>
  <si>
    <t xml:space="preserve">     8.            Total SCH</t>
  </si>
  <si>
    <t xml:space="preserve">Instructional FTE: </t>
  </si>
  <si>
    <t>GAs</t>
  </si>
  <si>
    <t>% Departmental SCH taken by:</t>
  </si>
  <si>
    <t>Five Year Average</t>
  </si>
  <si>
    <t xml:space="preserve"># of </t>
  </si>
  <si>
    <t xml:space="preserve">Degrees </t>
  </si>
  <si>
    <t>*Pre-health programs discontinued as degree programs but remain as undergraduate programs</t>
  </si>
  <si>
    <t xml:space="preserve">*Interdisciplinary program within the Departments of Economics and Agricultural Economics.  </t>
  </si>
  <si>
    <t>Bachelor's Programs</t>
  </si>
  <si>
    <t>Associate's Programs</t>
  </si>
  <si>
    <t>Master's Programs</t>
  </si>
  <si>
    <t>Bachelor's Program</t>
  </si>
  <si>
    <t>Associate's Program</t>
  </si>
  <si>
    <t>Master's Program *</t>
  </si>
  <si>
    <t>Minor's Program in Chinese</t>
  </si>
  <si>
    <t>Life Sciences - 30.1801</t>
  </si>
  <si>
    <t>Multi-Interdisciplinary Studies - 24.0101</t>
  </si>
  <si>
    <t>FY 2010</t>
  </si>
  <si>
    <t>Fall 2009</t>
  </si>
  <si>
    <t>Bachelor's degree</t>
  </si>
  <si>
    <t xml:space="preserve">Bachelor's degree begun and secondary major discontinued in Fall 2009 </t>
  </si>
  <si>
    <r>
      <t xml:space="preserve"> </t>
    </r>
    <r>
      <rPr>
        <sz val="9"/>
        <rFont val="Arial"/>
        <family val="2"/>
      </rPr>
      <t>Doctorate - AG Econ emphasis*</t>
    </r>
  </si>
  <si>
    <t xml:space="preserve">Nutrition &amp; Exercise -subplan* </t>
  </si>
  <si>
    <t>Department</t>
  </si>
  <si>
    <t>Created in 2006</t>
  </si>
  <si>
    <t>Arts &amp; Sciences, General **- 24.0102</t>
  </si>
  <si>
    <t>*Dual degree program with Foods and Nutrition Department in the College of Human Ecology.  For FY 2005 and FY 2006 enrollment, these students appear in the Kinesiology (31.0505) totals.</t>
  </si>
  <si>
    <t>FY 2011</t>
  </si>
  <si>
    <t>Fall 2010</t>
  </si>
  <si>
    <t xml:space="preserve">Doctorate Program (AS Econ) </t>
  </si>
  <si>
    <t xml:space="preserve">New in </t>
  </si>
  <si>
    <t>Pre-Pharmacy - 51.1103*</t>
  </si>
  <si>
    <t>Pre-Nursing Studies - 51.1105*</t>
  </si>
  <si>
    <t>Health Information/Medical Records Admin./Administrator - 51.0706*</t>
  </si>
  <si>
    <t>Pre-Health Professions - 51.1199*</t>
  </si>
  <si>
    <t>Pre-Chiropractic Medicine-51.1199*</t>
  </si>
  <si>
    <t>Pre-Physician Assistant-51.1199*</t>
  </si>
  <si>
    <t>Sponsored Research Overhead</t>
  </si>
  <si>
    <t>Other (Grants, contracts, fees, sales &amp; service, copy centers, storerooms, etc)</t>
  </si>
  <si>
    <t>N/A</t>
  </si>
  <si>
    <t>Other (Grants, contracts,  fees, sales &amp; service, copy centers, storerooms, etc)</t>
  </si>
  <si>
    <t>Other (Grants, contracts,fees, sales &amp; service, copy centers, storerooms, etc)</t>
  </si>
  <si>
    <t>Music Minor's Program</t>
  </si>
  <si>
    <t>Jazz Studies Minor's Program</t>
  </si>
  <si>
    <t>Fall 2009*</t>
  </si>
  <si>
    <t>Music,/Music and Performing Arts Studies, General- 50.0901</t>
  </si>
  <si>
    <t>Two or More Races</t>
  </si>
  <si>
    <t>Two or More Ra ces</t>
  </si>
  <si>
    <t>Two  or More Races</t>
  </si>
  <si>
    <t>Expenditures (General Use &amp; SRO Only)</t>
  </si>
  <si>
    <t>International Studies - 30.2001</t>
  </si>
  <si>
    <t>Pre-Optometry - 51.1199*</t>
  </si>
  <si>
    <t>Pre-Respiratory Therapy - 51.1199*</t>
  </si>
  <si>
    <t>Pre-Occupational Therapy - 51.1199*</t>
  </si>
  <si>
    <t>Pre-Physical Therapy - 51.1199*</t>
  </si>
  <si>
    <t>Military Leadership- 29.0101</t>
  </si>
  <si>
    <t>Arts &amp; Sciences Undecided - 24.0102</t>
  </si>
  <si>
    <t>Bachelor's Program (Disc.)</t>
  </si>
  <si>
    <r>
      <t xml:space="preserve">Kinesiology  - 31.0505 (all </t>
    </r>
    <r>
      <rPr>
        <sz val="9"/>
        <rFont val="Arial"/>
        <family val="2"/>
      </rPr>
      <t>except</t>
    </r>
    <r>
      <rPr>
        <i/>
        <sz val="9"/>
        <rFont val="Arial"/>
        <family val="2"/>
      </rPr>
      <t xml:space="preserve"> Nut.&amp; Ex. subplan)</t>
    </r>
  </si>
  <si>
    <t>Geographic Info. Science and Cartography - 45.0702</t>
  </si>
  <si>
    <t>American Ethnic Studies - 05.0200</t>
  </si>
  <si>
    <t xml:space="preserve">Instructional Expenditures </t>
  </si>
  <si>
    <t>FY 2012</t>
  </si>
  <si>
    <t>Fall 2011</t>
  </si>
  <si>
    <t>FY 2013</t>
  </si>
  <si>
    <t>Fall 2012</t>
  </si>
  <si>
    <r>
      <t>Department:  Music, Theatre and Dance</t>
    </r>
    <r>
      <rPr>
        <sz val="10"/>
        <rFont val="Arial"/>
        <family val="2"/>
      </rPr>
      <t xml:space="preserve"> </t>
    </r>
  </si>
  <si>
    <t>Two or more races</t>
  </si>
  <si>
    <t>Department:  Biochemistry and Molecular Biophysics</t>
  </si>
  <si>
    <t>Department:  Psychological Sciences</t>
  </si>
  <si>
    <t>FY 2014</t>
  </si>
  <si>
    <t>Fall 2013</t>
  </si>
  <si>
    <t>*Note: Beginning with the 2009 collection cycle, Instructional FTE was defined according to the national Delaware Study of Instructional Costs and Productivity</t>
  </si>
  <si>
    <r>
      <t xml:space="preserve">Department:  Communication Studies </t>
    </r>
    <r>
      <rPr>
        <sz val="10"/>
        <rFont val="Arial"/>
        <family val="2"/>
      </rPr>
      <t>(separate dept. created in July 2012 - earlier data derived)</t>
    </r>
  </si>
  <si>
    <t>Journalism/Mass Communication - 09.0401</t>
  </si>
  <si>
    <t>(Begun in July 2012 - data prior to 2012  are composited)</t>
  </si>
  <si>
    <t>Applied Mathematics - 27.0301</t>
  </si>
  <si>
    <t>A &amp; S Primary Texts- 24.0101</t>
  </si>
  <si>
    <t>Minor's Program in South Asian</t>
  </si>
  <si>
    <t>Queer Studies - 05.0208</t>
  </si>
  <si>
    <t>FY 2015</t>
  </si>
  <si>
    <t>Fall 2014</t>
  </si>
  <si>
    <t># of majors include second majors and nondegree seekers</t>
  </si>
  <si>
    <t>College of Arts and Sciences Profile Report Summary 2010-2015</t>
  </si>
  <si>
    <t>Department Profile Report - FY 2015</t>
  </si>
  <si>
    <t>Minor's Program in East Asian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</si>
</sst>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3" formatCode="_(* #,##0.00_);_(* \(#,##0.00\);_(* &quot;-&quot;??_);_(@_)"/>
    <numFmt numFmtId="164" formatCode="&quot;$&quot;#,##0\ ;\(&quot;$&quot;#,##0\)"/>
    <numFmt numFmtId="165" formatCode="&quot;$&quot;#,##0.00\ ;\(&quot;$&quot;#,##0.00\)"/>
    <numFmt numFmtId="166" formatCode="0.0%"/>
    <numFmt numFmtId="167" formatCode="&quot;$&quot;#,##0"/>
    <numFmt numFmtId="168" formatCode="&quot;$&quot;#,##0.00"/>
    <numFmt numFmtId="169" formatCode="&quot;$&quot;#,##0;[Red]&quot;$&quot;#,##0"/>
    <numFmt numFmtId="170" formatCode="#,##0.0"/>
    <numFmt numFmtId="171" formatCode="0.0"/>
    <numFmt numFmtId="172" formatCode="_(* #,##0_);_(* \(#,##0\);_(* &quot;-&quot;??_);_(@_)"/>
    <numFmt numFmtId="173" formatCode="&quot;$&quot;#,##0.00;[Red]&quot;$&quot;#,##0.00"/>
  </numFmts>
  <fonts count="54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Georgia"/>
      <family val="1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7">
    <xf numFmtId="0" fontId="0" fillId="0" borderId="0"/>
    <xf numFmtId="0" fontId="37" fillId="28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7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7" fillId="3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7" fillId="31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7" fillId="3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7" fillId="3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37" fillId="3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7" fillId="3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7" fillId="3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7" fillId="3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7" fillId="38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7" fillId="39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8" fillId="4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8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8" fillId="4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8" fillId="4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38" fillId="4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8" fillId="4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8" fillId="4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8" fillId="47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38" fillId="4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38" fillId="4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38" fillId="5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8" fillId="5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9" fillId="5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0" fillId="53" borderId="166" applyNumberFormat="0" applyAlignment="0" applyProtection="0"/>
    <xf numFmtId="0" fontId="29" fillId="22" borderId="1" applyNumberFormat="0" applyAlignment="0" applyProtection="0"/>
    <xf numFmtId="0" fontId="29" fillId="22" borderId="1" applyNumberFormat="0" applyAlignment="0" applyProtection="0"/>
    <xf numFmtId="0" fontId="41" fillId="54" borderId="167" applyNumberFormat="0" applyAlignment="0" applyProtection="0"/>
    <xf numFmtId="0" fontId="23" fillId="23" borderId="2" applyNumberFormat="0" applyAlignment="0" applyProtection="0"/>
    <xf numFmtId="0" fontId="23" fillId="23" borderId="2" applyNumberFormat="0" applyAlignment="0" applyProtection="0"/>
    <xf numFmtId="4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43" fillId="5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0" borderId="168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45" fillId="0" borderId="169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46" fillId="0" borderId="170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56" borderId="166" applyNumberFormat="0" applyAlignment="0" applyProtection="0"/>
    <xf numFmtId="0" fontId="26" fillId="8" borderId="1" applyNumberFormat="0" applyAlignment="0" applyProtection="0"/>
    <xf numFmtId="0" fontId="26" fillId="8" borderId="1" applyNumberFormat="0" applyAlignment="0" applyProtection="0"/>
    <xf numFmtId="0" fontId="48" fillId="0" borderId="171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49" fillId="57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8" fillId="0" borderId="0"/>
    <xf numFmtId="0" fontId="5" fillId="0" borderId="0"/>
    <xf numFmtId="0" fontId="19" fillId="0" borderId="0"/>
    <xf numFmtId="0" fontId="37" fillId="0" borderId="0"/>
    <xf numFmtId="0" fontId="5" fillId="0" borderId="0"/>
    <xf numFmtId="0" fontId="5" fillId="0" borderId="0"/>
    <xf numFmtId="0" fontId="15" fillId="0" borderId="0"/>
    <xf numFmtId="0" fontId="37" fillId="58" borderId="172" applyNumberFormat="0" applyFont="0" applyAlignment="0" applyProtection="0"/>
    <xf numFmtId="0" fontId="20" fillId="6" borderId="7" applyNumberFormat="0" applyFont="0" applyAlignment="0" applyProtection="0"/>
    <xf numFmtId="0" fontId="20" fillId="6" borderId="7" applyNumberFormat="0" applyFont="0" applyAlignment="0" applyProtection="0"/>
    <xf numFmtId="0" fontId="50" fillId="53" borderId="173" applyNumberFormat="0" applyAlignment="0" applyProtection="0"/>
    <xf numFmtId="0" fontId="28" fillId="22" borderId="8" applyNumberFormat="0" applyAlignment="0" applyProtection="0"/>
    <xf numFmtId="0" fontId="28" fillId="22" borderId="8" applyNumberFormat="0" applyAlignment="0" applyProtection="0"/>
    <xf numFmtId="10" fontId="14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9" applyNumberFormat="0" applyFont="0" applyFill="0" applyAlignment="0" applyProtection="0"/>
    <xf numFmtId="0" fontId="52" fillId="0" borderId="174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132">
    <xf numFmtId="0" fontId="0" fillId="0" borderId="0" xfId="0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11" xfId="0" applyFont="1" applyBorder="1"/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6" fillId="0" borderId="13" xfId="0" applyFont="1" applyBorder="1"/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7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0" xfId="0" applyFont="1" applyBorder="1"/>
    <xf numFmtId="0" fontId="7" fillId="0" borderId="0" xfId="0" applyFont="1" applyBorder="1" applyAlignment="1">
      <alignment horizontal="center"/>
    </xf>
    <xf numFmtId="0" fontId="6" fillId="0" borderId="24" xfId="0" applyFont="1" applyBorder="1"/>
    <xf numFmtId="0" fontId="7" fillId="0" borderId="25" xfId="0" applyFont="1" applyBorder="1"/>
    <xf numFmtId="0" fontId="6" fillId="0" borderId="25" xfId="0" applyFont="1" applyBorder="1"/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/>
    <xf numFmtId="0" fontId="7" fillId="0" borderId="28" xfId="0" applyFont="1" applyBorder="1" applyAlignment="1">
      <alignment horizontal="centerContinuous"/>
    </xf>
    <xf numFmtId="0" fontId="6" fillId="0" borderId="29" xfId="0" applyFont="1" applyBorder="1"/>
    <xf numFmtId="0" fontId="6" fillId="0" borderId="30" xfId="0" applyFont="1" applyBorder="1"/>
    <xf numFmtId="0" fontId="6" fillId="0" borderId="31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6" fillId="0" borderId="29" xfId="0" applyNumberFormat="1" applyFont="1" applyBorder="1"/>
    <xf numFmtId="0" fontId="6" fillId="0" borderId="32" xfId="0" applyFont="1" applyBorder="1"/>
    <xf numFmtId="164" fontId="6" fillId="0" borderId="33" xfId="0" applyNumberFormat="1" applyFont="1" applyBorder="1"/>
    <xf numFmtId="164" fontId="6" fillId="0" borderId="30" xfId="0" applyNumberFormat="1" applyFont="1" applyBorder="1"/>
    <xf numFmtId="3" fontId="6" fillId="0" borderId="30" xfId="0" applyNumberFormat="1" applyFont="1" applyBorder="1"/>
    <xf numFmtId="164" fontId="6" fillId="0" borderId="34" xfId="0" applyNumberFormat="1" applyFont="1" applyBorder="1"/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4" xfId="0" applyFont="1" applyBorder="1"/>
    <xf numFmtId="164" fontId="6" fillId="0" borderId="32" xfId="0" applyNumberFormat="1" applyFont="1" applyBorder="1"/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6" fillId="0" borderId="38" xfId="0" applyFont="1" applyBorder="1"/>
    <xf numFmtId="0" fontId="6" fillId="0" borderId="36" xfId="0" applyFont="1" applyBorder="1"/>
    <xf numFmtId="0" fontId="7" fillId="0" borderId="39" xfId="0" applyFont="1" applyBorder="1" applyAlignment="1">
      <alignment horizontal="centerContinuous"/>
    </xf>
    <xf numFmtId="0" fontId="6" fillId="0" borderId="40" xfId="0" applyFont="1" applyBorder="1"/>
    <xf numFmtId="0" fontId="6" fillId="0" borderId="41" xfId="0" applyFont="1" applyBorder="1"/>
    <xf numFmtId="0" fontId="6" fillId="0" borderId="42" xfId="0" applyFont="1" applyBorder="1"/>
    <xf numFmtId="0" fontId="7" fillId="0" borderId="43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3" fontId="7" fillId="0" borderId="30" xfId="0" applyNumberFormat="1" applyFont="1" applyBorder="1"/>
    <xf numFmtId="0" fontId="6" fillId="0" borderId="36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44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45" xfId="0" applyFont="1" applyBorder="1"/>
    <xf numFmtId="164" fontId="6" fillId="0" borderId="46" xfId="0" applyNumberFormat="1" applyFont="1" applyBorder="1"/>
    <xf numFmtId="0" fontId="6" fillId="0" borderId="30" xfId="0" applyFont="1" applyBorder="1" applyAlignment="1">
      <alignment horizontal="right"/>
    </xf>
    <xf numFmtId="164" fontId="6" fillId="0" borderId="29" xfId="0" applyNumberFormat="1" applyFont="1" applyBorder="1" applyAlignment="1">
      <alignment horizontal="right"/>
    </xf>
    <xf numFmtId="164" fontId="6" fillId="0" borderId="32" xfId="0" applyNumberFormat="1" applyFont="1" applyBorder="1" applyAlignment="1">
      <alignment horizontal="right"/>
    </xf>
    <xf numFmtId="167" fontId="6" fillId="0" borderId="30" xfId="0" applyNumberFormat="1" applyFont="1" applyBorder="1" applyAlignment="1">
      <alignment horizontal="right"/>
    </xf>
    <xf numFmtId="167" fontId="6" fillId="0" borderId="34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6" fillId="0" borderId="47" xfId="0" applyFont="1" applyBorder="1"/>
    <xf numFmtId="0" fontId="6" fillId="0" borderId="48" xfId="0" applyFont="1" applyBorder="1"/>
    <xf numFmtId="0" fontId="7" fillId="0" borderId="49" xfId="0" applyFont="1" applyBorder="1"/>
    <xf numFmtId="0" fontId="8" fillId="0" borderId="50" xfId="0" applyFont="1" applyBorder="1"/>
    <xf numFmtId="0" fontId="6" fillId="0" borderId="50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49" xfId="0" applyFont="1" applyBorder="1"/>
    <xf numFmtId="0" fontId="6" fillId="0" borderId="50" xfId="0" applyFont="1" applyBorder="1"/>
    <xf numFmtId="0" fontId="7" fillId="0" borderId="51" xfId="0" applyFont="1" applyBorder="1" applyAlignment="1">
      <alignment horizontal="center"/>
    </xf>
    <xf numFmtId="0" fontId="7" fillId="0" borderId="50" xfId="0" applyFont="1" applyBorder="1"/>
    <xf numFmtId="0" fontId="7" fillId="0" borderId="52" xfId="0" applyFont="1" applyBorder="1"/>
    <xf numFmtId="3" fontId="6" fillId="0" borderId="30" xfId="0" applyNumberFormat="1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164" fontId="6" fillId="0" borderId="32" xfId="0" applyNumberFormat="1" applyFont="1" applyBorder="1" applyAlignment="1">
      <alignment horizontal="center"/>
    </xf>
    <xf numFmtId="0" fontId="6" fillId="0" borderId="53" xfId="0" applyFont="1" applyBorder="1" applyAlignment="1">
      <alignment horizontal="right"/>
    </xf>
    <xf numFmtId="0" fontId="7" fillId="0" borderId="11" xfId="0" applyFont="1" applyBorder="1"/>
    <xf numFmtId="164" fontId="6" fillId="0" borderId="34" xfId="86" applyNumberFormat="1" applyFont="1" applyBorder="1" applyAlignment="1">
      <alignment horizontal="right"/>
    </xf>
    <xf numFmtId="0" fontId="6" fillId="0" borderId="46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7" fillId="0" borderId="30" xfId="0" applyFont="1" applyBorder="1"/>
    <xf numFmtId="0" fontId="0" fillId="0" borderId="0" xfId="0" applyBorder="1"/>
    <xf numFmtId="0" fontId="6" fillId="0" borderId="54" xfId="0" applyFont="1" applyBorder="1"/>
    <xf numFmtId="0" fontId="6" fillId="0" borderId="55" xfId="0" applyFont="1" applyBorder="1"/>
    <xf numFmtId="3" fontId="6" fillId="0" borderId="55" xfId="0" applyNumberFormat="1" applyFont="1" applyBorder="1"/>
    <xf numFmtId="0" fontId="6" fillId="0" borderId="56" xfId="0" applyFont="1" applyBorder="1" applyAlignment="1">
      <alignment horizontal="right"/>
    </xf>
    <xf numFmtId="0" fontId="7" fillId="0" borderId="0" xfId="0" applyFont="1" applyBorder="1"/>
    <xf numFmtId="164" fontId="6" fillId="0" borderId="0" xfId="0" applyNumberFormat="1" applyFont="1" applyBorder="1"/>
    <xf numFmtId="5" fontId="6" fillId="0" borderId="0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24" borderId="29" xfId="0" applyFont="1" applyFill="1" applyBorder="1"/>
    <xf numFmtId="3" fontId="6" fillId="24" borderId="30" xfId="0" applyNumberFormat="1" applyFont="1" applyFill="1" applyBorder="1"/>
    <xf numFmtId="0" fontId="6" fillId="24" borderId="30" xfId="0" applyFont="1" applyFill="1" applyBorder="1"/>
    <xf numFmtId="3" fontId="6" fillId="24" borderId="30" xfId="0" applyNumberFormat="1" applyFont="1" applyFill="1" applyBorder="1" applyAlignment="1">
      <alignment horizontal="right"/>
    </xf>
    <xf numFmtId="0" fontId="7" fillId="0" borderId="5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3" fontId="7" fillId="0" borderId="33" xfId="0" applyNumberFormat="1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1" fontId="6" fillId="0" borderId="30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3" fontId="7" fillId="0" borderId="9" xfId="0" applyNumberFormat="1" applyFont="1" applyBorder="1"/>
    <xf numFmtId="0" fontId="4" fillId="0" borderId="0" xfId="0" applyFont="1" applyBorder="1"/>
    <xf numFmtId="0" fontId="6" fillId="0" borderId="46" xfId="0" applyFont="1" applyBorder="1"/>
    <xf numFmtId="0" fontId="6" fillId="0" borderId="58" xfId="0" applyFont="1" applyBorder="1" applyAlignment="1">
      <alignment horizontal="left" indent="1"/>
    </xf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/>
    <xf numFmtId="0" fontId="6" fillId="0" borderId="24" xfId="0" applyFont="1" applyFill="1" applyBorder="1"/>
    <xf numFmtId="0" fontId="7" fillId="0" borderId="28" xfId="0" applyFont="1" applyFill="1" applyBorder="1" applyAlignment="1">
      <alignment horizontal="centerContinuous"/>
    </xf>
    <xf numFmtId="0" fontId="7" fillId="0" borderId="39" xfId="0" applyFont="1" applyFill="1" applyBorder="1" applyAlignment="1">
      <alignment horizontal="centerContinuous"/>
    </xf>
    <xf numFmtId="0" fontId="6" fillId="0" borderId="47" xfId="0" applyFont="1" applyFill="1" applyBorder="1"/>
    <xf numFmtId="0" fontId="7" fillId="0" borderId="3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9" xfId="0" applyFont="1" applyFill="1" applyBorder="1"/>
    <xf numFmtId="0" fontId="6" fillId="0" borderId="38" xfId="0" applyFont="1" applyFill="1" applyBorder="1"/>
    <xf numFmtId="0" fontId="6" fillId="0" borderId="22" xfId="0" applyFont="1" applyFill="1" applyBorder="1"/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2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61" xfId="0" applyFont="1" applyFill="1" applyBorder="1"/>
    <xf numFmtId="0" fontId="6" fillId="0" borderId="62" xfId="0" applyFont="1" applyFill="1" applyBorder="1"/>
    <xf numFmtId="3" fontId="6" fillId="0" borderId="62" xfId="82" applyNumberFormat="1" applyFont="1" applyFill="1" applyBorder="1" applyAlignment="1">
      <alignment horizontal="right"/>
    </xf>
    <xf numFmtId="3" fontId="6" fillId="0" borderId="62" xfId="0" applyNumberFormat="1" applyFont="1" applyFill="1" applyBorder="1"/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9" xfId="0" applyFont="1" applyFill="1" applyBorder="1"/>
    <xf numFmtId="3" fontId="7" fillId="0" borderId="9" xfId="0" applyNumberFormat="1" applyFont="1" applyFill="1" applyBorder="1"/>
    <xf numFmtId="0" fontId="4" fillId="0" borderId="0" xfId="0" applyFont="1" applyFill="1" applyBorder="1"/>
    <xf numFmtId="172" fontId="7" fillId="0" borderId="62" xfId="82" applyNumberFormat="1" applyFont="1" applyFill="1" applyBorder="1"/>
    <xf numFmtId="0" fontId="6" fillId="0" borderId="17" xfId="0" applyFont="1" applyFill="1" applyBorder="1"/>
    <xf numFmtId="0" fontId="6" fillId="0" borderId="32" xfId="0" applyFont="1" applyFill="1" applyBorder="1"/>
    <xf numFmtId="0" fontId="6" fillId="0" borderId="63" xfId="0" applyFont="1" applyFill="1" applyBorder="1"/>
    <xf numFmtId="164" fontId="6" fillId="0" borderId="30" xfId="0" applyNumberFormat="1" applyFont="1" applyFill="1" applyBorder="1"/>
    <xf numFmtId="164" fontId="6" fillId="0" borderId="34" xfId="0" applyNumberFormat="1" applyFont="1" applyFill="1" applyBorder="1"/>
    <xf numFmtId="0" fontId="6" fillId="0" borderId="64" xfId="0" applyFont="1" applyFill="1" applyBorder="1" applyAlignment="1">
      <alignment horizontal="center"/>
    </xf>
    <xf numFmtId="164" fontId="6" fillId="0" borderId="32" xfId="0" applyNumberFormat="1" applyFont="1" applyFill="1" applyBorder="1"/>
    <xf numFmtId="164" fontId="6" fillId="0" borderId="0" xfId="0" applyNumberFormat="1" applyFont="1" applyFill="1" applyBorder="1"/>
    <xf numFmtId="0" fontId="6" fillId="0" borderId="63" xfId="0" applyFont="1" applyFill="1" applyBorder="1" applyAlignment="1">
      <alignment horizontal="center"/>
    </xf>
    <xf numFmtId="5" fontId="6" fillId="0" borderId="0" xfId="0" applyNumberFormat="1" applyFont="1" applyFill="1" applyBorder="1" applyAlignment="1">
      <alignment horizontal="right"/>
    </xf>
    <xf numFmtId="0" fontId="7" fillId="0" borderId="65" xfId="0" applyFont="1" applyFill="1" applyBorder="1" applyAlignment="1">
      <alignment horizontal="center"/>
    </xf>
    <xf numFmtId="0" fontId="6" fillId="0" borderId="50" xfId="0" applyFont="1" applyFill="1" applyBorder="1"/>
    <xf numFmtId="0" fontId="7" fillId="0" borderId="46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0" fontId="7" fillId="0" borderId="33" xfId="0" applyFont="1" applyFill="1" applyBorder="1"/>
    <xf numFmtId="3" fontId="6" fillId="0" borderId="55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7" fillId="0" borderId="66" xfId="0" applyFont="1" applyBorder="1"/>
    <xf numFmtId="0" fontId="7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67" xfId="0" applyFont="1" applyBorder="1" applyAlignment="1">
      <alignment horizontal="right"/>
    </xf>
    <xf numFmtId="3" fontId="6" fillId="0" borderId="30" xfId="82" applyNumberFormat="1" applyFont="1" applyBorder="1" applyAlignment="1">
      <alignment horizontal="right"/>
    </xf>
    <xf numFmtId="0" fontId="6" fillId="0" borderId="68" xfId="0" applyFont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0" fontId="6" fillId="0" borderId="46" xfId="0" applyFont="1" applyFill="1" applyBorder="1" applyAlignment="1">
      <alignment horizontal="right"/>
    </xf>
    <xf numFmtId="0" fontId="6" fillId="0" borderId="43" xfId="0" applyFont="1" applyFill="1" applyBorder="1"/>
    <xf numFmtId="0" fontId="6" fillId="0" borderId="41" xfId="0" applyFont="1" applyFill="1" applyBorder="1"/>
    <xf numFmtId="0" fontId="7" fillId="0" borderId="51" xfId="0" applyFont="1" applyFill="1" applyBorder="1" applyAlignment="1">
      <alignment horizontal="center"/>
    </xf>
    <xf numFmtId="0" fontId="7" fillId="0" borderId="20" xfId="0" applyFont="1" applyBorder="1" applyAlignment="1">
      <alignment horizontal="left"/>
    </xf>
    <xf numFmtId="166" fontId="6" fillId="0" borderId="69" xfId="134" applyNumberFormat="1" applyFont="1" applyBorder="1" applyAlignment="1">
      <alignment horizontal="right"/>
    </xf>
    <xf numFmtId="0" fontId="7" fillId="0" borderId="29" xfId="0" applyFont="1" applyBorder="1"/>
    <xf numFmtId="0" fontId="6" fillId="0" borderId="30" xfId="0" applyFont="1" applyBorder="1" applyAlignment="1">
      <alignment horizontal="center"/>
    </xf>
    <xf numFmtId="0" fontId="6" fillId="0" borderId="33" xfId="0" applyFont="1" applyBorder="1"/>
    <xf numFmtId="3" fontId="6" fillId="0" borderId="30" xfId="82" applyNumberFormat="1" applyFont="1" applyFill="1" applyBorder="1" applyAlignment="1">
      <alignment horizontal="right"/>
    </xf>
    <xf numFmtId="0" fontId="6" fillId="0" borderId="70" xfId="0" applyFont="1" applyBorder="1"/>
    <xf numFmtId="0" fontId="7" fillId="0" borderId="71" xfId="0" applyFont="1" applyBorder="1"/>
    <xf numFmtId="3" fontId="7" fillId="0" borderId="72" xfId="0" applyNumberFormat="1" applyFont="1" applyBorder="1"/>
    <xf numFmtId="0" fontId="7" fillId="0" borderId="70" xfId="0" applyFont="1" applyBorder="1"/>
    <xf numFmtId="172" fontId="6" fillId="0" borderId="54" xfId="82" applyNumberFormat="1" applyFont="1" applyBorder="1"/>
    <xf numFmtId="172" fontId="6" fillId="0" borderId="55" xfId="82" applyNumberFormat="1" applyFont="1" applyBorder="1"/>
    <xf numFmtId="172" fontId="7" fillId="0" borderId="55" xfId="82" applyNumberFormat="1" applyFont="1" applyBorder="1"/>
    <xf numFmtId="0" fontId="6" fillId="0" borderId="73" xfId="0" applyFont="1" applyBorder="1"/>
    <xf numFmtId="164" fontId="6" fillId="0" borderId="74" xfId="0" applyNumberFormat="1" applyFont="1" applyBorder="1"/>
    <xf numFmtId="164" fontId="6" fillId="0" borderId="75" xfId="0" applyNumberFormat="1" applyFont="1" applyBorder="1" applyAlignment="1">
      <alignment horizontal="center"/>
    </xf>
    <xf numFmtId="164" fontId="6" fillId="0" borderId="73" xfId="0" applyNumberFormat="1" applyFont="1" applyBorder="1" applyAlignment="1">
      <alignment horizontal="center"/>
    </xf>
    <xf numFmtId="0" fontId="6" fillId="0" borderId="55" xfId="0" applyNumberFormat="1" applyFont="1" applyBorder="1" applyAlignment="1">
      <alignment horizontal="right"/>
    </xf>
    <xf numFmtId="164" fontId="6" fillId="0" borderId="76" xfId="0" applyNumberFormat="1" applyFont="1" applyBorder="1"/>
    <xf numFmtId="0" fontId="6" fillId="0" borderId="77" xfId="0" applyNumberFormat="1" applyFont="1" applyBorder="1" applyAlignment="1">
      <alignment horizontal="right"/>
    </xf>
    <xf numFmtId="0" fontId="6" fillId="0" borderId="74" xfId="0" applyNumberFormat="1" applyFont="1" applyBorder="1"/>
    <xf numFmtId="164" fontId="6" fillId="0" borderId="40" xfId="0" applyNumberFormat="1" applyFont="1" applyBorder="1"/>
    <xf numFmtId="164" fontId="6" fillId="0" borderId="73" xfId="0" applyNumberFormat="1" applyFont="1" applyBorder="1" applyAlignment="1">
      <alignment horizontal="right"/>
    </xf>
    <xf numFmtId="164" fontId="6" fillId="0" borderId="75" xfId="0" applyNumberFormat="1" applyFont="1" applyBorder="1"/>
    <xf numFmtId="164" fontId="6" fillId="0" borderId="42" xfId="0" applyNumberFormat="1" applyFont="1" applyBorder="1"/>
    <xf numFmtId="164" fontId="6" fillId="0" borderId="54" xfId="0" applyNumberFormat="1" applyFont="1" applyBorder="1" applyAlignment="1">
      <alignment horizontal="right"/>
    </xf>
    <xf numFmtId="164" fontId="6" fillId="0" borderId="71" xfId="0" applyNumberFormat="1" applyFont="1" applyBorder="1"/>
    <xf numFmtId="172" fontId="6" fillId="0" borderId="29" xfId="82" applyNumberFormat="1" applyFont="1" applyBorder="1"/>
    <xf numFmtId="172" fontId="6" fillId="0" borderId="30" xfId="82" applyNumberFormat="1" applyFont="1" applyBorder="1"/>
    <xf numFmtId="172" fontId="7" fillId="0" borderId="30" xfId="82" applyNumberFormat="1" applyFont="1" applyBorder="1"/>
    <xf numFmtId="5" fontId="6" fillId="0" borderId="78" xfId="0" applyNumberFormat="1" applyFont="1" applyBorder="1" applyAlignment="1">
      <alignment horizontal="right"/>
    </xf>
    <xf numFmtId="5" fontId="6" fillId="0" borderId="73" xfId="0" applyNumberFormat="1" applyFont="1" applyBorder="1" applyAlignment="1">
      <alignment horizontal="right"/>
    </xf>
    <xf numFmtId="5" fontId="6" fillId="0" borderId="79" xfId="0" applyNumberFormat="1" applyFont="1" applyBorder="1" applyAlignment="1">
      <alignment horizontal="right"/>
    </xf>
    <xf numFmtId="5" fontId="6" fillId="0" borderId="72" xfId="0" applyNumberFormat="1" applyFont="1" applyBorder="1" applyAlignment="1">
      <alignment horizontal="right"/>
    </xf>
    <xf numFmtId="0" fontId="6" fillId="24" borderId="42" xfId="0" applyFont="1" applyFill="1" applyBorder="1"/>
    <xf numFmtId="0" fontId="6" fillId="24" borderId="70" xfId="0" applyFont="1" applyFill="1" applyBorder="1"/>
    <xf numFmtId="0" fontId="6" fillId="0" borderId="71" xfId="0" applyFont="1" applyBorder="1" applyAlignment="1">
      <alignment horizontal="right"/>
    </xf>
    <xf numFmtId="0" fontId="6" fillId="0" borderId="70" xfId="0" applyFont="1" applyFill="1" applyBorder="1" applyAlignment="1">
      <alignment horizontal="right"/>
    </xf>
    <xf numFmtId="166" fontId="6" fillId="0" borderId="36" xfId="134" applyNumberFormat="1" applyFont="1" applyFill="1" applyBorder="1" applyAlignment="1">
      <alignment horizontal="right"/>
    </xf>
    <xf numFmtId="0" fontId="6" fillId="0" borderId="76" xfId="0" applyFont="1" applyFill="1" applyBorder="1" applyAlignment="1">
      <alignment horizontal="right"/>
    </xf>
    <xf numFmtId="166" fontId="7" fillId="0" borderId="15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166" fontId="6" fillId="0" borderId="80" xfId="134" applyNumberFormat="1" applyFont="1" applyFill="1" applyBorder="1" applyAlignment="1">
      <alignment horizontal="right"/>
    </xf>
    <xf numFmtId="166" fontId="6" fillId="0" borderId="13" xfId="134" applyNumberFormat="1" applyFont="1" applyFill="1" applyBorder="1" applyAlignment="1">
      <alignment horizontal="right"/>
    </xf>
    <xf numFmtId="166" fontId="6" fillId="0" borderId="81" xfId="134" applyNumberFormat="1" applyFont="1" applyFill="1" applyBorder="1" applyAlignment="1">
      <alignment horizontal="right"/>
    </xf>
    <xf numFmtId="3" fontId="6" fillId="0" borderId="18" xfId="82" applyNumberFormat="1" applyFont="1" applyBorder="1" applyAlignment="1">
      <alignment horizontal="right"/>
    </xf>
    <xf numFmtId="3" fontId="6" fillId="0" borderId="15" xfId="82" applyNumberFormat="1" applyFont="1" applyBorder="1" applyAlignment="1">
      <alignment horizontal="right"/>
    </xf>
    <xf numFmtId="3" fontId="6" fillId="0" borderId="44" xfId="82" applyNumberFormat="1" applyFont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166" fontId="6" fillId="0" borderId="18" xfId="0" applyNumberFormat="1" applyFont="1" applyBorder="1" applyAlignment="1">
      <alignment horizontal="right"/>
    </xf>
    <xf numFmtId="3" fontId="6" fillId="0" borderId="82" xfId="82" applyNumberFormat="1" applyFont="1" applyBorder="1" applyAlignment="1">
      <alignment horizontal="right"/>
    </xf>
    <xf numFmtId="3" fontId="6" fillId="0" borderId="70" xfId="82" applyNumberFormat="1" applyFont="1" applyFill="1" applyBorder="1" applyAlignment="1">
      <alignment horizontal="right"/>
    </xf>
    <xf numFmtId="3" fontId="6" fillId="0" borderId="15" xfId="82" applyNumberFormat="1" applyFont="1" applyFill="1" applyBorder="1" applyAlignment="1">
      <alignment horizontal="right"/>
    </xf>
    <xf numFmtId="5" fontId="6" fillId="0" borderId="34" xfId="0" applyNumberFormat="1" applyFont="1" applyBorder="1" applyAlignment="1">
      <alignment horizontal="right"/>
    </xf>
    <xf numFmtId="5" fontId="6" fillId="0" borderId="54" xfId="0" applyNumberFormat="1" applyFont="1" applyBorder="1" applyAlignment="1">
      <alignment horizontal="right"/>
    </xf>
    <xf numFmtId="0" fontId="7" fillId="0" borderId="71" xfId="0" applyFont="1" applyBorder="1" applyAlignment="1">
      <alignment horizontal="right"/>
    </xf>
    <xf numFmtId="3" fontId="7" fillId="0" borderId="72" xfId="0" applyNumberFormat="1" applyFont="1" applyBorder="1" applyAlignment="1">
      <alignment horizontal="right"/>
    </xf>
    <xf numFmtId="5" fontId="6" fillId="0" borderId="77" xfId="0" applyNumberFormat="1" applyFont="1" applyBorder="1" applyAlignment="1">
      <alignment horizontal="right"/>
    </xf>
    <xf numFmtId="164" fontId="6" fillId="0" borderId="78" xfId="0" applyNumberFormat="1" applyFont="1" applyFill="1" applyBorder="1" applyAlignment="1">
      <alignment horizontal="right"/>
    </xf>
    <xf numFmtId="164" fontId="6" fillId="0" borderId="34" xfId="0" applyNumberFormat="1" applyFont="1" applyFill="1" applyBorder="1" applyAlignment="1">
      <alignment horizontal="right"/>
    </xf>
    <xf numFmtId="3" fontId="6" fillId="0" borderId="55" xfId="0" applyNumberFormat="1" applyFont="1" applyFill="1" applyBorder="1" applyAlignment="1">
      <alignment horizontal="right"/>
    </xf>
    <xf numFmtId="0" fontId="6" fillId="0" borderId="70" xfId="0" applyFont="1" applyFill="1" applyBorder="1"/>
    <xf numFmtId="3" fontId="6" fillId="0" borderId="55" xfId="0" applyNumberFormat="1" applyFont="1" applyFill="1" applyBorder="1"/>
    <xf numFmtId="3" fontId="6" fillId="0" borderId="30" xfId="0" applyNumberFormat="1" applyFont="1" applyFill="1" applyBorder="1"/>
    <xf numFmtId="3" fontId="7" fillId="0" borderId="33" xfId="0" applyNumberFormat="1" applyFont="1" applyFill="1" applyBorder="1"/>
    <xf numFmtId="0" fontId="6" fillId="0" borderId="42" xfId="0" applyFont="1" applyFill="1" applyBorder="1"/>
    <xf numFmtId="0" fontId="6" fillId="0" borderId="54" xfId="0" applyFont="1" applyFill="1" applyBorder="1"/>
    <xf numFmtId="0" fontId="6" fillId="0" borderId="55" xfId="0" applyFont="1" applyFill="1" applyBorder="1"/>
    <xf numFmtId="0" fontId="7" fillId="0" borderId="71" xfId="0" applyFont="1" applyFill="1" applyBorder="1"/>
    <xf numFmtId="3" fontId="7" fillId="0" borderId="72" xfId="0" applyNumberFormat="1" applyFont="1" applyFill="1" applyBorder="1"/>
    <xf numFmtId="0" fontId="6" fillId="0" borderId="73" xfId="0" applyFont="1" applyFill="1" applyBorder="1"/>
    <xf numFmtId="172" fontId="7" fillId="0" borderId="30" xfId="82" applyNumberFormat="1" applyFont="1" applyFill="1" applyBorder="1"/>
    <xf numFmtId="0" fontId="7" fillId="0" borderId="30" xfId="0" applyFont="1" applyFill="1" applyBorder="1"/>
    <xf numFmtId="0" fontId="6" fillId="0" borderId="46" xfId="0" applyFont="1" applyFill="1" applyBorder="1"/>
    <xf numFmtId="167" fontId="6" fillId="0" borderId="30" xfId="0" applyNumberFormat="1" applyFont="1" applyFill="1" applyBorder="1" applyAlignment="1">
      <alignment horizontal="right"/>
    </xf>
    <xf numFmtId="167" fontId="6" fillId="0" borderId="34" xfId="0" applyNumberFormat="1" applyFont="1" applyFill="1" applyBorder="1" applyAlignment="1">
      <alignment horizontal="right"/>
    </xf>
    <xf numFmtId="164" fontId="6" fillId="0" borderId="29" xfId="0" applyNumberFormat="1" applyFont="1" applyFill="1" applyBorder="1"/>
    <xf numFmtId="164" fontId="6" fillId="0" borderId="46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right"/>
    </xf>
    <xf numFmtId="164" fontId="6" fillId="0" borderId="33" xfId="0" applyNumberFormat="1" applyFont="1" applyFill="1" applyBorder="1" applyAlignment="1">
      <alignment horizontal="right"/>
    </xf>
    <xf numFmtId="3" fontId="6" fillId="0" borderId="29" xfId="82" applyNumberFormat="1" applyFont="1" applyFill="1" applyBorder="1" applyAlignment="1">
      <alignment horizontal="right"/>
    </xf>
    <xf numFmtId="3" fontId="7" fillId="0" borderId="30" xfId="82" applyNumberFormat="1" applyFont="1" applyFill="1" applyBorder="1" applyAlignment="1">
      <alignment horizontal="right"/>
    </xf>
    <xf numFmtId="164" fontId="6" fillId="0" borderId="33" xfId="0" applyNumberFormat="1" applyFont="1" applyFill="1" applyBorder="1"/>
    <xf numFmtId="3" fontId="6" fillId="0" borderId="55" xfId="82" applyNumberFormat="1" applyFont="1" applyFill="1" applyBorder="1" applyAlignment="1">
      <alignment horizontal="right"/>
    </xf>
    <xf numFmtId="0" fontId="7" fillId="0" borderId="70" xfId="0" applyFont="1" applyFill="1" applyBorder="1"/>
    <xf numFmtId="172" fontId="7" fillId="0" borderId="55" xfId="82" applyNumberFormat="1" applyFont="1" applyFill="1" applyBorder="1"/>
    <xf numFmtId="0" fontId="6" fillId="0" borderId="76" xfId="0" applyFont="1" applyFill="1" applyBorder="1"/>
    <xf numFmtId="0" fontId="6" fillId="0" borderId="40" xfId="0" applyFont="1" applyFill="1" applyBorder="1"/>
    <xf numFmtId="164" fontId="6" fillId="0" borderId="70" xfId="0" applyNumberFormat="1" applyFont="1" applyFill="1" applyBorder="1"/>
    <xf numFmtId="169" fontId="6" fillId="0" borderId="55" xfId="0" applyNumberFormat="1" applyFont="1" applyFill="1" applyBorder="1" applyAlignment="1">
      <alignment horizontal="right"/>
    </xf>
    <xf numFmtId="164" fontId="6" fillId="0" borderId="74" xfId="0" applyNumberFormat="1" applyFont="1" applyFill="1" applyBorder="1"/>
    <xf numFmtId="164" fontId="6" fillId="0" borderId="40" xfId="0" applyNumberFormat="1" applyFont="1" applyFill="1" applyBorder="1"/>
    <xf numFmtId="164" fontId="6" fillId="0" borderId="73" xfId="0" applyNumberFormat="1" applyFont="1" applyFill="1" applyBorder="1" applyAlignment="1">
      <alignment horizontal="right"/>
    </xf>
    <xf numFmtId="164" fontId="6" fillId="0" borderId="75" xfId="0" applyNumberFormat="1" applyFont="1" applyFill="1" applyBorder="1"/>
    <xf numFmtId="164" fontId="6" fillId="0" borderId="42" xfId="0" applyNumberFormat="1" applyFont="1" applyFill="1" applyBorder="1"/>
    <xf numFmtId="164" fontId="6" fillId="0" borderId="54" xfId="0" applyNumberFormat="1" applyFont="1" applyFill="1" applyBorder="1" applyAlignment="1">
      <alignment horizontal="right"/>
    </xf>
    <xf numFmtId="164" fontId="6" fillId="0" borderId="71" xfId="0" applyNumberFormat="1" applyFont="1" applyFill="1" applyBorder="1"/>
    <xf numFmtId="164" fontId="6" fillId="0" borderId="72" xfId="0" applyNumberFormat="1" applyFont="1" applyFill="1" applyBorder="1" applyAlignment="1">
      <alignment horizontal="right"/>
    </xf>
    <xf numFmtId="5" fontId="6" fillId="0" borderId="73" xfId="0" applyNumberFormat="1" applyFont="1" applyFill="1" applyBorder="1" applyAlignment="1">
      <alignment horizontal="right"/>
    </xf>
    <xf numFmtId="5" fontId="6" fillId="0" borderId="79" xfId="0" applyNumberFormat="1" applyFont="1" applyFill="1" applyBorder="1" applyAlignment="1">
      <alignment horizontal="right"/>
    </xf>
    <xf numFmtId="3" fontId="7" fillId="0" borderId="46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76" xfId="0" applyFont="1" applyFill="1" applyBorder="1" applyAlignment="1">
      <alignment horizontal="right"/>
    </xf>
    <xf numFmtId="3" fontId="7" fillId="0" borderId="77" xfId="0" applyNumberFormat="1" applyFont="1" applyFill="1" applyBorder="1" applyAlignment="1">
      <alignment horizontal="right"/>
    </xf>
    <xf numFmtId="172" fontId="6" fillId="0" borderId="62" xfId="82" applyNumberFormat="1" applyFont="1" applyFill="1" applyBorder="1"/>
    <xf numFmtId="3" fontId="6" fillId="0" borderId="18" xfId="82" applyNumberFormat="1" applyFont="1" applyFill="1" applyBorder="1" applyAlignment="1">
      <alignment horizontal="right"/>
    </xf>
    <xf numFmtId="3" fontId="6" fillId="0" borderId="82" xfId="82" applyNumberFormat="1" applyFont="1" applyFill="1" applyBorder="1" applyAlignment="1">
      <alignment horizontal="right"/>
    </xf>
    <xf numFmtId="166" fontId="6" fillId="0" borderId="18" xfId="0" applyNumberFormat="1" applyFont="1" applyFill="1" applyBorder="1" applyAlignment="1">
      <alignment horizontal="right"/>
    </xf>
    <xf numFmtId="0" fontId="7" fillId="0" borderId="46" xfId="0" applyFont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0" borderId="40" xfId="0" applyNumberFormat="1" applyFont="1" applyBorder="1"/>
    <xf numFmtId="0" fontId="7" fillId="0" borderId="84" xfId="0" applyFont="1" applyFill="1" applyBorder="1" applyAlignment="1">
      <alignment horizontal="center"/>
    </xf>
    <xf numFmtId="0" fontId="6" fillId="0" borderId="84" xfId="0" applyFont="1" applyFill="1" applyBorder="1"/>
    <xf numFmtId="0" fontId="6" fillId="0" borderId="59" xfId="0" applyFont="1" applyFill="1" applyBorder="1"/>
    <xf numFmtId="0" fontId="6" fillId="0" borderId="59" xfId="0" applyFont="1" applyFill="1" applyBorder="1" applyAlignment="1">
      <alignment horizontal="center"/>
    </xf>
    <xf numFmtId="3" fontId="7" fillId="0" borderId="0" xfId="0" applyNumberFormat="1" applyFont="1" applyFill="1" applyBorder="1"/>
    <xf numFmtId="172" fontId="6" fillId="0" borderId="61" xfId="82" applyNumberFormat="1" applyFont="1" applyFill="1" applyBorder="1"/>
    <xf numFmtId="164" fontId="6" fillId="0" borderId="63" xfId="0" applyNumberFormat="1" applyFont="1" applyFill="1" applyBorder="1" applyAlignment="1">
      <alignment horizontal="center"/>
    </xf>
    <xf numFmtId="0" fontId="6" fillId="0" borderId="85" xfId="0" applyFont="1" applyFill="1" applyBorder="1"/>
    <xf numFmtId="0" fontId="7" fillId="0" borderId="71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Continuous"/>
    </xf>
    <xf numFmtId="0" fontId="7" fillId="0" borderId="1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6" fillId="0" borderId="86" xfId="0" applyFont="1" applyFill="1" applyBorder="1"/>
    <xf numFmtId="0" fontId="6" fillId="0" borderId="46" xfId="0" applyNumberFormat="1" applyFont="1" applyBorder="1"/>
    <xf numFmtId="0" fontId="6" fillId="0" borderId="32" xfId="0" applyFont="1" applyFill="1" applyBorder="1" applyAlignment="1">
      <alignment horizontal="center"/>
    </xf>
    <xf numFmtId="164" fontId="6" fillId="0" borderId="75" xfId="0" applyNumberFormat="1" applyFont="1" applyFill="1" applyBorder="1" applyAlignment="1">
      <alignment horizontal="center"/>
    </xf>
    <xf numFmtId="164" fontId="6" fillId="0" borderId="76" xfId="0" applyNumberFormat="1" applyFont="1" applyFill="1" applyBorder="1"/>
    <xf numFmtId="166" fontId="7" fillId="0" borderId="13" xfId="134" applyNumberFormat="1" applyFont="1" applyFill="1" applyBorder="1" applyAlignment="1">
      <alignment horizontal="right"/>
    </xf>
    <xf numFmtId="166" fontId="6" fillId="0" borderId="13" xfId="134" applyNumberFormat="1" applyFont="1" applyBorder="1" applyAlignment="1">
      <alignment horizontal="right"/>
    </xf>
    <xf numFmtId="166" fontId="6" fillId="0" borderId="81" xfId="134" applyNumberFormat="1" applyFont="1" applyBorder="1" applyAlignment="1">
      <alignment horizontal="right"/>
    </xf>
    <xf numFmtId="0" fontId="7" fillId="0" borderId="86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right"/>
    </xf>
    <xf numFmtId="166" fontId="6" fillId="0" borderId="15" xfId="0" applyNumberFormat="1" applyFont="1" applyFill="1" applyBorder="1" applyAlignment="1">
      <alignment horizontal="right"/>
    </xf>
    <xf numFmtId="0" fontId="6" fillId="0" borderId="58" xfId="0" applyFont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0" fontId="6" fillId="0" borderId="15" xfId="0" applyFont="1" applyFill="1" applyBorder="1"/>
    <xf numFmtId="0" fontId="6" fillId="0" borderId="15" xfId="0" applyFont="1" applyFill="1" applyBorder="1" applyAlignment="1">
      <alignment horizontal="right"/>
    </xf>
    <xf numFmtId="0" fontId="6" fillId="0" borderId="44" xfId="0" applyFont="1" applyFill="1" applyBorder="1" applyAlignment="1">
      <alignment horizontal="right"/>
    </xf>
    <xf numFmtId="0" fontId="6" fillId="0" borderId="34" xfId="0" applyFont="1" applyBorder="1" applyAlignment="1">
      <alignment horizontal="center"/>
    </xf>
    <xf numFmtId="167" fontId="6" fillId="0" borderId="34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64" fontId="6" fillId="0" borderId="33" xfId="86" applyNumberFormat="1" applyFont="1" applyBorder="1" applyAlignment="1">
      <alignment horizontal="right"/>
    </xf>
    <xf numFmtId="0" fontId="6" fillId="0" borderId="70" xfId="0" applyNumberFormat="1" applyFont="1" applyFill="1" applyBorder="1"/>
    <xf numFmtId="0" fontId="7" fillId="0" borderId="15" xfId="0" applyFont="1" applyFill="1" applyBorder="1" applyAlignment="1">
      <alignment horizontal="right"/>
    </xf>
    <xf numFmtId="0" fontId="6" fillId="0" borderId="34" xfId="0" applyFont="1" applyBorder="1"/>
    <xf numFmtId="0" fontId="6" fillId="0" borderId="87" xfId="0" applyFont="1" applyBorder="1"/>
    <xf numFmtId="0" fontId="7" fillId="0" borderId="87" xfId="0" applyFont="1" applyBorder="1"/>
    <xf numFmtId="0" fontId="12" fillId="0" borderId="50" xfId="0" applyFont="1" applyBorder="1" applyAlignment="1">
      <alignment horizontal="left" indent="1"/>
    </xf>
    <xf numFmtId="0" fontId="6" fillId="0" borderId="50" xfId="0" applyFont="1" applyBorder="1" applyAlignment="1">
      <alignment horizontal="left" indent="1"/>
    </xf>
    <xf numFmtId="0" fontId="6" fillId="0" borderId="50" xfId="0" applyFont="1" applyBorder="1" applyAlignment="1">
      <alignment horizontal="left" wrapText="1" indent="1"/>
    </xf>
    <xf numFmtId="0" fontId="7" fillId="0" borderId="50" xfId="0" applyFont="1" applyBorder="1" applyAlignment="1">
      <alignment horizontal="left" indent="1"/>
    </xf>
    <xf numFmtId="0" fontId="7" fillId="0" borderId="53" xfId="0" applyFont="1" applyBorder="1" applyAlignment="1">
      <alignment horizontal="left" indent="1"/>
    </xf>
    <xf numFmtId="0" fontId="6" fillId="0" borderId="50" xfId="0" applyFont="1" applyBorder="1" applyAlignment="1">
      <alignment wrapText="1"/>
    </xf>
    <xf numFmtId="0" fontId="6" fillId="0" borderId="66" xfId="0" applyFont="1" applyBorder="1"/>
    <xf numFmtId="0" fontId="7" fillId="0" borderId="47" xfId="0" applyFont="1" applyBorder="1" applyAlignment="1">
      <alignment horizontal="left" indent="1"/>
    </xf>
    <xf numFmtId="0" fontId="6" fillId="0" borderId="49" xfId="0" applyFont="1" applyBorder="1" applyAlignment="1">
      <alignment horizontal="left" indent="1"/>
    </xf>
    <xf numFmtId="0" fontId="6" fillId="0" borderId="51" xfId="0" applyFont="1" applyBorder="1" applyAlignment="1">
      <alignment horizontal="left" indent="1"/>
    </xf>
    <xf numFmtId="0" fontId="6" fillId="0" borderId="88" xfId="0" applyFont="1" applyBorder="1"/>
    <xf numFmtId="0" fontId="6" fillId="0" borderId="47" xfId="0" applyFont="1" applyBorder="1" applyAlignment="1">
      <alignment horizontal="right"/>
    </xf>
    <xf numFmtId="0" fontId="7" fillId="0" borderId="49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6" fillId="0" borderId="89" xfId="0" applyFont="1" applyBorder="1" applyAlignment="1">
      <alignment horizontal="right"/>
    </xf>
    <xf numFmtId="5" fontId="6" fillId="0" borderId="29" xfId="0" applyNumberFormat="1" applyFont="1" applyBorder="1" applyAlignment="1">
      <alignment horizontal="right"/>
    </xf>
    <xf numFmtId="0" fontId="6" fillId="0" borderId="26" xfId="0" applyFont="1" applyFill="1" applyBorder="1" applyAlignment="1">
      <alignment horizontal="right"/>
    </xf>
    <xf numFmtId="172" fontId="6" fillId="0" borderId="30" xfId="82" applyNumberFormat="1" applyFont="1" applyFill="1" applyBorder="1"/>
    <xf numFmtId="0" fontId="6" fillId="0" borderId="4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167" fontId="6" fillId="0" borderId="33" xfId="0" applyNumberFormat="1" applyFont="1" applyBorder="1" applyAlignment="1">
      <alignment horizontal="right"/>
    </xf>
    <xf numFmtId="164" fontId="6" fillId="0" borderId="29" xfId="86" applyNumberFormat="1" applyFont="1" applyBorder="1" applyAlignment="1">
      <alignment horizontal="right"/>
    </xf>
    <xf numFmtId="164" fontId="6" fillId="0" borderId="32" xfId="0" applyNumberFormat="1" applyFont="1" applyFill="1" applyBorder="1" applyAlignment="1">
      <alignment horizontal="center"/>
    </xf>
    <xf numFmtId="0" fontId="6" fillId="0" borderId="90" xfId="0" applyFont="1" applyBorder="1"/>
    <xf numFmtId="0" fontId="6" fillId="0" borderId="91" xfId="0" applyFont="1" applyBorder="1"/>
    <xf numFmtId="0" fontId="7" fillId="0" borderId="92" xfId="0" applyFont="1" applyBorder="1"/>
    <xf numFmtId="0" fontId="8" fillId="0" borderId="11" xfId="0" applyFont="1" applyBorder="1"/>
    <xf numFmtId="0" fontId="7" fillId="0" borderId="93" xfId="0" applyFont="1" applyBorder="1"/>
    <xf numFmtId="0" fontId="7" fillId="0" borderId="94" xfId="0" applyFont="1" applyBorder="1"/>
    <xf numFmtId="0" fontId="7" fillId="0" borderId="91" xfId="0" applyFont="1" applyBorder="1" applyAlignment="1">
      <alignment horizontal="left" indent="1"/>
    </xf>
    <xf numFmtId="0" fontId="6" fillId="0" borderId="20" xfId="0" applyFont="1" applyBorder="1" applyAlignment="1">
      <alignment horizontal="left" indent="1"/>
    </xf>
    <xf numFmtId="0" fontId="6" fillId="0" borderId="57" xfId="0" applyFont="1" applyBorder="1" applyAlignment="1">
      <alignment horizontal="left" indent="1"/>
    </xf>
    <xf numFmtId="0" fontId="6" fillId="0" borderId="91" xfId="0" applyFont="1" applyBorder="1" applyAlignment="1">
      <alignment horizontal="right"/>
    </xf>
    <xf numFmtId="0" fontId="6" fillId="0" borderId="95" xfId="0" applyFont="1" applyBorder="1"/>
    <xf numFmtId="0" fontId="6" fillId="0" borderId="0" xfId="0" applyFont="1" applyBorder="1" applyAlignment="1">
      <alignment horizontal="left" indent="1"/>
    </xf>
    <xf numFmtId="164" fontId="6" fillId="0" borderId="0" xfId="86" applyNumberFormat="1" applyFont="1" applyBorder="1" applyAlignment="1">
      <alignment horizontal="right"/>
    </xf>
    <xf numFmtId="164" fontId="6" fillId="0" borderId="0" xfId="86" applyNumberFormat="1" applyFont="1" applyFill="1" applyBorder="1" applyAlignment="1">
      <alignment horizontal="right"/>
    </xf>
    <xf numFmtId="0" fontId="6" fillId="0" borderId="75" xfId="0" applyFont="1" applyFill="1" applyBorder="1"/>
    <xf numFmtId="172" fontId="7" fillId="0" borderId="54" xfId="82" applyNumberFormat="1" applyFont="1" applyFill="1" applyBorder="1"/>
    <xf numFmtId="172" fontId="6" fillId="0" borderId="55" xfId="82" applyNumberFormat="1" applyFont="1" applyFill="1" applyBorder="1"/>
    <xf numFmtId="0" fontId="6" fillId="0" borderId="75" xfId="0" applyNumberFormat="1" applyFont="1" applyBorder="1"/>
    <xf numFmtId="164" fontId="6" fillId="0" borderId="0" xfId="86" applyNumberFormat="1" applyFont="1" applyBorder="1"/>
    <xf numFmtId="167" fontId="6" fillId="0" borderId="29" xfId="0" applyNumberFormat="1" applyFont="1" applyBorder="1"/>
    <xf numFmtId="0" fontId="6" fillId="0" borderId="75" xfId="0" applyNumberFormat="1" applyFont="1" applyFill="1" applyBorder="1"/>
    <xf numFmtId="3" fontId="7" fillId="0" borderId="96" xfId="0" applyNumberFormat="1" applyFont="1" applyFill="1" applyBorder="1" applyAlignment="1">
      <alignment horizontal="right"/>
    </xf>
    <xf numFmtId="3" fontId="6" fillId="0" borderId="44" xfId="82" applyNumberFormat="1" applyFont="1" applyFill="1" applyBorder="1" applyAlignment="1">
      <alignment horizontal="right"/>
    </xf>
    <xf numFmtId="164" fontId="6" fillId="0" borderId="30" xfId="86" applyNumberFormat="1" applyFont="1" applyFill="1" applyBorder="1" applyAlignment="1">
      <alignment horizontal="center"/>
    </xf>
    <xf numFmtId="164" fontId="6" fillId="0" borderId="46" xfId="86" applyNumberFormat="1" applyFont="1" applyFill="1" applyBorder="1" applyAlignment="1">
      <alignment horizontal="center"/>
    </xf>
    <xf numFmtId="164" fontId="6" fillId="0" borderId="34" xfId="86" applyNumberFormat="1" applyFont="1" applyFill="1" applyBorder="1" applyAlignment="1">
      <alignment horizontal="center"/>
    </xf>
    <xf numFmtId="165" fontId="6" fillId="0" borderId="32" xfId="86" applyFont="1" applyFill="1" applyBorder="1" applyAlignment="1">
      <alignment horizontal="center"/>
    </xf>
    <xf numFmtId="164" fontId="6" fillId="0" borderId="40" xfId="0" applyNumberFormat="1" applyFont="1" applyBorder="1" applyAlignment="1">
      <alignment horizontal="center"/>
    </xf>
    <xf numFmtId="164" fontId="6" fillId="0" borderId="97" xfId="0" applyNumberFormat="1" applyFont="1" applyBorder="1" applyAlignment="1">
      <alignment horizontal="center"/>
    </xf>
    <xf numFmtId="164" fontId="6" fillId="0" borderId="98" xfId="0" applyNumberFormat="1" applyFont="1" applyBorder="1" applyAlignment="1">
      <alignment horizontal="center"/>
    </xf>
    <xf numFmtId="1" fontId="6" fillId="0" borderId="7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1" fontId="6" fillId="0" borderId="76" xfId="0" applyNumberFormat="1" applyFont="1" applyBorder="1" applyAlignment="1">
      <alignment horizontal="center"/>
    </xf>
    <xf numFmtId="164" fontId="6" fillId="0" borderId="40" xfId="0" applyNumberFormat="1" applyFont="1" applyFill="1" applyBorder="1" applyAlignment="1">
      <alignment horizontal="center"/>
    </xf>
    <xf numFmtId="0" fontId="6" fillId="0" borderId="83" xfId="0" applyNumberFormat="1" applyFont="1" applyFill="1" applyBorder="1"/>
    <xf numFmtId="0" fontId="7" fillId="0" borderId="23" xfId="0" applyFont="1" applyFill="1" applyBorder="1" applyAlignment="1">
      <alignment wrapText="1"/>
    </xf>
    <xf numFmtId="0" fontId="7" fillId="0" borderId="49" xfId="0" applyFont="1" applyFill="1" applyBorder="1"/>
    <xf numFmtId="0" fontId="6" fillId="0" borderId="88" xfId="0" applyFont="1" applyFill="1" applyBorder="1"/>
    <xf numFmtId="0" fontId="6" fillId="0" borderId="48" xfId="0" applyFont="1" applyFill="1" applyBorder="1"/>
    <xf numFmtId="0" fontId="7" fillId="0" borderId="14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66" fontId="7" fillId="0" borderId="36" xfId="134" applyNumberFormat="1" applyFont="1" applyFill="1" applyBorder="1" applyAlignment="1">
      <alignment horizontal="right"/>
    </xf>
    <xf numFmtId="166" fontId="6" fillId="0" borderId="36" xfId="134" applyNumberFormat="1" applyFon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166" fontId="6" fillId="0" borderId="80" xfId="134" applyNumberFormat="1" applyFont="1" applyBorder="1" applyAlignment="1">
      <alignment horizontal="right"/>
    </xf>
    <xf numFmtId="0" fontId="6" fillId="25" borderId="3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25" borderId="70" xfId="0" applyFont="1" applyFill="1" applyBorder="1" applyAlignment="1">
      <alignment horizontal="right"/>
    </xf>
    <xf numFmtId="0" fontId="7" fillId="0" borderId="8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92" xfId="0" applyFont="1" applyFill="1" applyBorder="1"/>
    <xf numFmtId="0" fontId="6" fillId="0" borderId="18" xfId="0" applyFont="1" applyFill="1" applyBorder="1"/>
    <xf numFmtId="0" fontId="6" fillId="0" borderId="36" xfId="0" applyFont="1" applyFill="1" applyBorder="1"/>
    <xf numFmtId="0" fontId="6" fillId="0" borderId="18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8" fillId="0" borderId="50" xfId="0" applyFont="1" applyFill="1" applyBorder="1"/>
    <xf numFmtId="3" fontId="0" fillId="0" borderId="0" xfId="0" applyNumberFormat="1" applyFill="1"/>
    <xf numFmtId="3" fontId="6" fillId="0" borderId="0" xfId="0" applyNumberFormat="1" applyFont="1" applyFill="1"/>
    <xf numFmtId="0" fontId="7" fillId="0" borderId="22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3" fontId="6" fillId="0" borderId="77" xfId="0" applyNumberFormat="1" applyFont="1" applyFill="1" applyBorder="1"/>
    <xf numFmtId="164" fontId="6" fillId="0" borderId="0" xfId="0" applyNumberFormat="1" applyFont="1" applyFill="1" applyBorder="1" applyAlignment="1">
      <alignment horizontal="center"/>
    </xf>
    <xf numFmtId="164" fontId="6" fillId="0" borderId="46" xfId="0" applyNumberFormat="1" applyFont="1" applyFill="1" applyBorder="1"/>
    <xf numFmtId="172" fontId="6" fillId="0" borderId="54" xfId="82" applyNumberFormat="1" applyFont="1" applyFill="1" applyBorder="1"/>
    <xf numFmtId="164" fontId="6" fillId="0" borderId="73" xfId="0" applyNumberFormat="1" applyFont="1" applyFill="1" applyBorder="1" applyAlignment="1">
      <alignment horizontal="center"/>
    </xf>
    <xf numFmtId="0" fontId="6" fillId="0" borderId="77" xfId="0" applyNumberFormat="1" applyFont="1" applyFill="1" applyBorder="1"/>
    <xf numFmtId="0" fontId="6" fillId="0" borderId="73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0" xfId="0" applyNumberFormat="1" applyFont="1" applyFill="1" applyBorder="1"/>
    <xf numFmtId="172" fontId="7" fillId="0" borderId="79" xfId="82" applyNumberFormat="1" applyFont="1" applyFill="1" applyBorder="1"/>
    <xf numFmtId="0" fontId="6" fillId="0" borderId="79" xfId="0" applyNumberFormat="1" applyFont="1" applyFill="1" applyBorder="1"/>
    <xf numFmtId="0" fontId="7" fillId="0" borderId="19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right"/>
    </xf>
    <xf numFmtId="3" fontId="7" fillId="0" borderId="72" xfId="0" applyNumberFormat="1" applyFont="1" applyFill="1" applyBorder="1" applyAlignment="1">
      <alignment horizontal="right"/>
    </xf>
    <xf numFmtId="0" fontId="6" fillId="0" borderId="7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9" xfId="0" applyFont="1" applyFill="1" applyBorder="1" applyAlignment="1">
      <alignment horizontal="center"/>
    </xf>
    <xf numFmtId="164" fontId="6" fillId="0" borderId="72" xfId="86" applyNumberFormat="1" applyFont="1" applyBorder="1" applyAlignment="1">
      <alignment horizontal="right"/>
    </xf>
    <xf numFmtId="164" fontId="6" fillId="0" borderId="70" xfId="0" applyNumberFormat="1" applyFont="1" applyFill="1" applyBorder="1" applyAlignment="1">
      <alignment horizontal="right"/>
    </xf>
    <xf numFmtId="164" fontId="6" fillId="0" borderId="55" xfId="86" applyNumberFormat="1" applyFont="1" applyFill="1" applyBorder="1" applyAlignment="1">
      <alignment horizontal="right"/>
    </xf>
    <xf numFmtId="164" fontId="6" fillId="0" borderId="55" xfId="86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64" fontId="6" fillId="0" borderId="99" xfId="0" applyNumberFormat="1" applyFont="1" applyFill="1" applyBorder="1"/>
    <xf numFmtId="0" fontId="6" fillId="0" borderId="41" xfId="0" applyFont="1" applyFill="1" applyBorder="1" applyAlignment="1">
      <alignment horizontal="right"/>
    </xf>
    <xf numFmtId="164" fontId="6" fillId="0" borderId="78" xfId="86" applyNumberFormat="1" applyFont="1" applyFill="1" applyBorder="1" applyAlignment="1">
      <alignment horizontal="center"/>
    </xf>
    <xf numFmtId="167" fontId="6" fillId="0" borderId="55" xfId="0" applyNumberFormat="1" applyFont="1" applyFill="1" applyBorder="1"/>
    <xf numFmtId="164" fontId="6" fillId="0" borderId="77" xfId="86" applyNumberFormat="1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169" fontId="6" fillId="0" borderId="78" xfId="0" applyNumberFormat="1" applyFont="1" applyFill="1" applyBorder="1" applyAlignment="1">
      <alignment horizontal="center"/>
    </xf>
    <xf numFmtId="164" fontId="6" fillId="0" borderId="55" xfId="86" applyNumberFormat="1" applyFont="1" applyFill="1" applyBorder="1"/>
    <xf numFmtId="0" fontId="6" fillId="25" borderId="78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43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3" fontId="6" fillId="0" borderId="46" xfId="0" applyNumberFormat="1" applyFont="1" applyFill="1" applyBorder="1"/>
    <xf numFmtId="172" fontId="6" fillId="0" borderId="29" xfId="82" applyNumberFormat="1" applyFont="1" applyFill="1" applyBorder="1"/>
    <xf numFmtId="0" fontId="6" fillId="0" borderId="46" xfId="0" applyNumberFormat="1" applyFont="1" applyFill="1" applyBorder="1"/>
    <xf numFmtId="167" fontId="6" fillId="0" borderId="34" xfId="0" applyNumberFormat="1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 horizontal="right"/>
    </xf>
    <xf numFmtId="164" fontId="6" fillId="0" borderId="33" xfId="86" applyNumberFormat="1" applyFont="1" applyFill="1" applyBorder="1" applyAlignment="1">
      <alignment horizontal="right"/>
    </xf>
    <xf numFmtId="169" fontId="6" fillId="0" borderId="34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right"/>
    </xf>
    <xf numFmtId="164" fontId="6" fillId="0" borderId="30" xfId="86" applyNumberFormat="1" applyFont="1" applyFill="1" applyBorder="1" applyAlignment="1">
      <alignment horizontal="right"/>
    </xf>
    <xf numFmtId="164" fontId="6" fillId="0" borderId="30" xfId="86" applyNumberFormat="1" applyFont="1" applyFill="1" applyBorder="1"/>
    <xf numFmtId="5" fontId="6" fillId="0" borderId="55" xfId="0" applyNumberFormat="1" applyFont="1" applyFill="1" applyBorder="1" applyAlignment="1">
      <alignment horizontal="right"/>
    </xf>
    <xf numFmtId="5" fontId="6" fillId="0" borderId="30" xfId="0" applyNumberFormat="1" applyFont="1" applyFill="1" applyBorder="1" applyAlignment="1">
      <alignment horizontal="right"/>
    </xf>
    <xf numFmtId="164" fontId="6" fillId="0" borderId="55" xfId="0" applyNumberFormat="1" applyFont="1" applyFill="1" applyBorder="1" applyAlignment="1">
      <alignment horizontal="right"/>
    </xf>
    <xf numFmtId="164" fontId="6" fillId="0" borderId="30" xfId="0" applyNumberFormat="1" applyFont="1" applyFill="1" applyBorder="1" applyAlignment="1">
      <alignment horizontal="right"/>
    </xf>
    <xf numFmtId="164" fontId="6" fillId="0" borderId="77" xfId="0" applyNumberFormat="1" applyFont="1" applyFill="1" applyBorder="1" applyAlignment="1">
      <alignment horizontal="right"/>
    </xf>
    <xf numFmtId="164" fontId="6" fillId="0" borderId="46" xfId="0" applyNumberFormat="1" applyFont="1" applyFill="1" applyBorder="1" applyAlignment="1">
      <alignment horizontal="right"/>
    </xf>
    <xf numFmtId="5" fontId="6" fillId="0" borderId="77" xfId="0" applyNumberFormat="1" applyFont="1" applyFill="1" applyBorder="1" applyAlignment="1">
      <alignment horizontal="right"/>
    </xf>
    <xf numFmtId="5" fontId="6" fillId="0" borderId="78" xfId="0" applyNumberFormat="1" applyFont="1" applyFill="1" applyBorder="1" applyAlignment="1">
      <alignment horizontal="right"/>
    </xf>
    <xf numFmtId="0" fontId="6" fillId="0" borderId="77" xfId="0" applyNumberFormat="1" applyFont="1" applyFill="1" applyBorder="1" applyAlignment="1">
      <alignment horizontal="right"/>
    </xf>
    <xf numFmtId="0" fontId="6" fillId="0" borderId="11" xfId="0" applyFont="1" applyFill="1" applyBorder="1"/>
    <xf numFmtId="0" fontId="6" fillId="0" borderId="94" xfId="0" applyFont="1" applyFill="1" applyBorder="1"/>
    <xf numFmtId="0" fontId="6" fillId="0" borderId="20" xfId="0" applyFont="1" applyFill="1" applyBorder="1"/>
    <xf numFmtId="0" fontId="7" fillId="0" borderId="11" xfId="0" applyFont="1" applyFill="1" applyBorder="1"/>
    <xf numFmtId="1" fontId="6" fillId="0" borderId="30" xfId="0" applyNumberFormat="1" applyFont="1" applyFill="1" applyBorder="1" applyAlignment="1">
      <alignment horizontal="center"/>
    </xf>
    <xf numFmtId="3" fontId="6" fillId="0" borderId="74" xfId="82" applyNumberFormat="1" applyFont="1" applyBorder="1" applyAlignment="1">
      <alignment horizontal="center"/>
    </xf>
    <xf numFmtId="0" fontId="6" fillId="0" borderId="70" xfId="0" applyNumberFormat="1" applyFont="1" applyBorder="1" applyAlignment="1">
      <alignment horizontal="center"/>
    </xf>
    <xf numFmtId="0" fontId="6" fillId="0" borderId="70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11" fillId="0" borderId="9" xfId="0" applyFont="1" applyFill="1" applyBorder="1"/>
    <xf numFmtId="0" fontId="7" fillId="0" borderId="99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5" fontId="6" fillId="0" borderId="29" xfId="0" applyNumberFormat="1" applyFont="1" applyFill="1" applyBorder="1" applyAlignment="1">
      <alignment horizontal="right"/>
    </xf>
    <xf numFmtId="167" fontId="6" fillId="0" borderId="33" xfId="0" applyNumberFormat="1" applyFont="1" applyFill="1" applyBorder="1" applyAlignment="1">
      <alignment horizontal="right"/>
    </xf>
    <xf numFmtId="164" fontId="6" fillId="0" borderId="72" xfId="86" applyNumberFormat="1" applyFont="1" applyFill="1" applyBorder="1" applyAlignment="1">
      <alignment horizontal="right"/>
    </xf>
    <xf numFmtId="0" fontId="11" fillId="0" borderId="56" xfId="0" applyFont="1" applyFill="1" applyBorder="1" applyAlignment="1">
      <alignment horizontal="left" indent="1"/>
    </xf>
    <xf numFmtId="164" fontId="6" fillId="0" borderId="46" xfId="86" applyNumberFormat="1" applyFont="1" applyFill="1" applyBorder="1" applyAlignment="1">
      <alignment horizontal="right"/>
    </xf>
    <xf numFmtId="164" fontId="6" fillId="0" borderId="76" xfId="0" applyNumberFormat="1" applyFont="1" applyFill="1" applyBorder="1" applyAlignment="1">
      <alignment horizontal="right"/>
    </xf>
    <xf numFmtId="164" fontId="6" fillId="0" borderId="77" xfId="86" applyNumberFormat="1" applyFont="1" applyFill="1" applyBorder="1" applyAlignment="1">
      <alignment horizontal="right"/>
    </xf>
    <xf numFmtId="1" fontId="6" fillId="0" borderId="73" xfId="0" applyNumberFormat="1" applyFont="1" applyFill="1" applyBorder="1" applyAlignment="1">
      <alignment horizontal="center"/>
    </xf>
    <xf numFmtId="1" fontId="6" fillId="0" borderId="32" xfId="0" applyNumberFormat="1" applyFont="1" applyFill="1" applyBorder="1"/>
    <xf numFmtId="1" fontId="6" fillId="0" borderId="32" xfId="0" applyNumberFormat="1" applyFont="1" applyFill="1" applyBorder="1" applyAlignment="1">
      <alignment horizontal="center"/>
    </xf>
    <xf numFmtId="1" fontId="6" fillId="0" borderId="77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" fontId="6" fillId="0" borderId="0" xfId="0" applyNumberFormat="1" applyFont="1" applyFill="1" applyBorder="1" applyAlignment="1">
      <alignment horizontal="center"/>
    </xf>
    <xf numFmtId="3" fontId="6" fillId="0" borderId="42" xfId="0" applyNumberFormat="1" applyFont="1" applyFill="1" applyBorder="1"/>
    <xf numFmtId="3" fontId="6" fillId="0" borderId="29" xfId="0" applyNumberFormat="1" applyFont="1" applyFill="1" applyBorder="1"/>
    <xf numFmtId="167" fontId="6" fillId="0" borderId="54" xfId="0" applyNumberFormat="1" applyFont="1" applyBorder="1"/>
    <xf numFmtId="167" fontId="6" fillId="0" borderId="33" xfId="0" applyNumberFormat="1" applyFont="1" applyFill="1" applyBorder="1" applyAlignment="1" applyProtection="1"/>
    <xf numFmtId="167" fontId="6" fillId="0" borderId="71" xfId="0" applyNumberFormat="1" applyFont="1" applyFill="1" applyBorder="1"/>
    <xf numFmtId="167" fontId="6" fillId="0" borderId="29" xfId="0" applyNumberFormat="1" applyFont="1" applyBorder="1" applyAlignment="1">
      <alignment horizontal="right"/>
    </xf>
    <xf numFmtId="3" fontId="13" fillId="0" borderId="29" xfId="0" applyNumberFormat="1" applyFont="1" applyFill="1" applyBorder="1"/>
    <xf numFmtId="167" fontId="13" fillId="0" borderId="54" xfId="0" applyNumberFormat="1" applyFont="1" applyBorder="1"/>
    <xf numFmtId="167" fontId="13" fillId="0" borderId="33" xfId="0" applyNumberFormat="1" applyFont="1" applyFill="1" applyBorder="1" applyAlignment="1" applyProtection="1"/>
    <xf numFmtId="167" fontId="13" fillId="0" borderId="72" xfId="0" applyNumberFormat="1" applyFont="1" applyFill="1" applyBorder="1" applyAlignment="1" applyProtection="1"/>
    <xf numFmtId="167" fontId="13" fillId="0" borderId="71" xfId="0" applyNumberFormat="1" applyFont="1" applyFill="1" applyBorder="1"/>
    <xf numFmtId="164" fontId="13" fillId="0" borderId="71" xfId="0" applyNumberFormat="1" applyFont="1" applyFill="1" applyBorder="1"/>
    <xf numFmtId="167" fontId="13" fillId="0" borderId="29" xfId="0" applyNumberFormat="1" applyFont="1" applyFill="1" applyBorder="1"/>
    <xf numFmtId="167" fontId="6" fillId="0" borderId="78" xfId="0" applyNumberFormat="1" applyFont="1" applyFill="1" applyBorder="1" applyAlignment="1">
      <alignment horizontal="right"/>
    </xf>
    <xf numFmtId="167" fontId="6" fillId="0" borderId="55" xfId="0" applyNumberFormat="1" applyFont="1" applyFill="1" applyBorder="1" applyAlignment="1">
      <alignment horizontal="right"/>
    </xf>
    <xf numFmtId="167" fontId="6" fillId="0" borderId="55" xfId="0" applyNumberFormat="1" applyFont="1" applyBorder="1" applyAlignment="1">
      <alignment horizontal="right"/>
    </xf>
    <xf numFmtId="3" fontId="6" fillId="0" borderId="34" xfId="82" applyNumberFormat="1" applyFont="1" applyBorder="1" applyAlignment="1">
      <alignment horizontal="center"/>
    </xf>
    <xf numFmtId="167" fontId="6" fillId="0" borderId="34" xfId="82" applyNumberFormat="1" applyFont="1" applyBorder="1" applyAlignment="1">
      <alignment horizontal="right"/>
    </xf>
    <xf numFmtId="164" fontId="6" fillId="0" borderId="55" xfId="0" applyNumberFormat="1" applyFont="1" applyBorder="1" applyAlignment="1">
      <alignment horizontal="right"/>
    </xf>
    <xf numFmtId="164" fontId="6" fillId="0" borderId="77" xfId="86" applyNumberFormat="1" applyFont="1" applyBorder="1" applyAlignment="1">
      <alignment horizontal="right"/>
    </xf>
    <xf numFmtId="164" fontId="6" fillId="0" borderId="34" xfId="86" applyNumberFormat="1" applyFont="1" applyFill="1" applyBorder="1" applyAlignment="1">
      <alignment horizontal="right"/>
    </xf>
    <xf numFmtId="164" fontId="6" fillId="0" borderId="78" xfId="86" applyNumberFormat="1" applyFont="1" applyFill="1" applyBorder="1" applyAlignment="1">
      <alignment horizontal="right"/>
    </xf>
    <xf numFmtId="1" fontId="6" fillId="0" borderId="42" xfId="0" applyNumberFormat="1" applyFont="1" applyBorder="1" applyAlignment="1">
      <alignment horizontal="center"/>
    </xf>
    <xf numFmtId="164" fontId="6" fillId="0" borderId="54" xfId="0" applyNumberFormat="1" applyFont="1" applyBorder="1" applyAlignment="1"/>
    <xf numFmtId="164" fontId="6" fillId="0" borderId="46" xfId="86" applyNumberFormat="1" applyFont="1" applyBorder="1" applyAlignment="1"/>
    <xf numFmtId="164" fontId="6" fillId="0" borderId="30" xfId="86" applyNumberFormat="1" applyFont="1" applyBorder="1" applyAlignment="1"/>
    <xf numFmtId="167" fontId="6" fillId="0" borderId="30" xfId="0" applyNumberFormat="1" applyFont="1" applyBorder="1"/>
    <xf numFmtId="5" fontId="6" fillId="0" borderId="78" xfId="0" applyNumberFormat="1" applyFont="1" applyBorder="1" applyAlignment="1"/>
    <xf numFmtId="169" fontId="6" fillId="0" borderId="78" xfId="0" applyNumberFormat="1" applyFont="1" applyFill="1" applyBorder="1" applyAlignment="1">
      <alignment horizontal="right"/>
    </xf>
    <xf numFmtId="167" fontId="6" fillId="0" borderId="30" xfId="0" applyNumberFormat="1" applyFont="1" applyFill="1" applyBorder="1"/>
    <xf numFmtId="169" fontId="6" fillId="0" borderId="34" xfId="0" applyNumberFormat="1" applyFont="1" applyFill="1" applyBorder="1" applyAlignment="1">
      <alignment horizontal="right"/>
    </xf>
    <xf numFmtId="167" fontId="6" fillId="0" borderId="77" xfId="0" applyNumberFormat="1" applyFont="1" applyFill="1" applyBorder="1"/>
    <xf numFmtId="167" fontId="6" fillId="0" borderId="46" xfId="0" applyNumberFormat="1" applyFont="1" applyFill="1" applyBorder="1" applyAlignment="1">
      <alignment horizontal="right"/>
    </xf>
    <xf numFmtId="167" fontId="6" fillId="0" borderId="46" xfId="0" applyNumberFormat="1" applyFont="1" applyBorder="1" applyAlignment="1">
      <alignment horizontal="right"/>
    </xf>
    <xf numFmtId="1" fontId="6" fillId="0" borderId="76" xfId="0" applyNumberFormat="1" applyFont="1" applyFill="1" applyBorder="1" applyAlignment="1">
      <alignment horizontal="center"/>
    </xf>
    <xf numFmtId="167" fontId="6" fillId="0" borderId="77" xfId="0" applyNumberFormat="1" applyFont="1" applyFill="1" applyBorder="1" applyAlignment="1"/>
    <xf numFmtId="1" fontId="6" fillId="0" borderId="70" xfId="0" applyNumberFormat="1" applyFont="1" applyFill="1" applyBorder="1" applyAlignment="1">
      <alignment horizontal="center"/>
    </xf>
    <xf numFmtId="167" fontId="6" fillId="0" borderId="78" xfId="82" applyNumberFormat="1" applyFont="1" applyBorder="1" applyAlignment="1">
      <alignment horizontal="right"/>
    </xf>
    <xf numFmtId="167" fontId="13" fillId="0" borderId="79" xfId="0" applyNumberFormat="1" applyFont="1" applyBorder="1"/>
    <xf numFmtId="167" fontId="13" fillId="0" borderId="0" xfId="0" applyNumberFormat="1" applyFont="1"/>
    <xf numFmtId="167" fontId="13" fillId="0" borderId="99" xfId="0" applyNumberFormat="1" applyFont="1" applyFill="1" applyBorder="1" applyAlignment="1" applyProtection="1"/>
    <xf numFmtId="1" fontId="6" fillId="0" borderId="74" xfId="0" applyNumberFormat="1" applyFont="1" applyBorder="1"/>
    <xf numFmtId="4" fontId="6" fillId="0" borderId="30" xfId="0" applyNumberFormat="1" applyFont="1" applyFill="1" applyBorder="1"/>
    <xf numFmtId="167" fontId="6" fillId="0" borderId="42" xfId="0" applyNumberFormat="1" applyFont="1" applyFill="1" applyBorder="1"/>
    <xf numFmtId="167" fontId="13" fillId="0" borderId="0" xfId="0" applyNumberFormat="1" applyFont="1" applyBorder="1"/>
    <xf numFmtId="167" fontId="13" fillId="0" borderId="42" xfId="0" applyNumberFormat="1" applyFont="1" applyFill="1" applyBorder="1"/>
    <xf numFmtId="167" fontId="13" fillId="0" borderId="0" xfId="0" applyNumberFormat="1" applyFont="1" applyFill="1"/>
    <xf numFmtId="167" fontId="6" fillId="0" borderId="54" xfId="0" applyNumberFormat="1" applyFont="1" applyFill="1" applyBorder="1"/>
    <xf numFmtId="167" fontId="6" fillId="0" borderId="0" xfId="0" applyNumberFormat="1" applyFont="1" applyFill="1" applyBorder="1" applyAlignment="1" applyProtection="1"/>
    <xf numFmtId="167" fontId="6" fillId="0" borderId="77" xfId="0" applyNumberFormat="1" applyFont="1" applyFill="1" applyBorder="1" applyAlignment="1">
      <alignment horizontal="right"/>
    </xf>
    <xf numFmtId="167" fontId="13" fillId="0" borderId="79" xfId="0" applyNumberFormat="1" applyFont="1" applyFill="1" applyBorder="1"/>
    <xf numFmtId="167" fontId="13" fillId="0" borderId="33" xfId="0" applyNumberFormat="1" applyFont="1" applyFill="1" applyBorder="1"/>
    <xf numFmtId="167" fontId="13" fillId="0" borderId="54" xfId="0" applyNumberFormat="1" applyFont="1" applyFill="1" applyBorder="1"/>
    <xf numFmtId="167" fontId="13" fillId="0" borderId="79" xfId="0" applyNumberFormat="1" applyFont="1" applyFill="1" applyBorder="1" applyAlignment="1" applyProtection="1"/>
    <xf numFmtId="1" fontId="6" fillId="0" borderId="34" xfId="0" applyNumberFormat="1" applyFont="1" applyFill="1" applyBorder="1" applyAlignment="1">
      <alignment horizontal="center"/>
    </xf>
    <xf numFmtId="164" fontId="6" fillId="0" borderId="76" xfId="0" applyNumberFormat="1" applyFont="1" applyFill="1" applyBorder="1" applyAlignment="1">
      <alignment horizontal="center"/>
    </xf>
    <xf numFmtId="1" fontId="6" fillId="0" borderId="74" xfId="0" applyNumberFormat="1" applyFont="1" applyFill="1" applyBorder="1" applyAlignment="1">
      <alignment horizontal="center"/>
    </xf>
    <xf numFmtId="164" fontId="13" fillId="0" borderId="29" xfId="0" applyNumberFormat="1" applyFont="1" applyFill="1" applyBorder="1"/>
    <xf numFmtId="167" fontId="6" fillId="0" borderId="0" xfId="0" applyNumberFormat="1" applyFont="1" applyFill="1"/>
    <xf numFmtId="167" fontId="13" fillId="0" borderId="0" xfId="0" applyNumberFormat="1" applyFont="1" applyFill="1" applyBorder="1"/>
    <xf numFmtId="167" fontId="13" fillId="0" borderId="0" xfId="0" applyNumberFormat="1" applyFont="1" applyFill="1" applyBorder="1" applyAlignment="1" applyProtection="1"/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13" fillId="0" borderId="42" xfId="0" applyNumberFormat="1" applyFont="1" applyFill="1" applyBorder="1"/>
    <xf numFmtId="164" fontId="13" fillId="0" borderId="33" xfId="86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7" fillId="0" borderId="19" xfId="0" applyFont="1" applyFill="1" applyBorder="1"/>
    <xf numFmtId="0" fontId="8" fillId="0" borderId="18" xfId="0" applyFont="1" applyFill="1" applyBorder="1"/>
    <xf numFmtId="0" fontId="12" fillId="0" borderId="30" xfId="0" applyFont="1" applyBorder="1" applyAlignment="1">
      <alignment horizontal="left" indent="1"/>
    </xf>
    <xf numFmtId="0" fontId="6" fillId="0" borderId="29" xfId="0" applyFont="1" applyBorder="1" applyAlignment="1">
      <alignment horizontal="left" indent="1"/>
    </xf>
    <xf numFmtId="0" fontId="6" fillId="0" borderId="30" xfId="0" applyFont="1" applyBorder="1" applyAlignment="1">
      <alignment horizontal="left" wrapText="1" indent="1"/>
    </xf>
    <xf numFmtId="0" fontId="7" fillId="0" borderId="30" xfId="0" applyFont="1" applyBorder="1" applyAlignment="1">
      <alignment horizontal="left" indent="1"/>
    </xf>
    <xf numFmtId="0" fontId="6" fillId="0" borderId="30" xfId="0" applyFont="1" applyBorder="1" applyAlignment="1">
      <alignment horizontal="left" indent="1"/>
    </xf>
    <xf numFmtId="0" fontId="7" fillId="0" borderId="46" xfId="0" applyFont="1" applyBorder="1" applyAlignment="1">
      <alignment horizontal="left" indent="1"/>
    </xf>
    <xf numFmtId="0" fontId="7" fillId="0" borderId="32" xfId="0" applyFont="1" applyBorder="1"/>
    <xf numFmtId="0" fontId="7" fillId="0" borderId="46" xfId="0" applyFont="1" applyBorder="1"/>
    <xf numFmtId="0" fontId="7" fillId="0" borderId="0" xfId="0" applyFont="1" applyBorder="1" applyAlignment="1">
      <alignment horizontal="left" indent="1"/>
    </xf>
    <xf numFmtId="0" fontId="6" fillId="0" borderId="33" xfId="0" applyFont="1" applyBorder="1" applyAlignment="1">
      <alignment horizontal="left" indent="1"/>
    </xf>
    <xf numFmtId="0" fontId="8" fillId="0" borderId="30" xfId="0" applyFont="1" applyBorder="1"/>
    <xf numFmtId="0" fontId="7" fillId="0" borderId="2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6" fillId="0" borderId="100" xfId="0" applyFont="1" applyBorder="1" applyAlignment="1">
      <alignment horizontal="right"/>
    </xf>
    <xf numFmtId="0" fontId="6" fillId="0" borderId="9" xfId="0" applyFont="1" applyBorder="1"/>
    <xf numFmtId="0" fontId="6" fillId="0" borderId="61" xfId="0" applyFont="1" applyBorder="1"/>
    <xf numFmtId="0" fontId="6" fillId="0" borderId="62" xfId="0" applyFont="1" applyBorder="1"/>
    <xf numFmtId="0" fontId="6" fillId="0" borderId="63" xfId="0" applyFont="1" applyBorder="1"/>
    <xf numFmtId="0" fontId="7" fillId="0" borderId="38" xfId="0" applyFont="1" applyFill="1" applyBorder="1"/>
    <xf numFmtId="0" fontId="8" fillId="0" borderId="36" xfId="0" applyFont="1" applyFill="1" applyBorder="1"/>
    <xf numFmtId="0" fontId="7" fillId="0" borderId="73" xfId="0" applyFont="1" applyFill="1" applyBorder="1"/>
    <xf numFmtId="0" fontId="8" fillId="0" borderId="55" xfId="0" applyFont="1" applyFill="1" applyBorder="1"/>
    <xf numFmtId="0" fontId="7" fillId="0" borderId="52" xfId="0" applyFont="1" applyFill="1" applyBorder="1"/>
    <xf numFmtId="0" fontId="12" fillId="0" borderId="55" xfId="0" applyFont="1" applyBorder="1" applyAlignment="1">
      <alignment horizontal="left" indent="1"/>
    </xf>
    <xf numFmtId="0" fontId="7" fillId="0" borderId="73" xfId="0" applyFont="1" applyBorder="1"/>
    <xf numFmtId="0" fontId="7" fillId="0" borderId="79" xfId="0" applyFont="1" applyBorder="1" applyAlignment="1">
      <alignment horizontal="left" indent="1"/>
    </xf>
    <xf numFmtId="0" fontId="8" fillId="0" borderId="55" xfId="0" applyFont="1" applyBorder="1"/>
    <xf numFmtId="0" fontId="7" fillId="0" borderId="54" xfId="0" applyFont="1" applyBorder="1"/>
    <xf numFmtId="0" fontId="7" fillId="0" borderId="101" xfId="0" applyFont="1" applyBorder="1" applyAlignment="1">
      <alignment horizontal="centerContinuous"/>
    </xf>
    <xf numFmtId="0" fontId="6" fillId="0" borderId="79" xfId="0" applyFont="1" applyBorder="1" applyAlignment="1">
      <alignment horizontal="center"/>
    </xf>
    <xf numFmtId="167" fontId="6" fillId="0" borderId="42" xfId="0" applyNumberFormat="1" applyFont="1" applyBorder="1"/>
    <xf numFmtId="0" fontId="7" fillId="0" borderId="15" xfId="0" applyFont="1" applyBorder="1" applyAlignment="1">
      <alignment horizontal="left"/>
    </xf>
    <xf numFmtId="164" fontId="6" fillId="0" borderId="74" xfId="0" applyNumberFormat="1" applyFont="1" applyFill="1" applyBorder="1" applyAlignment="1">
      <alignment horizontal="right"/>
    </xf>
    <xf numFmtId="164" fontId="6" fillId="0" borderId="30" xfId="86" applyNumberFormat="1" applyFont="1" applyFill="1" applyBorder="1" applyAlignment="1"/>
    <xf numFmtId="164" fontId="6" fillId="0" borderId="70" xfId="0" applyNumberFormat="1" applyFont="1" applyFill="1" applyBorder="1" applyAlignment="1"/>
    <xf numFmtId="164" fontId="6" fillId="0" borderId="55" xfId="86" applyNumberFormat="1" applyFont="1" applyFill="1" applyBorder="1" applyAlignment="1"/>
    <xf numFmtId="164" fontId="6" fillId="0" borderId="30" xfId="0" applyNumberFormat="1" applyFont="1" applyFill="1" applyBorder="1" applyAlignment="1"/>
    <xf numFmtId="164" fontId="6" fillId="0" borderId="34" xfId="86" applyNumberFormat="1" applyFont="1" applyFill="1" applyBorder="1" applyAlignment="1"/>
    <xf numFmtId="164" fontId="6" fillId="0" borderId="74" xfId="0" applyNumberFormat="1" applyFont="1" applyFill="1" applyBorder="1" applyAlignment="1"/>
    <xf numFmtId="164" fontId="6" fillId="0" borderId="78" xfId="86" applyNumberFormat="1" applyFont="1" applyFill="1" applyBorder="1" applyAlignment="1"/>
    <xf numFmtId="164" fontId="6" fillId="0" borderId="34" xfId="0" applyNumberFormat="1" applyFont="1" applyFill="1" applyBorder="1" applyAlignment="1"/>
    <xf numFmtId="172" fontId="7" fillId="0" borderId="78" xfId="82" applyNumberFormat="1" applyFont="1" applyFill="1" applyBorder="1"/>
    <xf numFmtId="0" fontId="7" fillId="0" borderId="88" xfId="0" applyFont="1" applyBorder="1"/>
    <xf numFmtId="0" fontId="7" fillId="0" borderId="102" xfId="0" applyFont="1" applyBorder="1"/>
    <xf numFmtId="0" fontId="12" fillId="0" borderId="29" xfId="0" applyFont="1" applyBorder="1" applyAlignment="1">
      <alignment horizontal="left" indent="1"/>
    </xf>
    <xf numFmtId="0" fontId="6" fillId="0" borderId="103" xfId="0" applyFont="1" applyBorder="1"/>
    <xf numFmtId="0" fontId="12" fillId="0" borderId="52" xfId="0" applyFont="1" applyBorder="1" applyAlignment="1">
      <alignment horizontal="left" indent="1"/>
    </xf>
    <xf numFmtId="5" fontId="6" fillId="0" borderId="72" xfId="0" applyNumberFormat="1" applyFont="1" applyFill="1" applyBorder="1" applyAlignment="1">
      <alignment horizontal="right"/>
    </xf>
    <xf numFmtId="167" fontId="6" fillId="0" borderId="29" xfId="0" applyNumberFormat="1" applyFont="1" applyFill="1" applyBorder="1"/>
    <xf numFmtId="167" fontId="6" fillId="0" borderId="104" xfId="0" applyNumberFormat="1" applyFont="1" applyFill="1" applyBorder="1" applyAlignment="1" applyProtection="1"/>
    <xf numFmtId="167" fontId="6" fillId="0" borderId="99" xfId="0" applyNumberFormat="1" applyFont="1" applyFill="1" applyBorder="1" applyAlignment="1" applyProtection="1"/>
    <xf numFmtId="3" fontId="6" fillId="0" borderId="99" xfId="0" applyNumberFormat="1" applyFont="1" applyFill="1" applyBorder="1"/>
    <xf numFmtId="0" fontId="11" fillId="0" borderId="9" xfId="0" applyFont="1" applyFill="1" applyBorder="1" applyAlignment="1">
      <alignment horizontal="left"/>
    </xf>
    <xf numFmtId="1" fontId="0" fillId="0" borderId="0" xfId="0" applyNumberFormat="1"/>
    <xf numFmtId="1" fontId="6" fillId="0" borderId="0" xfId="0" applyNumberFormat="1" applyFont="1"/>
    <xf numFmtId="1" fontId="6" fillId="0" borderId="0" xfId="0" applyNumberFormat="1" applyFont="1" applyFill="1"/>
    <xf numFmtId="1" fontId="4" fillId="0" borderId="0" xfId="0" applyNumberFormat="1" applyFont="1"/>
    <xf numFmtId="1" fontId="7" fillId="0" borderId="0" xfId="0" applyNumberFormat="1" applyFont="1"/>
    <xf numFmtId="1" fontId="7" fillId="0" borderId="14" xfId="0" applyNumberFormat="1" applyFont="1" applyBorder="1" applyAlignment="1">
      <alignment horizontal="centerContinuous"/>
    </xf>
    <xf numFmtId="1" fontId="7" fillId="0" borderId="39" xfId="0" applyNumberFormat="1" applyFont="1" applyBorder="1" applyAlignment="1">
      <alignment horizontal="centerContinuous"/>
    </xf>
    <xf numFmtId="1" fontId="7" fillId="0" borderId="28" xfId="0" applyNumberFormat="1" applyFont="1" applyBorder="1" applyAlignment="1">
      <alignment horizontal="centerContinuous"/>
    </xf>
    <xf numFmtId="1" fontId="7" fillId="0" borderId="12" xfId="0" applyNumberFormat="1" applyFont="1" applyBorder="1" applyAlignment="1">
      <alignment horizontal="centerContinuous"/>
    </xf>
    <xf numFmtId="1" fontId="7" fillId="0" borderId="14" xfId="0" applyNumberFormat="1" applyFont="1" applyFill="1" applyBorder="1" applyAlignment="1">
      <alignment horizontal="centerContinuous"/>
    </xf>
    <xf numFmtId="1" fontId="7" fillId="0" borderId="39" xfId="0" applyNumberFormat="1" applyFont="1" applyFill="1" applyBorder="1" applyAlignment="1">
      <alignment horizontal="centerContinuous"/>
    </xf>
    <xf numFmtId="1" fontId="6" fillId="0" borderId="47" xfId="0" applyNumberFormat="1" applyFont="1" applyBorder="1"/>
    <xf numFmtId="1" fontId="7" fillId="0" borderId="35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1" fontId="7" fillId="0" borderId="37" xfId="0" applyNumberFormat="1" applyFont="1" applyFill="1" applyBorder="1" applyAlignment="1">
      <alignment horizontal="center"/>
    </xf>
    <xf numFmtId="1" fontId="7" fillId="0" borderId="35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1" fontId="7" fillId="0" borderId="60" xfId="0" applyNumberFormat="1" applyFont="1" applyFill="1" applyBorder="1" applyAlignment="1">
      <alignment horizontal="center"/>
    </xf>
    <xf numFmtId="1" fontId="6" fillId="0" borderId="48" xfId="0" applyNumberFormat="1" applyFont="1" applyBorder="1"/>
    <xf numFmtId="1" fontId="7" fillId="0" borderId="22" xfId="0" applyNumberFormat="1" applyFont="1" applyFill="1" applyBorder="1" applyAlignment="1">
      <alignment horizontal="center"/>
    </xf>
    <xf numFmtId="1" fontId="7" fillId="0" borderId="41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" fontId="7" fillId="0" borderId="43" xfId="0" applyNumberFormat="1" applyFont="1" applyFill="1" applyBorder="1" applyAlignment="1">
      <alignment horizontal="center"/>
    </xf>
    <xf numFmtId="1" fontId="7" fillId="0" borderId="49" xfId="0" applyNumberFormat="1" applyFont="1" applyBorder="1"/>
    <xf numFmtId="1" fontId="7" fillId="0" borderId="29" xfId="0" applyNumberFormat="1" applyFont="1" applyFill="1" applyBorder="1" applyAlignment="1">
      <alignment horizontal="center"/>
    </xf>
    <xf numFmtId="1" fontId="7" fillId="0" borderId="61" xfId="0" applyNumberFormat="1" applyFont="1" applyFill="1" applyBorder="1" applyAlignment="1">
      <alignment horizontal="center"/>
    </xf>
    <xf numFmtId="1" fontId="8" fillId="0" borderId="50" xfId="0" applyNumberFormat="1" applyFont="1" applyFill="1" applyBorder="1" applyAlignment="1">
      <alignment horizontal="left"/>
    </xf>
    <xf numFmtId="1" fontId="6" fillId="0" borderId="22" xfId="0" applyNumberFormat="1" applyFont="1" applyFill="1" applyBorder="1"/>
    <xf numFmtId="1" fontId="6" fillId="0" borderId="41" xfId="0" applyNumberFormat="1" applyFont="1" applyFill="1" applyBorder="1"/>
    <xf numFmtId="1" fontId="6" fillId="0" borderId="21" xfId="0" applyNumberFormat="1" applyFont="1" applyFill="1" applyBorder="1"/>
    <xf numFmtId="1" fontId="6" fillId="0" borderId="15" xfId="0" applyNumberFormat="1" applyFont="1" applyFill="1" applyBorder="1"/>
    <xf numFmtId="1" fontId="6" fillId="0" borderId="18" xfId="0" applyNumberFormat="1" applyFont="1" applyFill="1" applyBorder="1"/>
    <xf numFmtId="1" fontId="6" fillId="0" borderId="29" xfId="0" applyNumberFormat="1" applyFont="1" applyFill="1" applyBorder="1"/>
    <xf numFmtId="1" fontId="0" fillId="0" borderId="15" xfId="0" applyNumberFormat="1" applyFill="1" applyBorder="1"/>
    <xf numFmtId="1" fontId="6" fillId="0" borderId="61" xfId="0" applyNumberFormat="1" applyFont="1" applyFill="1" applyBorder="1"/>
    <xf numFmtId="1" fontId="6" fillId="0" borderId="50" xfId="0" applyNumberFormat="1" applyFont="1" applyFill="1" applyBorder="1" applyAlignment="1">
      <alignment horizontal="right"/>
    </xf>
    <xf numFmtId="1" fontId="6" fillId="24" borderId="22" xfId="0" applyNumberFormat="1" applyFont="1" applyFill="1" applyBorder="1"/>
    <xf numFmtId="1" fontId="6" fillId="24" borderId="41" xfId="0" applyNumberFormat="1" applyFont="1" applyFill="1" applyBorder="1"/>
    <xf numFmtId="1" fontId="13" fillId="0" borderId="15" xfId="0" applyNumberFormat="1" applyFont="1" applyFill="1" applyBorder="1"/>
    <xf numFmtId="1" fontId="6" fillId="0" borderId="36" xfId="0" applyNumberFormat="1" applyFont="1" applyFill="1" applyBorder="1" applyAlignment="1">
      <alignment horizontal="center"/>
    </xf>
    <xf numFmtId="1" fontId="6" fillId="0" borderId="41" xfId="0" applyNumberFormat="1" applyFont="1" applyFill="1" applyBorder="1" applyAlignment="1">
      <alignment horizontal="right"/>
    </xf>
    <xf numFmtId="1" fontId="6" fillId="24" borderId="18" xfId="0" applyNumberFormat="1" applyFont="1" applyFill="1" applyBorder="1"/>
    <xf numFmtId="1" fontId="6" fillId="24" borderId="29" xfId="0" applyNumberFormat="1" applyFont="1" applyFill="1" applyBorder="1"/>
    <xf numFmtId="1" fontId="6" fillId="0" borderId="15" xfId="0" applyNumberFormat="1" applyFont="1" applyFill="1" applyBorder="1" applyAlignment="1">
      <alignment horizontal="right"/>
    </xf>
    <xf numFmtId="1" fontId="6" fillId="0" borderId="36" xfId="0" applyNumberFormat="1" applyFont="1" applyFill="1" applyBorder="1" applyAlignment="1">
      <alignment horizontal="right"/>
    </xf>
    <xf numFmtId="1" fontId="6" fillId="0" borderId="18" xfId="0" applyNumberFormat="1" applyFont="1" applyFill="1" applyBorder="1" applyAlignment="1">
      <alignment horizontal="right"/>
    </xf>
    <xf numFmtId="1" fontId="6" fillId="0" borderId="13" xfId="0" applyNumberFormat="1" applyFont="1" applyFill="1" applyBorder="1" applyAlignment="1">
      <alignment horizontal="right"/>
    </xf>
    <xf numFmtId="1" fontId="6" fillId="0" borderId="3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Border="1"/>
    <xf numFmtId="1" fontId="6" fillId="0" borderId="50" xfId="0" applyNumberFormat="1" applyFont="1" applyBorder="1" applyAlignment="1">
      <alignment horizontal="right"/>
    </xf>
    <xf numFmtId="1" fontId="6" fillId="0" borderId="3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6" fillId="0" borderId="18" xfId="0" applyNumberFormat="1" applyFont="1" applyBorder="1" applyAlignment="1">
      <alignment horizontal="right"/>
    </xf>
    <xf numFmtId="1" fontId="7" fillId="0" borderId="15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" fontId="7" fillId="0" borderId="59" xfId="0" applyNumberFormat="1" applyFont="1" applyFill="1" applyBorder="1" applyAlignment="1">
      <alignment horizontal="center"/>
    </xf>
    <xf numFmtId="1" fontId="6" fillId="0" borderId="43" xfId="0" applyNumberFormat="1" applyFont="1" applyFill="1" applyBorder="1"/>
    <xf numFmtId="1" fontId="7" fillId="0" borderId="18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36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6" fillId="0" borderId="22" xfId="0" applyNumberFormat="1" applyFont="1" applyBorder="1"/>
    <xf numFmtId="1" fontId="6" fillId="0" borderId="41" xfId="0" applyNumberFormat="1" applyFont="1" applyBorder="1"/>
    <xf numFmtId="1" fontId="6" fillId="0" borderId="21" xfId="0" applyNumberFormat="1" applyFont="1" applyBorder="1"/>
    <xf numFmtId="1" fontId="6" fillId="0" borderId="38" xfId="0" applyNumberFormat="1" applyFont="1" applyBorder="1"/>
    <xf numFmtId="1" fontId="6" fillId="0" borderId="19" xfId="0" applyNumberFormat="1" applyFont="1" applyBorder="1"/>
    <xf numFmtId="1" fontId="6" fillId="0" borderId="17" xfId="0" applyNumberFormat="1" applyFont="1" applyBorder="1"/>
    <xf numFmtId="1" fontId="6" fillId="0" borderId="86" xfId="0" applyNumberFormat="1" applyFont="1" applyFill="1" applyBorder="1"/>
    <xf numFmtId="1" fontId="6" fillId="0" borderId="38" xfId="0" applyNumberFormat="1" applyFont="1" applyFill="1" applyBorder="1"/>
    <xf numFmtId="1" fontId="6" fillId="0" borderId="19" xfId="0" applyNumberFormat="1" applyFont="1" applyFill="1" applyBorder="1"/>
    <xf numFmtId="1" fontId="6" fillId="0" borderId="17" xfId="0" applyNumberFormat="1" applyFont="1" applyFill="1" applyBorder="1"/>
    <xf numFmtId="1" fontId="6" fillId="0" borderId="85" xfId="0" applyNumberFormat="1" applyFont="1" applyFill="1" applyBorder="1"/>
    <xf numFmtId="1" fontId="6" fillId="0" borderId="18" xfId="0" applyNumberFormat="1" applyFont="1" applyBorder="1"/>
    <xf numFmtId="1" fontId="6" fillId="0" borderId="36" xfId="0" applyNumberFormat="1" applyFont="1" applyBorder="1"/>
    <xf numFmtId="1" fontId="6" fillId="0" borderId="13" xfId="0" applyNumberFormat="1" applyFont="1" applyBorder="1"/>
    <xf numFmtId="1" fontId="6" fillId="0" borderId="36" xfId="0" applyNumberFormat="1" applyFont="1" applyFill="1" applyBorder="1"/>
    <xf numFmtId="1" fontId="6" fillId="0" borderId="13" xfId="0" applyNumberFormat="1" applyFont="1" applyFill="1" applyBorder="1"/>
    <xf numFmtId="1" fontId="6" fillId="0" borderId="59" xfId="0" applyNumberFormat="1" applyFont="1" applyFill="1" applyBorder="1"/>
    <xf numFmtId="1" fontId="6" fillId="0" borderId="11" xfId="0" applyNumberFormat="1" applyFont="1" applyFill="1" applyBorder="1" applyAlignment="1">
      <alignment horizontal="right"/>
    </xf>
    <xf numFmtId="1" fontId="6" fillId="0" borderId="36" xfId="0" applyNumberFormat="1" applyFont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1" fontId="6" fillId="0" borderId="37" xfId="0" applyNumberFormat="1" applyFont="1" applyBorder="1" applyAlignment="1">
      <alignment horizontal="right"/>
    </xf>
    <xf numFmtId="1" fontId="6" fillId="0" borderId="27" xfId="0" applyNumberFormat="1" applyFont="1" applyBorder="1" applyAlignment="1">
      <alignment horizontal="right"/>
    </xf>
    <xf numFmtId="1" fontId="6" fillId="0" borderId="35" xfId="0" applyNumberFormat="1" applyFont="1" applyBorder="1" applyAlignment="1">
      <alignment horizontal="right"/>
    </xf>
    <xf numFmtId="1" fontId="6" fillId="24" borderId="35" xfId="0" applyNumberFormat="1" applyFont="1" applyFill="1" applyBorder="1" applyAlignment="1">
      <alignment horizontal="right"/>
    </xf>
    <xf numFmtId="1" fontId="6" fillId="24" borderId="37" xfId="0" applyNumberFormat="1" applyFont="1" applyFill="1" applyBorder="1" applyAlignment="1">
      <alignment horizontal="right"/>
    </xf>
    <xf numFmtId="1" fontId="6" fillId="24" borderId="27" xfId="0" applyNumberFormat="1" applyFont="1" applyFill="1" applyBorder="1" applyAlignment="1">
      <alignment horizontal="right"/>
    </xf>
    <xf numFmtId="1" fontId="6" fillId="24" borderId="26" xfId="0" applyNumberFormat="1" applyFont="1" applyFill="1" applyBorder="1" applyAlignment="1">
      <alignment horizontal="right"/>
    </xf>
    <xf numFmtId="1" fontId="6" fillId="0" borderId="26" xfId="0" applyNumberFormat="1" applyFont="1" applyFill="1" applyBorder="1" applyAlignment="1">
      <alignment horizontal="right"/>
    </xf>
    <xf numFmtId="1" fontId="6" fillId="0" borderId="57" xfId="0" applyNumberFormat="1" applyFont="1" applyBorder="1" applyAlignment="1">
      <alignment horizontal="right"/>
    </xf>
    <xf numFmtId="1" fontId="6" fillId="0" borderId="80" xfId="0" applyNumberFormat="1" applyFont="1" applyBorder="1" applyAlignment="1">
      <alignment horizontal="right"/>
    </xf>
    <xf numFmtId="1" fontId="6" fillId="0" borderId="81" xfId="0" applyNumberFormat="1" applyFont="1" applyBorder="1" applyAlignment="1">
      <alignment horizontal="right"/>
    </xf>
    <xf numFmtId="1" fontId="6" fillId="0" borderId="82" xfId="0" applyNumberFormat="1" applyFont="1" applyBorder="1" applyAlignment="1">
      <alignment horizontal="right"/>
    </xf>
    <xf numFmtId="1" fontId="6" fillId="0" borderId="44" xfId="0" applyNumberFormat="1" applyFont="1" applyFill="1" applyBorder="1" applyAlignment="1">
      <alignment horizontal="right"/>
    </xf>
    <xf numFmtId="1" fontId="6" fillId="0" borderId="80" xfId="0" applyNumberFormat="1" applyFont="1" applyFill="1" applyBorder="1" applyAlignment="1">
      <alignment horizontal="right"/>
    </xf>
    <xf numFmtId="1" fontId="6" fillId="0" borderId="82" xfId="0" applyNumberFormat="1" applyFont="1" applyFill="1" applyBorder="1" applyAlignment="1">
      <alignment horizontal="right"/>
    </xf>
    <xf numFmtId="1" fontId="6" fillId="0" borderId="81" xfId="0" applyNumberFormat="1" applyFont="1" applyFill="1" applyBorder="1" applyAlignment="1">
      <alignment horizontal="right"/>
    </xf>
    <xf numFmtId="1" fontId="11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6" fillId="0" borderId="84" xfId="0" applyNumberFormat="1" applyFont="1" applyFill="1" applyBorder="1"/>
    <xf numFmtId="1" fontId="6" fillId="0" borderId="22" xfId="0" applyNumberFormat="1" applyFont="1" applyBorder="1" applyAlignment="1">
      <alignment horizontal="right"/>
    </xf>
    <xf numFmtId="1" fontId="6" fillId="0" borderId="41" xfId="0" applyNumberFormat="1" applyFont="1" applyBorder="1" applyAlignment="1">
      <alignment horizontal="right"/>
    </xf>
    <xf numFmtId="1" fontId="13" fillId="0" borderId="15" xfId="0" applyNumberFormat="1" applyFont="1" applyBorder="1" applyAlignment="1">
      <alignment horizontal="right"/>
    </xf>
    <xf numFmtId="1" fontId="13" fillId="0" borderId="18" xfId="0" applyNumberFormat="1" applyFont="1" applyFill="1" applyBorder="1" applyAlignment="1">
      <alignment horizontal="right"/>
    </xf>
    <xf numFmtId="1" fontId="6" fillId="0" borderId="21" xfId="0" applyNumberFormat="1" applyFont="1" applyFill="1" applyBorder="1" applyAlignment="1">
      <alignment horizontal="right"/>
    </xf>
    <xf numFmtId="1" fontId="13" fillId="0" borderId="15" xfId="0" applyNumberFormat="1" applyFont="1" applyFill="1" applyBorder="1" applyAlignment="1">
      <alignment horizontal="right"/>
    </xf>
    <xf numFmtId="1" fontId="6" fillId="0" borderId="21" xfId="0" applyNumberFormat="1" applyFont="1" applyBorder="1" applyAlignment="1">
      <alignment horizontal="right"/>
    </xf>
    <xf numFmtId="1" fontId="6" fillId="0" borderId="37" xfId="0" applyNumberFormat="1" applyFont="1" applyFill="1" applyBorder="1" applyAlignment="1">
      <alignment horizontal="right"/>
    </xf>
    <xf numFmtId="1" fontId="6" fillId="0" borderId="27" xfId="0" applyNumberFormat="1" applyFont="1" applyFill="1" applyBorder="1" applyAlignment="1">
      <alignment horizontal="right"/>
    </xf>
    <xf numFmtId="1" fontId="13" fillId="0" borderId="44" xfId="0" applyNumberFormat="1" applyFont="1" applyBorder="1" applyAlignment="1">
      <alignment horizontal="right"/>
    </xf>
    <xf numFmtId="1" fontId="13" fillId="0" borderId="82" xfId="0" applyNumberFormat="1" applyFont="1" applyFill="1" applyBorder="1" applyAlignment="1">
      <alignment horizontal="right"/>
    </xf>
    <xf numFmtId="1" fontId="13" fillId="0" borderId="44" xfId="0" applyNumberFormat="1" applyFont="1" applyFill="1" applyBorder="1" applyAlignment="1">
      <alignment horizontal="right"/>
    </xf>
    <xf numFmtId="1" fontId="6" fillId="0" borderId="35" xfId="0" applyNumberFormat="1" applyFont="1" applyFill="1" applyBorder="1" applyAlignment="1">
      <alignment horizontal="right"/>
    </xf>
    <xf numFmtId="1" fontId="6" fillId="0" borderId="13" xfId="0" applyNumberFormat="1" applyFont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51" xfId="0" applyNumberFormat="1" applyFont="1" applyBorder="1" applyAlignment="1">
      <alignment horizontal="right"/>
    </xf>
    <xf numFmtId="1" fontId="13" fillId="0" borderId="105" xfId="0" applyNumberFormat="1" applyFont="1" applyBorder="1" applyAlignment="1">
      <alignment horizontal="right"/>
    </xf>
    <xf numFmtId="1" fontId="13" fillId="0" borderId="106" xfId="0" applyNumberFormat="1" applyFont="1" applyFill="1" applyBorder="1" applyAlignment="1">
      <alignment horizontal="right"/>
    </xf>
    <xf numFmtId="1" fontId="13" fillId="0" borderId="105" xfId="0" applyNumberFormat="1" applyFont="1" applyFill="1" applyBorder="1"/>
    <xf numFmtId="1" fontId="13" fillId="0" borderId="44" xfId="0" applyNumberFormat="1" applyFont="1" applyFill="1" applyBorder="1"/>
    <xf numFmtId="1" fontId="6" fillId="0" borderId="75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right"/>
    </xf>
    <xf numFmtId="1" fontId="6" fillId="0" borderId="44" xfId="0" applyNumberFormat="1" applyFont="1" applyBorder="1" applyAlignment="1">
      <alignment horizontal="right"/>
    </xf>
    <xf numFmtId="1" fontId="13" fillId="0" borderId="75" xfId="0" applyNumberFormat="1" applyFont="1" applyBorder="1" applyAlignment="1">
      <alignment horizontal="right"/>
    </xf>
    <xf numFmtId="1" fontId="13" fillId="0" borderId="36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" fontId="13" fillId="0" borderId="13" xfId="0" applyNumberFormat="1" applyFont="1" applyFill="1" applyBorder="1" applyAlignment="1">
      <alignment horizontal="right"/>
    </xf>
    <xf numFmtId="1" fontId="13" fillId="0" borderId="75" xfId="0" applyNumberFormat="1" applyFont="1" applyFill="1" applyBorder="1"/>
    <xf numFmtId="1" fontId="13" fillId="0" borderId="37" xfId="0" applyNumberFormat="1" applyFont="1" applyFill="1" applyBorder="1" applyAlignment="1">
      <alignment horizontal="right"/>
    </xf>
    <xf numFmtId="1" fontId="13" fillId="0" borderId="27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left"/>
    </xf>
    <xf numFmtId="1" fontId="6" fillId="24" borderId="33" xfId="0" applyNumberFormat="1" applyFont="1" applyFill="1" applyBorder="1" applyAlignment="1">
      <alignment horizontal="right"/>
    </xf>
    <xf numFmtId="1" fontId="13" fillId="24" borderId="44" xfId="0" applyNumberFormat="1" applyFont="1" applyFill="1" applyBorder="1" applyAlignment="1">
      <alignment horizontal="right"/>
    </xf>
    <xf numFmtId="1" fontId="13" fillId="0" borderId="80" xfId="0" applyNumberFormat="1" applyFont="1" applyFill="1" applyBorder="1" applyAlignment="1">
      <alignment horizontal="right"/>
    </xf>
    <xf numFmtId="1" fontId="13" fillId="24" borderId="44" xfId="0" applyNumberFormat="1" applyFont="1" applyFill="1" applyBorder="1"/>
    <xf numFmtId="1" fontId="13" fillId="0" borderId="15" xfId="0" applyNumberFormat="1" applyFont="1" applyBorder="1"/>
    <xf numFmtId="1" fontId="13" fillId="0" borderId="18" xfId="0" applyNumberFormat="1" applyFont="1" applyFill="1" applyBorder="1"/>
    <xf numFmtId="1" fontId="13" fillId="0" borderId="26" xfId="0" applyNumberFormat="1" applyFont="1" applyBorder="1"/>
    <xf numFmtId="1" fontId="13" fillId="0" borderId="35" xfId="0" applyNumberFormat="1" applyFont="1" applyFill="1" applyBorder="1"/>
    <xf numFmtId="1" fontId="13" fillId="0" borderId="26" xfId="0" applyNumberFormat="1" applyFont="1" applyFill="1" applyBorder="1"/>
    <xf numFmtId="1" fontId="6" fillId="24" borderId="82" xfId="0" applyNumberFormat="1" applyFont="1" applyFill="1" applyBorder="1" applyAlignment="1">
      <alignment horizontal="right"/>
    </xf>
    <xf numFmtId="1" fontId="6" fillId="24" borderId="80" xfId="0" applyNumberFormat="1" applyFont="1" applyFill="1" applyBorder="1" applyAlignment="1">
      <alignment horizontal="right"/>
    </xf>
    <xf numFmtId="1" fontId="6" fillId="24" borderId="81" xfId="0" applyNumberFormat="1" applyFont="1" applyFill="1" applyBorder="1" applyAlignment="1">
      <alignment horizontal="center"/>
    </xf>
    <xf numFmtId="1" fontId="6" fillId="24" borderId="80" xfId="0" applyNumberFormat="1" applyFont="1" applyFill="1" applyBorder="1" applyAlignment="1">
      <alignment horizontal="center"/>
    </xf>
    <xf numFmtId="1" fontId="13" fillId="0" borderId="82" xfId="0" applyNumberFormat="1" applyFont="1" applyFill="1" applyBorder="1"/>
    <xf numFmtId="1" fontId="6" fillId="0" borderId="81" xfId="0" applyNumberFormat="1" applyFont="1" applyFill="1" applyBorder="1" applyAlignment="1">
      <alignment horizontal="center"/>
    </xf>
    <xf numFmtId="1" fontId="13" fillId="0" borderId="105" xfId="0" applyNumberFormat="1" applyFont="1" applyBorder="1"/>
    <xf numFmtId="1" fontId="6" fillId="24" borderId="81" xfId="0" applyNumberFormat="1" applyFont="1" applyFill="1" applyBorder="1" applyAlignment="1">
      <alignment horizontal="right"/>
    </xf>
    <xf numFmtId="1" fontId="6" fillId="0" borderId="75" xfId="0" applyNumberFormat="1" applyFont="1" applyFill="1" applyBorder="1" applyAlignment="1">
      <alignment horizontal="right"/>
    </xf>
    <xf numFmtId="1" fontId="13" fillId="0" borderId="81" xfId="0" applyNumberFormat="1" applyFont="1" applyFill="1" applyBorder="1" applyAlignment="1">
      <alignment horizontal="right"/>
    </xf>
    <xf numFmtId="1" fontId="0" fillId="0" borderId="15" xfId="0" applyNumberFormat="1" applyFill="1" applyBorder="1" applyAlignment="1">
      <alignment horizontal="right"/>
    </xf>
    <xf numFmtId="1" fontId="6" fillId="0" borderId="44" xfId="0" applyNumberFormat="1" applyFont="1" applyFill="1" applyBorder="1"/>
    <xf numFmtId="1" fontId="6" fillId="0" borderId="80" xfId="0" applyNumberFormat="1" applyFont="1" applyFill="1" applyBorder="1" applyAlignment="1">
      <alignment horizontal="center"/>
    </xf>
    <xf numFmtId="1" fontId="6" fillId="0" borderId="82" xfId="0" applyNumberFormat="1" applyFont="1" applyFill="1" applyBorder="1"/>
    <xf numFmtId="1" fontId="6" fillId="0" borderId="43" xfId="0" applyNumberFormat="1" applyFont="1" applyFill="1" applyBorder="1" applyAlignment="1">
      <alignment horizontal="right"/>
    </xf>
    <xf numFmtId="1" fontId="6" fillId="0" borderId="22" xfId="0" applyNumberFormat="1" applyFont="1" applyFill="1" applyBorder="1" applyAlignment="1">
      <alignment horizontal="right"/>
    </xf>
    <xf numFmtId="1" fontId="6" fillId="0" borderId="107" xfId="0" applyNumberFormat="1" applyFont="1" applyFill="1" applyBorder="1" applyAlignment="1">
      <alignment horizontal="right"/>
    </xf>
    <xf numFmtId="1" fontId="6" fillId="0" borderId="108" xfId="0" applyNumberFormat="1" applyFont="1" applyFill="1" applyBorder="1" applyAlignment="1">
      <alignment horizontal="right"/>
    </xf>
    <xf numFmtId="1" fontId="5" fillId="0" borderId="0" xfId="0" applyNumberFormat="1" applyFont="1"/>
    <xf numFmtId="1" fontId="6" fillId="0" borderId="53" xfId="0" applyNumberFormat="1" applyFont="1" applyFill="1" applyBorder="1" applyAlignment="1">
      <alignment horizontal="right"/>
    </xf>
    <xf numFmtId="1" fontId="6" fillId="0" borderId="35" xfId="0" applyNumberFormat="1" applyFont="1" applyFill="1" applyBorder="1"/>
    <xf numFmtId="1" fontId="6" fillId="0" borderId="77" xfId="0" applyNumberFormat="1" applyFont="1" applyFill="1" applyBorder="1"/>
    <xf numFmtId="1" fontId="6" fillId="0" borderId="51" xfId="0" applyNumberFormat="1" applyFont="1" applyFill="1" applyBorder="1" applyAlignment="1">
      <alignment horizontal="right"/>
    </xf>
    <xf numFmtId="1" fontId="6" fillId="0" borderId="72" xfId="0" applyNumberFormat="1" applyFont="1" applyFill="1" applyBorder="1" applyAlignment="1">
      <alignment horizontal="center"/>
    </xf>
    <xf numFmtId="1" fontId="5" fillId="0" borderId="0" xfId="0" applyNumberFormat="1" applyFont="1" applyFill="1"/>
    <xf numFmtId="1" fontId="0" fillId="0" borderId="0" xfId="0" applyNumberFormat="1" applyFill="1"/>
    <xf numFmtId="1" fontId="7" fillId="0" borderId="50" xfId="0" applyNumberFormat="1" applyFont="1" applyFill="1" applyBorder="1"/>
    <xf numFmtId="1" fontId="8" fillId="0" borderId="50" xfId="0" applyNumberFormat="1" applyFont="1" applyFill="1" applyBorder="1"/>
    <xf numFmtId="1" fontId="8" fillId="0" borderId="49" xfId="0" applyNumberFormat="1" applyFont="1" applyFill="1" applyBorder="1" applyAlignment="1">
      <alignment horizontal="left"/>
    </xf>
    <xf numFmtId="1" fontId="6" fillId="0" borderId="21" xfId="0" applyNumberFormat="1" applyFont="1" applyFill="1" applyBorder="1" applyAlignment="1">
      <alignment horizontal="center"/>
    </xf>
    <xf numFmtId="1" fontId="6" fillId="0" borderId="41" xfId="0" applyNumberFormat="1" applyFont="1" applyFill="1" applyBorder="1" applyAlignment="1">
      <alignment horizontal="center"/>
    </xf>
    <xf numFmtId="1" fontId="6" fillId="0" borderId="49" xfId="0" applyNumberFormat="1" applyFont="1" applyFill="1" applyBorder="1" applyAlignment="1">
      <alignment horizontal="right"/>
    </xf>
    <xf numFmtId="1" fontId="8" fillId="0" borderId="49" xfId="0" applyNumberFormat="1" applyFont="1" applyFill="1" applyBorder="1"/>
    <xf numFmtId="1" fontId="6" fillId="0" borderId="109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right"/>
    </xf>
    <xf numFmtId="1" fontId="6" fillId="24" borderId="36" xfId="0" applyNumberFormat="1" applyFont="1" applyFill="1" applyBorder="1" applyAlignment="1">
      <alignment horizontal="center"/>
    </xf>
    <xf numFmtId="1" fontId="0" fillId="0" borderId="13" xfId="0" applyNumberFormat="1" applyBorder="1"/>
    <xf numFmtId="1" fontId="0" fillId="0" borderId="18" xfId="0" applyNumberFormat="1" applyBorder="1"/>
    <xf numFmtId="1" fontId="0" fillId="0" borderId="36" xfId="0" applyNumberFormat="1" applyBorder="1"/>
    <xf numFmtId="167" fontId="6" fillId="0" borderId="63" xfId="0" applyNumberFormat="1" applyFont="1" applyFill="1" applyBorder="1" applyAlignment="1">
      <alignment horizontal="right"/>
    </xf>
    <xf numFmtId="1" fontId="6" fillId="0" borderId="27" xfId="0" applyNumberFormat="1" applyFont="1" applyFill="1" applyBorder="1"/>
    <xf numFmtId="0" fontId="7" fillId="0" borderId="110" xfId="0" applyFont="1" applyBorder="1" applyAlignment="1">
      <alignment horizontal="centerContinuous"/>
    </xf>
    <xf numFmtId="0" fontId="6" fillId="0" borderId="98" xfId="0" applyFont="1" applyBorder="1" applyAlignment="1">
      <alignment horizontal="center"/>
    </xf>
    <xf numFmtId="5" fontId="6" fillId="0" borderId="32" xfId="0" applyNumberFormat="1" applyFont="1" applyBorder="1" applyAlignment="1">
      <alignment horizontal="right"/>
    </xf>
    <xf numFmtId="1" fontId="6" fillId="0" borderId="26" xfId="0" applyNumberFormat="1" applyFont="1" applyFill="1" applyBorder="1"/>
    <xf numFmtId="0" fontId="6" fillId="0" borderId="75" xfId="0" applyFont="1" applyBorder="1" applyAlignment="1">
      <alignment horizontal="center"/>
    </xf>
    <xf numFmtId="167" fontId="6" fillId="0" borderId="32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4" fontId="6" fillId="0" borderId="62" xfId="0" applyNumberFormat="1" applyFont="1" applyFill="1" applyBorder="1"/>
    <xf numFmtId="167" fontId="13" fillId="0" borderId="29" xfId="0" applyNumberFormat="1" applyFont="1" applyBorder="1"/>
    <xf numFmtId="167" fontId="6" fillId="0" borderId="0" xfId="0" applyNumberFormat="1" applyFont="1" applyFill="1" applyBorder="1"/>
    <xf numFmtId="3" fontId="6" fillId="0" borderId="111" xfId="82" applyNumberFormat="1" applyFont="1" applyFill="1" applyBorder="1" applyAlignment="1">
      <alignment horizontal="right"/>
    </xf>
    <xf numFmtId="172" fontId="6" fillId="0" borderId="73" xfId="0" applyNumberFormat="1" applyFont="1" applyFill="1" applyBorder="1"/>
    <xf numFmtId="3" fontId="7" fillId="0" borderId="55" xfId="82" applyNumberFormat="1" applyFont="1" applyFill="1" applyBorder="1" applyAlignment="1">
      <alignment horizontal="right"/>
    </xf>
    <xf numFmtId="172" fontId="6" fillId="0" borderId="77" xfId="82" applyNumberFormat="1" applyFont="1" applyFill="1" applyBorder="1"/>
    <xf numFmtId="3" fontId="6" fillId="0" borderId="73" xfId="0" applyNumberFormat="1" applyFont="1" applyFill="1" applyBorder="1"/>
    <xf numFmtId="172" fontId="7" fillId="0" borderId="0" xfId="82" applyNumberFormat="1" applyFont="1" applyFill="1" applyBorder="1"/>
    <xf numFmtId="1" fontId="6" fillId="24" borderId="15" xfId="0" applyNumberFormat="1" applyFont="1" applyFill="1" applyBorder="1"/>
    <xf numFmtId="1" fontId="6" fillId="24" borderId="18" xfId="0" applyNumberFormat="1" applyFont="1" applyFill="1" applyBorder="1" applyAlignment="1">
      <alignment horizontal="right"/>
    </xf>
    <xf numFmtId="1" fontId="6" fillId="24" borderId="15" xfId="0" applyNumberFormat="1" applyFont="1" applyFill="1" applyBorder="1" applyAlignment="1">
      <alignment horizontal="right"/>
    </xf>
    <xf numFmtId="1" fontId="6" fillId="24" borderId="41" xfId="0" applyNumberFormat="1" applyFont="1" applyFill="1" applyBorder="1" applyAlignment="1">
      <alignment horizontal="center"/>
    </xf>
    <xf numFmtId="164" fontId="6" fillId="25" borderId="30" xfId="86" applyNumberFormat="1" applyFont="1" applyFill="1" applyBorder="1" applyAlignment="1">
      <alignment horizontal="center"/>
    </xf>
    <xf numFmtId="164" fontId="6" fillId="25" borderId="34" xfId="86" applyNumberFormat="1" applyFont="1" applyFill="1" applyBorder="1" applyAlignment="1">
      <alignment horizontal="center"/>
    </xf>
    <xf numFmtId="164" fontId="6" fillId="25" borderId="46" xfId="86" applyNumberFormat="1" applyFont="1" applyFill="1" applyBorder="1" applyAlignment="1">
      <alignment horizontal="center"/>
    </xf>
    <xf numFmtId="164" fontId="6" fillId="25" borderId="30" xfId="86" applyNumberFormat="1" applyFont="1" applyFill="1" applyBorder="1" applyAlignment="1">
      <alignment horizontal="right"/>
    </xf>
    <xf numFmtId="164" fontId="6" fillId="25" borderId="34" xfId="86" applyNumberFormat="1" applyFont="1" applyFill="1" applyBorder="1" applyAlignment="1">
      <alignment horizontal="right"/>
    </xf>
    <xf numFmtId="167" fontId="6" fillId="0" borderId="46" xfId="0" applyNumberFormat="1" applyFont="1" applyFill="1" applyBorder="1"/>
    <xf numFmtId="1" fontId="6" fillId="24" borderId="13" xfId="0" applyNumberFormat="1" applyFont="1" applyFill="1" applyBorder="1" applyAlignment="1">
      <alignment horizontal="right"/>
    </xf>
    <xf numFmtId="1" fontId="6" fillId="0" borderId="37" xfId="0" applyNumberFormat="1" applyFont="1" applyFill="1" applyBorder="1"/>
    <xf numFmtId="0" fontId="6" fillId="0" borderId="56" xfId="0" applyFont="1" applyBorder="1"/>
    <xf numFmtId="166" fontId="6" fillId="0" borderId="30" xfId="0" applyNumberFormat="1" applyFont="1" applyBorder="1" applyAlignment="1">
      <alignment horizontal="right"/>
    </xf>
    <xf numFmtId="166" fontId="6" fillId="0" borderId="80" xfId="0" applyNumberFormat="1" applyFont="1" applyBorder="1" applyAlignment="1">
      <alignment horizontal="right"/>
    </xf>
    <xf numFmtId="166" fontId="6" fillId="0" borderId="81" xfId="0" applyNumberFormat="1" applyFont="1" applyBorder="1" applyAlignment="1">
      <alignment horizontal="right"/>
    </xf>
    <xf numFmtId="167" fontId="6" fillId="0" borderId="34" xfId="0" applyNumberFormat="1" applyFont="1" applyBorder="1"/>
    <xf numFmtId="166" fontId="6" fillId="0" borderId="36" xfId="0" applyNumberFormat="1" applyFont="1" applyBorder="1" applyAlignment="1">
      <alignment horizontal="right"/>
    </xf>
    <xf numFmtId="164" fontId="6" fillId="25" borderId="46" xfId="86" applyNumberFormat="1" applyFont="1" applyFill="1" applyBorder="1" applyAlignment="1">
      <alignment horizontal="right"/>
    </xf>
    <xf numFmtId="1" fontId="6" fillId="0" borderId="46" xfId="0" applyNumberFormat="1" applyFont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165" fontId="6" fillId="0" borderId="63" xfId="86" applyFont="1" applyFill="1" applyBorder="1" applyAlignment="1">
      <alignment horizontal="center"/>
    </xf>
    <xf numFmtId="1" fontId="13" fillId="0" borderId="105" xfId="0" applyNumberFormat="1" applyFont="1" applyFill="1" applyBorder="1" applyAlignment="1">
      <alignment horizontal="right"/>
    </xf>
    <xf numFmtId="1" fontId="13" fillId="0" borderId="35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right"/>
    </xf>
    <xf numFmtId="1" fontId="13" fillId="24" borderId="80" xfId="0" applyNumberFormat="1" applyFont="1" applyFill="1" applyBorder="1" applyAlignment="1">
      <alignment horizontal="right"/>
    </xf>
    <xf numFmtId="0" fontId="0" fillId="0" borderId="56" xfId="0" applyBorder="1"/>
    <xf numFmtId="164" fontId="6" fillId="0" borderId="63" xfId="0" applyNumberFormat="1" applyFont="1" applyBorder="1" applyAlignment="1">
      <alignment horizontal="center"/>
    </xf>
    <xf numFmtId="3" fontId="6" fillId="0" borderId="13" xfId="82" applyNumberFormat="1" applyFont="1" applyFill="1" applyBorder="1" applyAlignment="1">
      <alignment horizontal="right"/>
    </xf>
    <xf numFmtId="3" fontId="7" fillId="0" borderId="13" xfId="82" applyNumberFormat="1" applyFont="1" applyFill="1" applyBorder="1" applyAlignment="1">
      <alignment horizontal="right"/>
    </xf>
    <xf numFmtId="0" fontId="6" fillId="0" borderId="50" xfId="0" applyFont="1" applyFill="1" applyBorder="1" applyAlignment="1">
      <alignment horizontal="left" indent="1"/>
    </xf>
    <xf numFmtId="0" fontId="6" fillId="0" borderId="50" xfId="0" applyFont="1" applyFill="1" applyBorder="1" applyAlignment="1">
      <alignment horizontal="left" wrapText="1" indent="1"/>
    </xf>
    <xf numFmtId="0" fontId="7" fillId="0" borderId="50" xfId="0" applyFont="1" applyFill="1" applyBorder="1" applyAlignment="1">
      <alignment horizontal="left" indent="1"/>
    </xf>
    <xf numFmtId="0" fontId="12" fillId="0" borderId="50" xfId="0" applyFont="1" applyFill="1" applyBorder="1" applyAlignment="1">
      <alignment horizontal="left" indent="1"/>
    </xf>
    <xf numFmtId="0" fontId="6" fillId="0" borderId="53" xfId="0" applyFont="1" applyFill="1" applyBorder="1" applyAlignment="1">
      <alignment horizontal="left" indent="1"/>
    </xf>
    <xf numFmtId="167" fontId="6" fillId="0" borderId="29" xfId="0" applyNumberFormat="1" applyFont="1" applyFill="1" applyBorder="1" applyAlignment="1">
      <alignment horizontal="right"/>
    </xf>
    <xf numFmtId="3" fontId="6" fillId="0" borderId="34" xfId="82" applyNumberFormat="1" applyFont="1" applyFill="1" applyBorder="1" applyAlignment="1">
      <alignment horizontal="center"/>
    </xf>
    <xf numFmtId="1" fontId="6" fillId="0" borderId="42" xfId="0" applyNumberFormat="1" applyFont="1" applyFill="1" applyBorder="1" applyAlignment="1">
      <alignment horizontal="center"/>
    </xf>
    <xf numFmtId="0" fontId="6" fillId="0" borderId="56" xfId="0" applyFont="1" applyFill="1" applyBorder="1"/>
    <xf numFmtId="3" fontId="6" fillId="0" borderId="56" xfId="82" applyNumberFormat="1" applyFont="1" applyFill="1" applyBorder="1" applyAlignment="1">
      <alignment horizontal="right"/>
    </xf>
    <xf numFmtId="3" fontId="6" fillId="0" borderId="56" xfId="0" applyNumberFormat="1" applyFont="1" applyFill="1" applyBorder="1"/>
    <xf numFmtId="3" fontId="7" fillId="0" borderId="56" xfId="0" applyNumberFormat="1" applyFont="1" applyFill="1" applyBorder="1" applyAlignment="1">
      <alignment horizontal="right"/>
    </xf>
    <xf numFmtId="166" fontId="6" fillId="0" borderId="27" xfId="134" applyNumberFormat="1" applyFont="1" applyFill="1" applyBorder="1" applyAlignment="1">
      <alignment horizontal="right"/>
    </xf>
    <xf numFmtId="0" fontId="7" fillId="0" borderId="112" xfId="0" applyFont="1" applyBorder="1" applyAlignment="1">
      <alignment horizontal="center"/>
    </xf>
    <xf numFmtId="166" fontId="6" fillId="0" borderId="59" xfId="0" applyNumberFormat="1" applyFont="1" applyBorder="1"/>
    <xf numFmtId="167" fontId="6" fillId="0" borderId="29" xfId="0" applyNumberFormat="1" applyFont="1" applyBorder="1" applyAlignment="1">
      <alignment horizontal="right" indent="1"/>
    </xf>
    <xf numFmtId="167" fontId="6" fillId="0" borderId="30" xfId="0" applyNumberFormat="1" applyFont="1" applyBorder="1" applyAlignment="1">
      <alignment horizontal="right" indent="1"/>
    </xf>
    <xf numFmtId="167" fontId="6" fillId="0" borderId="30" xfId="0" applyNumberFormat="1" applyFont="1" applyBorder="1" applyAlignment="1">
      <alignment horizontal="right" wrapText="1" indent="1"/>
    </xf>
    <xf numFmtId="167" fontId="6" fillId="0" borderId="70" xfId="0" applyNumberFormat="1" applyFont="1" applyBorder="1"/>
    <xf numFmtId="167" fontId="7" fillId="0" borderId="30" xfId="0" applyNumberFormat="1" applyFont="1" applyBorder="1" applyAlignment="1">
      <alignment horizontal="right" indent="1"/>
    </xf>
    <xf numFmtId="167" fontId="7" fillId="0" borderId="70" xfId="0" applyNumberFormat="1" applyFont="1" applyBorder="1"/>
    <xf numFmtId="167" fontId="12" fillId="0" borderId="30" xfId="0" applyNumberFormat="1" applyFont="1" applyBorder="1" applyAlignment="1">
      <alignment horizontal="left" indent="1"/>
    </xf>
    <xf numFmtId="167" fontId="6" fillId="0" borderId="30" xfId="0" applyNumberFormat="1" applyFont="1" applyBorder="1" applyAlignment="1">
      <alignment horizontal="left" indent="1"/>
    </xf>
    <xf numFmtId="167" fontId="6" fillId="0" borderId="30" xfId="0" applyNumberFormat="1" applyFont="1" applyBorder="1" applyAlignment="1">
      <alignment horizontal="left" wrapText="1" indent="1"/>
    </xf>
    <xf numFmtId="167" fontId="7" fillId="0" borderId="46" xfId="0" applyNumberFormat="1" applyFont="1" applyBorder="1" applyAlignment="1">
      <alignment horizontal="right" indent="1"/>
    </xf>
    <xf numFmtId="167" fontId="7" fillId="0" borderId="34" xfId="0" applyNumberFormat="1" applyFont="1" applyBorder="1" applyAlignment="1">
      <alignment horizontal="right" indent="1"/>
    </xf>
    <xf numFmtId="0" fontId="6" fillId="24" borderId="29" xfId="0" applyFont="1" applyFill="1" applyBorder="1" applyAlignment="1">
      <alignment horizontal="left" indent="1"/>
    </xf>
    <xf numFmtId="0" fontId="6" fillId="24" borderId="54" xfId="0" applyFont="1" applyFill="1" applyBorder="1" applyAlignment="1">
      <alignment horizontal="left" indent="1"/>
    </xf>
    <xf numFmtId="0" fontId="6" fillId="24" borderId="30" xfId="0" applyFont="1" applyFill="1" applyBorder="1" applyAlignment="1">
      <alignment horizontal="left" wrapText="1" indent="1"/>
    </xf>
    <xf numFmtId="0" fontId="6" fillId="24" borderId="55" xfId="0" applyFont="1" applyFill="1" applyBorder="1" applyAlignment="1">
      <alignment horizontal="left" wrapText="1" indent="1"/>
    </xf>
    <xf numFmtId="0" fontId="7" fillId="24" borderId="30" xfId="0" applyFont="1" applyFill="1" applyBorder="1" applyAlignment="1">
      <alignment horizontal="left" indent="1"/>
    </xf>
    <xf numFmtId="0" fontId="7" fillId="24" borderId="55" xfId="0" applyFont="1" applyFill="1" applyBorder="1" applyAlignment="1">
      <alignment horizontal="left" indent="1"/>
    </xf>
    <xf numFmtId="0" fontId="12" fillId="24" borderId="30" xfId="0" applyFont="1" applyFill="1" applyBorder="1" applyAlignment="1">
      <alignment horizontal="left" indent="1"/>
    </xf>
    <xf numFmtId="0" fontId="12" fillId="24" borderId="55" xfId="0" applyFont="1" applyFill="1" applyBorder="1" applyAlignment="1">
      <alignment horizontal="left" indent="1"/>
    </xf>
    <xf numFmtId="0" fontId="6" fillId="24" borderId="30" xfId="0" applyFont="1" applyFill="1" applyBorder="1" applyAlignment="1">
      <alignment horizontal="left" indent="1"/>
    </xf>
    <xf numFmtId="0" fontId="6" fillId="24" borderId="55" xfId="0" applyFont="1" applyFill="1" applyBorder="1" applyAlignment="1">
      <alignment horizontal="left" indent="1"/>
    </xf>
    <xf numFmtId="0" fontId="7" fillId="24" borderId="46" xfId="0" applyFont="1" applyFill="1" applyBorder="1" applyAlignment="1">
      <alignment horizontal="left" indent="1"/>
    </xf>
    <xf numFmtId="0" fontId="7" fillId="24" borderId="77" xfId="0" applyFont="1" applyFill="1" applyBorder="1" applyAlignment="1">
      <alignment horizontal="left" indent="1"/>
    </xf>
    <xf numFmtId="0" fontId="6" fillId="0" borderId="55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24" borderId="30" xfId="0" applyFont="1" applyFill="1" applyBorder="1" applyAlignment="1">
      <alignment horizontal="right"/>
    </xf>
    <xf numFmtId="0" fontId="6" fillId="24" borderId="55" xfId="0" applyFont="1" applyFill="1" applyBorder="1" applyAlignment="1">
      <alignment horizontal="right"/>
    </xf>
    <xf numFmtId="0" fontId="8" fillId="24" borderId="30" xfId="0" applyFont="1" applyFill="1" applyBorder="1"/>
    <xf numFmtId="0" fontId="8" fillId="24" borderId="55" xfId="0" applyFont="1" applyFill="1" applyBorder="1"/>
    <xf numFmtId="0" fontId="6" fillId="24" borderId="0" xfId="0" applyFont="1" applyFill="1" applyBorder="1" applyAlignment="1">
      <alignment horizontal="right"/>
    </xf>
    <xf numFmtId="0" fontId="6" fillId="24" borderId="79" xfId="0" applyFont="1" applyFill="1" applyBorder="1" applyAlignment="1">
      <alignment horizontal="right"/>
    </xf>
    <xf numFmtId="0" fontId="7" fillId="24" borderId="33" xfId="0" applyFont="1" applyFill="1" applyBorder="1" applyAlignment="1">
      <alignment horizontal="center"/>
    </xf>
    <xf numFmtId="0" fontId="7" fillId="24" borderId="72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right"/>
    </xf>
    <xf numFmtId="0" fontId="6" fillId="24" borderId="26" xfId="0" applyFont="1" applyFill="1" applyBorder="1" applyAlignment="1">
      <alignment horizontal="right"/>
    </xf>
    <xf numFmtId="0" fontId="6" fillId="24" borderId="77" xfId="0" applyFont="1" applyFill="1" applyBorder="1" applyAlignment="1">
      <alignment horizontal="right"/>
    </xf>
    <xf numFmtId="0" fontId="7" fillId="24" borderId="15" xfId="0" applyFont="1" applyFill="1" applyBorder="1" applyAlignment="1">
      <alignment horizontal="left"/>
    </xf>
    <xf numFmtId="0" fontId="7" fillId="24" borderId="55" xfId="0" applyFont="1" applyFill="1" applyBorder="1" applyAlignment="1">
      <alignment horizontal="left"/>
    </xf>
    <xf numFmtId="0" fontId="6" fillId="24" borderId="18" xfId="0" applyFont="1" applyFill="1" applyBorder="1" applyAlignment="1">
      <alignment horizontal="right"/>
    </xf>
    <xf numFmtId="0" fontId="7" fillId="24" borderId="18" xfId="0" applyFont="1" applyFill="1" applyBorder="1" applyAlignment="1">
      <alignment horizontal="left"/>
    </xf>
    <xf numFmtId="0" fontId="6" fillId="24" borderId="100" xfId="0" applyFont="1" applyFill="1" applyBorder="1" applyAlignment="1">
      <alignment horizontal="right"/>
    </xf>
    <xf numFmtId="0" fontId="6" fillId="24" borderId="99" xfId="0" applyFont="1" applyFill="1" applyBorder="1" applyAlignment="1">
      <alignment horizontal="right"/>
    </xf>
    <xf numFmtId="0" fontId="6" fillId="24" borderId="44" xfId="0" applyFont="1" applyFill="1" applyBorder="1" applyAlignment="1">
      <alignment horizontal="right"/>
    </xf>
    <xf numFmtId="0" fontId="6" fillId="24" borderId="104" xfId="0" applyFont="1" applyFill="1" applyBorder="1" applyAlignment="1">
      <alignment horizontal="right"/>
    </xf>
    <xf numFmtId="0" fontId="6" fillId="0" borderId="74" xfId="0" applyNumberFormat="1" applyFont="1" applyBorder="1" applyAlignment="1">
      <alignment horizontal="center"/>
    </xf>
    <xf numFmtId="1" fontId="6" fillId="0" borderId="46" xfId="0" applyNumberFormat="1" applyFont="1" applyFill="1" applyBorder="1" applyAlignment="1">
      <alignment horizontal="center"/>
    </xf>
    <xf numFmtId="0" fontId="6" fillId="0" borderId="74" xfId="0" applyNumberFormat="1" applyFont="1" applyFill="1" applyBorder="1" applyAlignment="1">
      <alignment horizontal="center"/>
    </xf>
    <xf numFmtId="164" fontId="6" fillId="0" borderId="76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1" fontId="6" fillId="0" borderId="74" xfId="86" applyNumberFormat="1" applyFont="1" applyFill="1" applyBorder="1" applyAlignment="1">
      <alignment horizontal="center"/>
    </xf>
    <xf numFmtId="1" fontId="0" fillId="0" borderId="56" xfId="0" applyNumberFormat="1" applyFill="1" applyBorder="1"/>
    <xf numFmtId="0" fontId="7" fillId="0" borderId="56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6" fillId="0" borderId="115" xfId="0" applyFont="1" applyBorder="1"/>
    <xf numFmtId="1" fontId="6" fillId="0" borderId="16" xfId="0" applyNumberFormat="1" applyFont="1" applyBorder="1"/>
    <xf numFmtId="1" fontId="6" fillId="0" borderId="62" xfId="0" applyNumberFormat="1" applyFont="1" applyBorder="1"/>
    <xf numFmtId="1" fontId="6" fillId="0" borderId="62" xfId="0" applyNumberFormat="1" applyFont="1" applyFill="1" applyBorder="1"/>
    <xf numFmtId="1" fontId="6" fillId="0" borderId="58" xfId="0" applyNumberFormat="1" applyFont="1" applyBorder="1"/>
    <xf numFmtId="0" fontId="6" fillId="0" borderId="83" xfId="0" applyFont="1" applyBorder="1"/>
    <xf numFmtId="0" fontId="7" fillId="0" borderId="116" xfId="127" applyFont="1" applyBorder="1"/>
    <xf numFmtId="0" fontId="0" fillId="0" borderId="56" xfId="0" applyBorder="1" applyAlignment="1">
      <alignment horizontal="center"/>
    </xf>
    <xf numFmtId="0" fontId="6" fillId="0" borderId="117" xfId="127" applyFont="1" applyBorder="1"/>
    <xf numFmtId="166" fontId="6" fillId="0" borderId="40" xfId="136" applyNumberFormat="1" applyFont="1" applyBorder="1"/>
    <xf numFmtId="166" fontId="6" fillId="0" borderId="73" xfId="136" applyNumberFormat="1" applyFont="1" applyBorder="1"/>
    <xf numFmtId="166" fontId="6" fillId="0" borderId="42" xfId="136" applyNumberFormat="1" applyFont="1" applyBorder="1"/>
    <xf numFmtId="166" fontId="6" fillId="0" borderId="56" xfId="127" applyNumberFormat="1" applyFont="1" applyBorder="1"/>
    <xf numFmtId="1" fontId="6" fillId="0" borderId="25" xfId="0" applyNumberFormat="1" applyFont="1" applyBorder="1"/>
    <xf numFmtId="9" fontId="6" fillId="0" borderId="61" xfId="0" applyNumberFormat="1" applyFont="1" applyBorder="1"/>
    <xf numFmtId="0" fontId="6" fillId="0" borderId="118" xfId="127" applyFont="1" applyBorder="1"/>
    <xf numFmtId="166" fontId="6" fillId="0" borderId="70" xfId="136" applyNumberFormat="1" applyFont="1" applyBorder="1"/>
    <xf numFmtId="166" fontId="6" fillId="0" borderId="55" xfId="136" applyNumberFormat="1" applyFont="1" applyBorder="1"/>
    <xf numFmtId="0" fontId="6" fillId="0" borderId="51" xfId="127" applyFont="1" applyBorder="1"/>
    <xf numFmtId="1" fontId="6" fillId="0" borderId="119" xfId="0" applyNumberFormat="1" applyFont="1" applyBorder="1"/>
    <xf numFmtId="1" fontId="6" fillId="0" borderId="61" xfId="0" applyNumberFormat="1" applyFont="1" applyBorder="1"/>
    <xf numFmtId="0" fontId="6" fillId="0" borderId="58" xfId="0" applyFont="1" applyBorder="1"/>
    <xf numFmtId="3" fontId="6" fillId="0" borderId="61" xfId="0" applyNumberFormat="1" applyFont="1" applyBorder="1"/>
    <xf numFmtId="0" fontId="6" fillId="0" borderId="120" xfId="0" applyFont="1" applyBorder="1"/>
    <xf numFmtId="164" fontId="6" fillId="0" borderId="61" xfId="0" applyNumberFormat="1" applyFont="1" applyBorder="1"/>
    <xf numFmtId="0" fontId="6" fillId="0" borderId="115" xfId="0" applyFont="1" applyBorder="1" applyAlignment="1">
      <alignment horizontal="center"/>
    </xf>
    <xf numFmtId="167" fontId="6" fillId="0" borderId="61" xfId="0" applyNumberFormat="1" applyFont="1" applyBorder="1"/>
    <xf numFmtId="0" fontId="7" fillId="0" borderId="121" xfId="0" applyFont="1" applyBorder="1" applyAlignment="1">
      <alignment horizontal="center"/>
    </xf>
    <xf numFmtId="3" fontId="6" fillId="0" borderId="56" xfId="82" applyNumberFormat="1" applyFont="1" applyBorder="1" applyAlignment="1">
      <alignment horizontal="center"/>
    </xf>
    <xf numFmtId="166" fontId="6" fillId="0" borderId="83" xfId="134" applyNumberFormat="1" applyFont="1" applyFill="1" applyBorder="1" applyAlignment="1">
      <alignment horizontal="center"/>
    </xf>
    <xf numFmtId="0" fontId="6" fillId="0" borderId="122" xfId="0" applyFont="1" applyBorder="1"/>
    <xf numFmtId="0" fontId="7" fillId="0" borderId="24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3" fontId="6" fillId="0" borderId="0" xfId="82" applyNumberFormat="1" applyFont="1" applyBorder="1" applyAlignment="1">
      <alignment horizontal="center"/>
    </xf>
    <xf numFmtId="166" fontId="6" fillId="0" borderId="79" xfId="134" applyNumberFormat="1" applyFont="1" applyFill="1" applyBorder="1" applyAlignment="1">
      <alignment horizontal="center"/>
    </xf>
    <xf numFmtId="1" fontId="6" fillId="0" borderId="0" xfId="134" applyNumberFormat="1" applyFont="1" applyFill="1" applyBorder="1" applyAlignment="1">
      <alignment horizontal="center"/>
    </xf>
    <xf numFmtId="2" fontId="6" fillId="0" borderId="79" xfId="134" applyNumberFormat="1" applyFont="1" applyFill="1" applyBorder="1" applyAlignment="1">
      <alignment horizontal="center"/>
    </xf>
    <xf numFmtId="1" fontId="6" fillId="0" borderId="123" xfId="134" applyNumberFormat="1" applyFont="1" applyFill="1" applyBorder="1" applyAlignment="1">
      <alignment horizontal="center"/>
    </xf>
    <xf numFmtId="2" fontId="6" fillId="0" borderId="104" xfId="134" applyNumberFormat="1" applyFont="1" applyFill="1" applyBorder="1" applyAlignment="1">
      <alignment horizontal="center"/>
    </xf>
    <xf numFmtId="1" fontId="6" fillId="0" borderId="99" xfId="134" applyNumberFormat="1" applyFont="1" applyFill="1" applyBorder="1" applyAlignment="1">
      <alignment horizontal="center"/>
    </xf>
    <xf numFmtId="166" fontId="6" fillId="0" borderId="124" xfId="134" applyNumberFormat="1" applyFont="1" applyFill="1" applyBorder="1" applyAlignment="1">
      <alignment horizontal="center"/>
    </xf>
    <xf numFmtId="0" fontId="16" fillId="0" borderId="0" xfId="127" applyFont="1" applyBorder="1"/>
    <xf numFmtId="0" fontId="6" fillId="0" borderId="48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79" xfId="0" applyBorder="1" applyAlignment="1"/>
    <xf numFmtId="0" fontId="7" fillId="24" borderId="0" xfId="127" quotePrefix="1" applyFont="1" applyFill="1" applyBorder="1" applyAlignment="1">
      <alignment horizontal="center"/>
    </xf>
    <xf numFmtId="0" fontId="0" fillId="24" borderId="97" xfId="0" applyFill="1" applyBorder="1" applyAlignment="1"/>
    <xf numFmtId="0" fontId="7" fillId="24" borderId="0" xfId="127" applyFont="1" applyFill="1" applyBorder="1" applyAlignment="1">
      <alignment horizontal="center"/>
    </xf>
    <xf numFmtId="0" fontId="0" fillId="24" borderId="97" xfId="0" applyFill="1" applyBorder="1" applyAlignment="1">
      <alignment horizontal="center"/>
    </xf>
    <xf numFmtId="0" fontId="7" fillId="0" borderId="0" xfId="127" applyFont="1" applyBorder="1" applyAlignment="1">
      <alignment horizontal="center"/>
    </xf>
    <xf numFmtId="0" fontId="6" fillId="24" borderId="0" xfId="0" applyFont="1" applyFill="1"/>
    <xf numFmtId="0" fontId="6" fillId="24" borderId="97" xfId="0" applyFont="1" applyFill="1" applyBorder="1"/>
    <xf numFmtId="0" fontId="6" fillId="24" borderId="83" xfId="0" applyFont="1" applyFill="1" applyBorder="1"/>
    <xf numFmtId="0" fontId="6" fillId="0" borderId="124" xfId="0" applyFont="1" applyBorder="1"/>
    <xf numFmtId="0" fontId="6" fillId="0" borderId="54" xfId="127" applyFont="1" applyBorder="1"/>
    <xf numFmtId="171" fontId="6" fillId="24" borderId="0" xfId="127" applyNumberFormat="1" applyFont="1" applyFill="1" applyBorder="1" applyAlignment="1">
      <alignment horizontal="right"/>
    </xf>
    <xf numFmtId="171" fontId="6" fillId="24" borderId="79" xfId="127" applyNumberFormat="1" applyFont="1" applyFill="1" applyBorder="1" applyAlignment="1">
      <alignment horizontal="right"/>
    </xf>
    <xf numFmtId="171" fontId="6" fillId="24" borderId="0" xfId="0" applyNumberFormat="1" applyFont="1" applyFill="1"/>
    <xf numFmtId="171" fontId="6" fillId="24" borderId="79" xfId="0" applyNumberFormat="1" applyFont="1" applyFill="1" applyBorder="1"/>
    <xf numFmtId="0" fontId="6" fillId="24" borderId="0" xfId="0" applyFont="1" applyFill="1" applyBorder="1"/>
    <xf numFmtId="0" fontId="6" fillId="24" borderId="79" xfId="127" applyFont="1" applyFill="1" applyBorder="1" applyAlignment="1"/>
    <xf numFmtId="0" fontId="6" fillId="0" borderId="79" xfId="127" applyFont="1" applyBorder="1"/>
    <xf numFmtId="0" fontId="6" fillId="0" borderId="55" xfId="127" applyFont="1" applyBorder="1"/>
    <xf numFmtId="0" fontId="7" fillId="0" borderId="125" xfId="127" applyFont="1" applyBorder="1"/>
    <xf numFmtId="0" fontId="6" fillId="24" borderId="0" xfId="127" applyFont="1" applyFill="1" applyBorder="1" applyAlignment="1">
      <alignment horizontal="right"/>
    </xf>
    <xf numFmtId="0" fontId="6" fillId="24" borderId="79" xfId="127" applyFont="1" applyFill="1" applyBorder="1" applyAlignment="1">
      <alignment horizontal="right"/>
    </xf>
    <xf numFmtId="0" fontId="6" fillId="24" borderId="79" xfId="0" applyFont="1" applyFill="1" applyBorder="1"/>
    <xf numFmtId="3" fontId="6" fillId="24" borderId="0" xfId="127" applyNumberFormat="1" applyFont="1" applyFill="1" applyBorder="1" applyAlignment="1">
      <alignment horizontal="right"/>
    </xf>
    <xf numFmtId="3" fontId="6" fillId="24" borderId="79" xfId="127" applyNumberFormat="1" applyFont="1" applyFill="1" applyBorder="1" applyAlignment="1">
      <alignment horizontal="right"/>
    </xf>
    <xf numFmtId="3" fontId="6" fillId="24" borderId="0" xfId="0" applyNumberFormat="1" applyFont="1" applyFill="1"/>
    <xf numFmtId="3" fontId="6" fillId="24" borderId="79" xfId="0" applyNumberFormat="1" applyFont="1" applyFill="1" applyBorder="1"/>
    <xf numFmtId="1" fontId="6" fillId="24" borderId="0" xfId="127" applyNumberFormat="1" applyFont="1" applyFill="1" applyBorder="1" applyAlignment="1">
      <alignment horizontal="right"/>
    </xf>
    <xf numFmtId="1" fontId="6" fillId="24" borderId="79" xfId="127" applyNumberFormat="1" applyFont="1" applyFill="1" applyBorder="1" applyAlignment="1">
      <alignment horizontal="right"/>
    </xf>
    <xf numFmtId="1" fontId="6" fillId="24" borderId="0" xfId="0" applyNumberFormat="1" applyFont="1" applyFill="1"/>
    <xf numFmtId="1" fontId="6" fillId="24" borderId="79" xfId="0" applyNumberFormat="1" applyFont="1" applyFill="1" applyBorder="1"/>
    <xf numFmtId="1" fontId="6" fillId="24" borderId="0" xfId="0" applyNumberFormat="1" applyFont="1" applyFill="1" applyBorder="1"/>
    <xf numFmtId="1" fontId="6" fillId="24" borderId="79" xfId="127" applyNumberFormat="1" applyFont="1" applyFill="1" applyBorder="1" applyAlignment="1"/>
    <xf numFmtId="0" fontId="6" fillId="0" borderId="104" xfId="127" applyFont="1" applyBorder="1"/>
    <xf numFmtId="1" fontId="6" fillId="24" borderId="99" xfId="127" applyNumberFormat="1" applyFont="1" applyFill="1" applyBorder="1" applyAlignment="1">
      <alignment horizontal="right"/>
    </xf>
    <xf numFmtId="1" fontId="6" fillId="24" borderId="104" xfId="127" applyNumberFormat="1" applyFont="1" applyFill="1" applyBorder="1" applyAlignment="1">
      <alignment horizontal="right"/>
    </xf>
    <xf numFmtId="1" fontId="6" fillId="24" borderId="99" xfId="0" applyNumberFormat="1" applyFont="1" applyFill="1" applyBorder="1"/>
    <xf numFmtId="1" fontId="6" fillId="24" borderId="104" xfId="0" applyNumberFormat="1" applyFont="1" applyFill="1" applyBorder="1"/>
    <xf numFmtId="1" fontId="6" fillId="24" borderId="62" xfId="0" applyNumberFormat="1" applyFont="1" applyFill="1" applyBorder="1"/>
    <xf numFmtId="3" fontId="7" fillId="0" borderId="61" xfId="0" applyNumberFormat="1" applyFont="1" applyBorder="1"/>
    <xf numFmtId="164" fontId="6" fillId="0" borderId="64" xfId="0" applyNumberFormat="1" applyFont="1" applyBorder="1"/>
    <xf numFmtId="164" fontId="6" fillId="0" borderId="124" xfId="0" applyNumberFormat="1" applyFont="1" applyBorder="1"/>
    <xf numFmtId="164" fontId="6" fillId="0" borderId="83" xfId="0" applyNumberFormat="1" applyFont="1" applyBorder="1"/>
    <xf numFmtId="0" fontId="0" fillId="0" borderId="9" xfId="0" applyBorder="1"/>
    <xf numFmtId="1" fontId="6" fillId="0" borderId="29" xfId="0" applyNumberFormat="1" applyFont="1" applyBorder="1" applyAlignment="1">
      <alignment horizontal="center"/>
    </xf>
    <xf numFmtId="1" fontId="6" fillId="0" borderId="98" xfId="0" applyNumberFormat="1" applyFont="1" applyBorder="1" applyAlignment="1">
      <alignment horizontal="center"/>
    </xf>
    <xf numFmtId="1" fontId="6" fillId="0" borderId="58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0" fillId="0" borderId="9" xfId="0" applyFill="1" applyBorder="1"/>
    <xf numFmtId="1" fontId="6" fillId="0" borderId="45" xfId="0" applyNumberFormat="1" applyFont="1" applyBorder="1"/>
    <xf numFmtId="1" fontId="6" fillId="0" borderId="126" xfId="0" applyNumberFormat="1" applyFont="1" applyFill="1" applyBorder="1"/>
    <xf numFmtId="1" fontId="0" fillId="0" borderId="122" xfId="0" applyNumberFormat="1" applyBorder="1"/>
    <xf numFmtId="1" fontId="6" fillId="0" borderId="96" xfId="0" applyNumberFormat="1" applyFont="1" applyFill="1" applyBorder="1"/>
    <xf numFmtId="1" fontId="6" fillId="24" borderId="96" xfId="0" applyNumberFormat="1" applyFont="1" applyFill="1" applyBorder="1"/>
    <xf numFmtId="0" fontId="7" fillId="24" borderId="71" xfId="0" applyFont="1" applyFill="1" applyBorder="1"/>
    <xf numFmtId="164" fontId="6" fillId="0" borderId="96" xfId="0" applyNumberFormat="1" applyFont="1" applyBorder="1"/>
    <xf numFmtId="0" fontId="7" fillId="22" borderId="32" xfId="0" applyFont="1" applyFill="1" applyBorder="1"/>
    <xf numFmtId="0" fontId="7" fillId="22" borderId="73" xfId="0" applyFont="1" applyFill="1" applyBorder="1"/>
    <xf numFmtId="0" fontId="6" fillId="24" borderId="55" xfId="0" applyFont="1" applyFill="1" applyBorder="1"/>
    <xf numFmtId="0" fontId="6" fillId="24" borderId="34" xfId="0" applyFont="1" applyFill="1" applyBorder="1"/>
    <xf numFmtId="0" fontId="6" fillId="24" borderId="78" xfId="0" applyFont="1" applyFill="1" applyBorder="1"/>
    <xf numFmtId="0" fontId="7" fillId="0" borderId="127" xfId="0" applyFont="1" applyBorder="1" applyAlignment="1">
      <alignment horizontal="center"/>
    </xf>
    <xf numFmtId="0" fontId="0" fillId="0" borderId="122" xfId="0" applyBorder="1"/>
    <xf numFmtId="1" fontId="6" fillId="0" borderId="122" xfId="0" applyNumberFormat="1" applyFont="1" applyBorder="1"/>
    <xf numFmtId="0" fontId="0" fillId="0" borderId="0" xfId="0" applyAlignment="1">
      <alignment horizontal="left"/>
    </xf>
    <xf numFmtId="1" fontId="6" fillId="0" borderId="29" xfId="0" applyNumberFormat="1" applyFont="1" applyBorder="1"/>
    <xf numFmtId="0" fontId="0" fillId="0" borderId="83" xfId="0" applyBorder="1"/>
    <xf numFmtId="0" fontId="0" fillId="0" borderId="122" xfId="0" applyBorder="1" applyAlignment="1">
      <alignment horizontal="center"/>
    </xf>
    <xf numFmtId="166" fontId="6" fillId="0" borderId="122" xfId="127" applyNumberFormat="1" applyFont="1" applyBorder="1"/>
    <xf numFmtId="1" fontId="6" fillId="0" borderId="25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64" fontId="6" fillId="0" borderId="61" xfId="0" applyNumberFormat="1" applyFont="1" applyFill="1" applyBorder="1" applyAlignment="1">
      <alignment horizontal="center"/>
    </xf>
    <xf numFmtId="164" fontId="6" fillId="0" borderId="62" xfId="0" applyNumberFormat="1" applyFont="1" applyBorder="1"/>
    <xf numFmtId="1" fontId="6" fillId="0" borderId="9" xfId="0" applyNumberFormat="1" applyFont="1" applyBorder="1" applyAlignment="1">
      <alignment horizontal="center"/>
    </xf>
    <xf numFmtId="164" fontId="6" fillId="0" borderId="9" xfId="0" applyNumberFormat="1" applyFont="1" applyBorder="1"/>
    <xf numFmtId="1" fontId="6" fillId="0" borderId="0" xfId="0" applyNumberFormat="1" applyFont="1" applyFill="1" applyBorder="1" applyAlignment="1">
      <alignment horizontal="left"/>
    </xf>
    <xf numFmtId="0" fontId="0" fillId="0" borderId="122" xfId="0" applyFill="1" applyBorder="1"/>
    <xf numFmtId="0" fontId="6" fillId="0" borderId="128" xfId="0" applyFont="1" applyFill="1" applyBorder="1"/>
    <xf numFmtId="0" fontId="6" fillId="0" borderId="122" xfId="0" applyFont="1" applyFill="1" applyBorder="1"/>
    <xf numFmtId="166" fontId="6" fillId="0" borderId="61" xfId="0" applyNumberFormat="1" applyFont="1" applyBorder="1"/>
    <xf numFmtId="166" fontId="6" fillId="0" borderId="126" xfId="0" applyNumberFormat="1" applyFont="1" applyBorder="1"/>
    <xf numFmtId="3" fontId="7" fillId="0" borderId="56" xfId="0" applyNumberFormat="1" applyFont="1" applyFill="1" applyBorder="1"/>
    <xf numFmtId="3" fontId="6" fillId="24" borderId="99" xfId="127" applyNumberFormat="1" applyFont="1" applyFill="1" applyBorder="1" applyAlignment="1">
      <alignment horizontal="right"/>
    </xf>
    <xf numFmtId="3" fontId="6" fillId="24" borderId="104" xfId="127" applyNumberFormat="1" applyFont="1" applyFill="1" applyBorder="1" applyAlignment="1">
      <alignment horizontal="right"/>
    </xf>
    <xf numFmtId="3" fontId="6" fillId="24" borderId="99" xfId="0" applyNumberFormat="1" applyFont="1" applyFill="1" applyBorder="1"/>
    <xf numFmtId="3" fontId="6" fillId="24" borderId="104" xfId="0" applyNumberFormat="1" applyFont="1" applyFill="1" applyBorder="1"/>
    <xf numFmtId="0" fontId="0" fillId="24" borderId="79" xfId="0" applyFill="1" applyBorder="1" applyAlignment="1"/>
    <xf numFmtId="0" fontId="6" fillId="24" borderId="75" xfId="0" applyFont="1" applyFill="1" applyBorder="1"/>
    <xf numFmtId="1" fontId="6" fillId="24" borderId="75" xfId="0" applyNumberFormat="1" applyFont="1" applyFill="1" applyBorder="1"/>
    <xf numFmtId="0" fontId="7" fillId="24" borderId="29" xfId="0" applyFont="1" applyFill="1" applyBorder="1"/>
    <xf numFmtId="0" fontId="7" fillId="24" borderId="54" xfId="0" applyFont="1" applyFill="1" applyBorder="1"/>
    <xf numFmtId="0" fontId="6" fillId="22" borderId="30" xfId="0" applyFont="1" applyFill="1" applyBorder="1"/>
    <xf numFmtId="0" fontId="6" fillId="22" borderId="55" xfId="0" applyFont="1" applyFill="1" applyBorder="1"/>
    <xf numFmtId="3" fontId="7" fillId="24" borderId="33" xfId="0" applyNumberFormat="1" applyFont="1" applyFill="1" applyBorder="1"/>
    <xf numFmtId="166" fontId="6" fillId="24" borderId="40" xfId="136" applyNumberFormat="1" applyFont="1" applyFill="1" applyBorder="1"/>
    <xf numFmtId="166" fontId="6" fillId="24" borderId="73" xfId="136" applyNumberFormat="1" applyFont="1" applyFill="1" applyBorder="1"/>
    <xf numFmtId="166" fontId="6" fillId="24" borderId="42" xfId="136" applyNumberFormat="1" applyFont="1" applyFill="1" applyBorder="1"/>
    <xf numFmtId="166" fontId="6" fillId="24" borderId="70" xfId="136" applyNumberFormat="1" applyFont="1" applyFill="1" applyBorder="1"/>
    <xf numFmtId="166" fontId="6" fillId="24" borderId="55" xfId="136" applyNumberFormat="1" applyFont="1" applyFill="1" applyBorder="1"/>
    <xf numFmtId="1" fontId="6" fillId="24" borderId="123" xfId="0" applyNumberFormat="1" applyFont="1" applyFill="1" applyBorder="1"/>
    <xf numFmtId="167" fontId="6" fillId="0" borderId="54" xfId="0" applyNumberFormat="1" applyFont="1" applyBorder="1" applyAlignment="1">
      <alignment horizontal="right"/>
    </xf>
    <xf numFmtId="167" fontId="6" fillId="0" borderId="42" xfId="0" applyNumberFormat="1" applyFont="1" applyBorder="1" applyAlignment="1">
      <alignment horizontal="right"/>
    </xf>
    <xf numFmtId="167" fontId="6" fillId="0" borderId="72" xfId="0" applyNumberFormat="1" applyFont="1" applyBorder="1" applyAlignment="1">
      <alignment horizontal="right"/>
    </xf>
    <xf numFmtId="167" fontId="6" fillId="0" borderId="71" xfId="0" applyNumberFormat="1" applyFont="1" applyBorder="1" applyAlignment="1">
      <alignment horizontal="right"/>
    </xf>
    <xf numFmtId="0" fontId="7" fillId="0" borderId="129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6" fillId="0" borderId="85" xfId="0" applyFont="1" applyBorder="1"/>
    <xf numFmtId="1" fontId="6" fillId="0" borderId="59" xfId="0" applyNumberFormat="1" applyFont="1" applyBorder="1"/>
    <xf numFmtId="1" fontId="6" fillId="0" borderId="18" xfId="0" applyNumberFormat="1" applyFont="1" applyBorder="1" applyAlignment="1"/>
    <xf numFmtId="1" fontId="6" fillId="0" borderId="36" xfId="0" applyNumberFormat="1" applyFont="1" applyBorder="1" applyAlignment="1"/>
    <xf numFmtId="1" fontId="6" fillId="0" borderId="13" xfId="0" applyNumberFormat="1" applyFont="1" applyBorder="1" applyAlignment="1"/>
    <xf numFmtId="1" fontId="13" fillId="0" borderId="15" xfId="0" applyNumberFormat="1" applyFont="1" applyFill="1" applyBorder="1" applyAlignment="1"/>
    <xf numFmtId="1" fontId="13" fillId="0" borderId="36" xfId="0" applyNumberFormat="1" applyFont="1" applyFill="1" applyBorder="1" applyAlignment="1"/>
    <xf numFmtId="1" fontId="13" fillId="0" borderId="18" xfId="0" applyNumberFormat="1" applyFont="1" applyFill="1" applyBorder="1" applyAlignment="1"/>
    <xf numFmtId="1" fontId="6" fillId="0" borderId="13" xfId="0" applyNumberFormat="1" applyFont="1" applyFill="1" applyBorder="1" applyAlignment="1"/>
    <xf numFmtId="1" fontId="6" fillId="0" borderId="35" xfId="0" applyNumberFormat="1" applyFont="1" applyFill="1" applyBorder="1" applyAlignment="1"/>
    <xf numFmtId="1" fontId="6" fillId="0" borderId="37" xfId="0" applyNumberFormat="1" applyFont="1" applyBorder="1" applyAlignment="1"/>
    <xf numFmtId="1" fontId="6" fillId="0" borderId="35" xfId="0" applyNumberFormat="1" applyFont="1" applyBorder="1" applyAlignment="1"/>
    <xf numFmtId="1" fontId="6" fillId="0" borderId="27" xfId="0" applyNumberFormat="1" applyFont="1" applyBorder="1" applyAlignment="1"/>
    <xf numFmtId="1" fontId="13" fillId="0" borderId="37" xfId="0" applyNumberFormat="1" applyFont="1" applyFill="1" applyBorder="1" applyAlignment="1"/>
    <xf numFmtId="1" fontId="6" fillId="0" borderId="27" xfId="0" applyNumberFormat="1" applyFont="1" applyFill="1" applyBorder="1" applyAlignment="1"/>
    <xf numFmtId="1" fontId="6" fillId="0" borderId="82" xfId="0" applyNumberFormat="1" applyFont="1" applyBorder="1" applyAlignment="1"/>
    <xf numFmtId="1" fontId="6" fillId="0" borderId="80" xfId="0" applyNumberFormat="1" applyFont="1" applyBorder="1" applyAlignment="1"/>
    <xf numFmtId="1" fontId="6" fillId="0" borderId="81" xfId="0" applyNumberFormat="1" applyFont="1" applyBorder="1" applyAlignment="1"/>
    <xf numFmtId="1" fontId="13" fillId="0" borderId="44" xfId="0" applyNumberFormat="1" applyFont="1" applyFill="1" applyBorder="1" applyAlignment="1"/>
    <xf numFmtId="1" fontId="13" fillId="0" borderId="80" xfId="0" applyNumberFormat="1" applyFont="1" applyFill="1" applyBorder="1" applyAlignment="1"/>
    <xf numFmtId="1" fontId="13" fillId="0" borderId="82" xfId="0" applyNumberFormat="1" applyFont="1" applyFill="1" applyBorder="1" applyAlignment="1"/>
    <xf numFmtId="1" fontId="6" fillId="0" borderId="81" xfId="0" applyNumberFormat="1" applyFont="1" applyFill="1" applyBorder="1" applyAlignment="1"/>
    <xf numFmtId="171" fontId="6" fillId="0" borderId="0" xfId="0" applyNumberFormat="1" applyFont="1"/>
    <xf numFmtId="171" fontId="0" fillId="0" borderId="79" xfId="0" applyNumberFormat="1" applyBorder="1" applyAlignment="1"/>
    <xf numFmtId="171" fontId="7" fillId="24" borderId="0" xfId="127" quotePrefix="1" applyNumberFormat="1" applyFont="1" applyFill="1" applyBorder="1" applyAlignment="1">
      <alignment horizontal="center"/>
    </xf>
    <xf numFmtId="171" fontId="0" fillId="24" borderId="97" xfId="0" applyNumberFormat="1" applyFill="1" applyBorder="1" applyAlignment="1"/>
    <xf numFmtId="171" fontId="7" fillId="24" borderId="0" xfId="127" applyNumberFormat="1" applyFont="1" applyFill="1" applyBorder="1" applyAlignment="1">
      <alignment horizontal="center"/>
    </xf>
    <xf numFmtId="171" fontId="0" fillId="24" borderId="97" xfId="0" applyNumberFormat="1" applyFill="1" applyBorder="1" applyAlignment="1">
      <alignment horizontal="center"/>
    </xf>
    <xf numFmtId="171" fontId="7" fillId="0" borderId="0" xfId="127" applyNumberFormat="1" applyFont="1" applyBorder="1" applyAlignment="1">
      <alignment horizontal="center"/>
    </xf>
    <xf numFmtId="171" fontId="6" fillId="0" borderId="79" xfId="0" applyNumberFormat="1" applyFont="1" applyBorder="1" applyAlignment="1">
      <alignment horizontal="center"/>
    </xf>
    <xf numFmtId="171" fontId="6" fillId="24" borderId="97" xfId="0" applyNumberFormat="1" applyFont="1" applyFill="1" applyBorder="1"/>
    <xf numFmtId="171" fontId="6" fillId="0" borderId="0" xfId="0" applyNumberFormat="1" applyFont="1" applyBorder="1"/>
    <xf numFmtId="171" fontId="6" fillId="24" borderId="0" xfId="0" applyNumberFormat="1" applyFont="1" applyFill="1" applyBorder="1"/>
    <xf numFmtId="171" fontId="6" fillId="24" borderId="79" xfId="127" applyNumberFormat="1" applyFont="1" applyFill="1" applyBorder="1" applyAlignment="1"/>
    <xf numFmtId="171" fontId="6" fillId="24" borderId="99" xfId="127" applyNumberFormat="1" applyFont="1" applyFill="1" applyBorder="1" applyAlignment="1">
      <alignment horizontal="right"/>
    </xf>
    <xf numFmtId="171" fontId="6" fillId="24" borderId="104" xfId="127" applyNumberFormat="1" applyFont="1" applyFill="1" applyBorder="1" applyAlignment="1">
      <alignment horizontal="right"/>
    </xf>
    <xf numFmtId="171" fontId="6" fillId="24" borderId="99" xfId="0" applyNumberFormat="1" applyFont="1" applyFill="1" applyBorder="1"/>
    <xf numFmtId="171" fontId="6" fillId="24" borderId="104" xfId="0" applyNumberFormat="1" applyFont="1" applyFill="1" applyBorder="1"/>
    <xf numFmtId="1" fontId="6" fillId="0" borderId="61" xfId="0" applyNumberFormat="1" applyFont="1" applyBorder="1" applyAlignment="1">
      <alignment horizontal="right"/>
    </xf>
    <xf numFmtId="1" fontId="7" fillId="0" borderId="61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center"/>
    </xf>
    <xf numFmtId="171" fontId="6" fillId="0" borderId="59" xfId="0" applyNumberFormat="1" applyFont="1" applyBorder="1" applyAlignment="1">
      <alignment horizontal="center"/>
    </xf>
    <xf numFmtId="1" fontId="6" fillId="0" borderId="57" xfId="0" applyNumberFormat="1" applyFont="1" applyBorder="1" applyAlignment="1">
      <alignment horizontal="center"/>
    </xf>
    <xf numFmtId="171" fontId="6" fillId="0" borderId="69" xfId="0" applyNumberFormat="1" applyFont="1" applyBorder="1" applyAlignment="1">
      <alignment horizontal="center"/>
    </xf>
    <xf numFmtId="1" fontId="6" fillId="0" borderId="120" xfId="0" applyNumberFormat="1" applyFont="1" applyBorder="1" applyAlignment="1">
      <alignment horizontal="center"/>
    </xf>
    <xf numFmtId="164" fontId="6" fillId="0" borderId="61" xfId="0" applyNumberFormat="1" applyFont="1" applyBorder="1" applyAlignment="1">
      <alignment horizontal="center"/>
    </xf>
    <xf numFmtId="164" fontId="6" fillId="0" borderId="64" xfId="0" applyNumberFormat="1" applyFont="1" applyBorder="1" applyAlignment="1">
      <alignment horizontal="center"/>
    </xf>
    <xf numFmtId="0" fontId="6" fillId="0" borderId="55" xfId="0" applyNumberFormat="1" applyFont="1" applyFill="1" applyBorder="1" applyAlignment="1">
      <alignment horizontal="center"/>
    </xf>
    <xf numFmtId="167" fontId="6" fillId="0" borderId="30" xfId="0" applyNumberFormat="1" applyFont="1" applyFill="1" applyBorder="1" applyAlignment="1">
      <alignment horizontal="center"/>
    </xf>
    <xf numFmtId="0" fontId="6" fillId="0" borderId="122" xfId="0" applyFont="1" applyBorder="1" applyAlignment="1">
      <alignment horizontal="center"/>
    </xf>
    <xf numFmtId="167" fontId="6" fillId="0" borderId="61" xfId="0" applyNumberFormat="1" applyFont="1" applyBorder="1" applyAlignment="1">
      <alignment horizontal="center"/>
    </xf>
    <xf numFmtId="0" fontId="6" fillId="0" borderId="46" xfId="0" applyNumberFormat="1" applyFont="1" applyBorder="1" applyAlignment="1">
      <alignment horizontal="center"/>
    </xf>
    <xf numFmtId="0" fontId="6" fillId="0" borderId="77" xfId="0" applyNumberFormat="1" applyFont="1" applyFill="1" applyBorder="1" applyAlignment="1">
      <alignment horizontal="center"/>
    </xf>
    <xf numFmtId="0" fontId="6" fillId="0" borderId="46" xfId="0" applyNumberFormat="1" applyFont="1" applyFill="1" applyBorder="1" applyAlignment="1">
      <alignment horizontal="center"/>
    </xf>
    <xf numFmtId="167" fontId="6" fillId="0" borderId="46" xfId="0" applyNumberFormat="1" applyFont="1" applyFill="1" applyBorder="1" applyAlignment="1">
      <alignment horizontal="center"/>
    </xf>
    <xf numFmtId="0" fontId="6" fillId="0" borderId="61" xfId="0" applyFont="1" applyBorder="1" applyAlignment="1">
      <alignment horizontal="right"/>
    </xf>
    <xf numFmtId="164" fontId="6" fillId="0" borderId="54" xfId="0" applyNumberFormat="1" applyFont="1" applyBorder="1" applyAlignment="1">
      <alignment horizontal="center"/>
    </xf>
    <xf numFmtId="164" fontId="6" fillId="0" borderId="54" xfId="0" applyNumberFormat="1" applyFont="1" applyFill="1" applyBorder="1" applyAlignment="1">
      <alignment horizontal="center"/>
    </xf>
    <xf numFmtId="167" fontId="6" fillId="0" borderId="29" xfId="0" applyNumberFormat="1" applyFont="1" applyFill="1" applyBorder="1" applyAlignment="1">
      <alignment horizontal="center"/>
    </xf>
    <xf numFmtId="0" fontId="0" fillId="0" borderId="122" xfId="0" applyFill="1" applyBorder="1" applyAlignment="1">
      <alignment horizontal="center"/>
    </xf>
    <xf numFmtId="0" fontId="6" fillId="0" borderId="55" xfId="0" applyNumberFormat="1" applyFont="1" applyBorder="1" applyAlignment="1">
      <alignment horizontal="center"/>
    </xf>
    <xf numFmtId="0" fontId="6" fillId="0" borderId="77" xfId="0" applyNumberFormat="1" applyFont="1" applyBorder="1" applyAlignment="1">
      <alignment horizontal="center"/>
    </xf>
    <xf numFmtId="5" fontId="6" fillId="0" borderId="78" xfId="0" applyNumberFormat="1" applyFont="1" applyBorder="1" applyAlignment="1">
      <alignment horizontal="center"/>
    </xf>
    <xf numFmtId="167" fontId="6" fillId="0" borderId="78" xfId="0" applyNumberFormat="1" applyFont="1" applyBorder="1" applyAlignment="1">
      <alignment horizontal="center"/>
    </xf>
    <xf numFmtId="167" fontId="6" fillId="0" borderId="30" xfId="0" applyNumberFormat="1" applyFont="1" applyBorder="1" applyAlignment="1">
      <alignment horizontal="center"/>
    </xf>
    <xf numFmtId="167" fontId="6" fillId="0" borderId="55" xfId="0" applyNumberFormat="1" applyFont="1" applyFill="1" applyBorder="1" applyAlignment="1">
      <alignment horizontal="center"/>
    </xf>
    <xf numFmtId="167" fontId="6" fillId="0" borderId="55" xfId="0" applyNumberFormat="1" applyFont="1" applyBorder="1" applyAlignment="1">
      <alignment horizontal="center"/>
    </xf>
    <xf numFmtId="164" fontId="6" fillId="0" borderId="78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3" fontId="6" fillId="0" borderId="30" xfId="0" applyNumberFormat="1" applyFont="1" applyFill="1" applyBorder="1" applyAlignment="1">
      <alignment horizontal="right"/>
    </xf>
    <xf numFmtId="3" fontId="6" fillId="0" borderId="72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0" fontId="6" fillId="0" borderId="71" xfId="0" applyFont="1" applyFill="1" applyBorder="1" applyAlignment="1">
      <alignment horizontal="right"/>
    </xf>
    <xf numFmtId="3" fontId="6" fillId="0" borderId="72" xfId="0" applyNumberFormat="1" applyFont="1" applyFill="1" applyBorder="1" applyAlignment="1">
      <alignment horizontal="right"/>
    </xf>
    <xf numFmtId="0" fontId="6" fillId="0" borderId="33" xfId="0" applyFont="1" applyFill="1" applyBorder="1" applyAlignment="1">
      <alignment horizontal="right"/>
    </xf>
    <xf numFmtId="3" fontId="6" fillId="0" borderId="33" xfId="0" applyNumberFormat="1" applyFont="1" applyFill="1" applyBorder="1" applyAlignment="1">
      <alignment horizontal="right"/>
    </xf>
    <xf numFmtId="5" fontId="6" fillId="0" borderId="78" xfId="0" applyNumberFormat="1" applyFont="1" applyFill="1" applyBorder="1" applyAlignment="1">
      <alignment horizontal="center"/>
    </xf>
    <xf numFmtId="167" fontId="6" fillId="0" borderId="78" xfId="0" applyNumberFormat="1" applyFont="1" applyFill="1" applyBorder="1" applyAlignment="1">
      <alignment horizontal="center"/>
    </xf>
    <xf numFmtId="3" fontId="6" fillId="0" borderId="22" xfId="0" applyNumberFormat="1" applyFont="1" applyFill="1" applyBorder="1"/>
    <xf numFmtId="3" fontId="6" fillId="0" borderId="38" xfId="0" applyNumberFormat="1" applyFont="1" applyFill="1" applyBorder="1"/>
    <xf numFmtId="3" fontId="6" fillId="0" borderId="19" xfId="0" applyNumberFormat="1" applyFont="1" applyFill="1" applyBorder="1"/>
    <xf numFmtId="3" fontId="6" fillId="0" borderId="17" xfId="0" applyNumberFormat="1" applyFont="1" applyFill="1" applyBorder="1"/>
    <xf numFmtId="3" fontId="6" fillId="0" borderId="86" xfId="0" applyNumberFormat="1" applyFont="1" applyFill="1" applyBorder="1"/>
    <xf numFmtId="3" fontId="6" fillId="0" borderId="36" xfId="0" applyNumberFormat="1" applyFont="1" applyFill="1" applyBorder="1"/>
    <xf numFmtId="3" fontId="6" fillId="0" borderId="13" xfId="0" applyNumberFormat="1" applyFont="1" applyFill="1" applyBorder="1"/>
    <xf numFmtId="3" fontId="6" fillId="0" borderId="43" xfId="0" applyNumberFormat="1" applyFont="1" applyFill="1" applyBorder="1"/>
    <xf numFmtId="3" fontId="6" fillId="0" borderId="15" xfId="0" applyNumberFormat="1" applyFont="1" applyFill="1" applyBorder="1"/>
    <xf numFmtId="3" fontId="6" fillId="0" borderId="18" xfId="0" applyNumberFormat="1" applyFont="1" applyFill="1" applyBorder="1"/>
    <xf numFmtId="3" fontId="6" fillId="0" borderId="36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25" borderId="15" xfId="0" applyNumberFormat="1" applyFont="1" applyFill="1" applyBorder="1"/>
    <xf numFmtId="3" fontId="6" fillId="0" borderId="44" xfId="0" applyNumberFormat="1" applyFont="1" applyFill="1" applyBorder="1"/>
    <xf numFmtId="3" fontId="6" fillId="0" borderId="80" xfId="0" applyNumberFormat="1" applyFont="1" applyFill="1" applyBorder="1"/>
    <xf numFmtId="3" fontId="6" fillId="0" borderId="81" xfId="0" applyNumberFormat="1" applyFont="1" applyFill="1" applyBorder="1"/>
    <xf numFmtId="3" fontId="6" fillId="25" borderId="44" xfId="0" applyNumberFormat="1" applyFont="1" applyFill="1" applyBorder="1"/>
    <xf numFmtId="1" fontId="6" fillId="0" borderId="45" xfId="0" applyNumberFormat="1" applyFont="1" applyBorder="1" applyAlignment="1">
      <alignment horizontal="center"/>
    </xf>
    <xf numFmtId="2" fontId="6" fillId="0" borderId="126" xfId="0" applyNumberFormat="1" applyFont="1" applyBorder="1" applyAlignment="1">
      <alignment horizontal="center"/>
    </xf>
    <xf numFmtId="1" fontId="6" fillId="26" borderId="35" xfId="0" applyNumberFormat="1" applyFont="1" applyFill="1" applyBorder="1" applyAlignment="1">
      <alignment horizontal="right"/>
    </xf>
    <xf numFmtId="1" fontId="6" fillId="26" borderId="37" xfId="0" applyNumberFormat="1" applyFont="1" applyFill="1" applyBorder="1" applyAlignment="1">
      <alignment horizontal="right"/>
    </xf>
    <xf numFmtId="1" fontId="6" fillId="26" borderId="27" xfId="0" applyNumberFormat="1" applyFont="1" applyFill="1" applyBorder="1" applyAlignment="1">
      <alignment horizontal="right"/>
    </xf>
    <xf numFmtId="1" fontId="6" fillId="26" borderId="26" xfId="0" applyNumberFormat="1" applyFont="1" applyFill="1" applyBorder="1" applyAlignment="1">
      <alignment horizontal="right"/>
    </xf>
    <xf numFmtId="166" fontId="6" fillId="0" borderId="29" xfId="136" applyNumberFormat="1" applyFont="1" applyBorder="1"/>
    <xf numFmtId="166" fontId="6" fillId="0" borderId="30" xfId="136" applyNumberFormat="1" applyFont="1" applyBorder="1"/>
    <xf numFmtId="166" fontId="6" fillId="0" borderId="54" xfId="136" applyNumberFormat="1" applyFont="1" applyFill="1" applyBorder="1"/>
    <xf numFmtId="166" fontId="6" fillId="0" borderId="55" xfId="136" applyNumberFormat="1" applyFont="1" applyFill="1" applyBorder="1"/>
    <xf numFmtId="166" fontId="6" fillId="0" borderId="97" xfId="134" applyNumberFormat="1" applyFon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131" xfId="0" applyFont="1" applyBorder="1" applyAlignment="1">
      <alignment horizontal="centerContinuous"/>
    </xf>
    <xf numFmtId="166" fontId="6" fillId="24" borderId="54" xfId="136" applyNumberFormat="1" applyFont="1" applyFill="1" applyBorder="1"/>
    <xf numFmtId="0" fontId="7" fillId="0" borderId="132" xfId="0" applyFont="1" applyBorder="1" applyAlignment="1">
      <alignment horizontal="centerContinuous"/>
    </xf>
    <xf numFmtId="0" fontId="6" fillId="24" borderId="54" xfId="0" applyFont="1" applyFill="1" applyBorder="1"/>
    <xf numFmtId="3" fontId="6" fillId="24" borderId="55" xfId="0" applyNumberFormat="1" applyFont="1" applyFill="1" applyBorder="1" applyAlignment="1">
      <alignment horizontal="right"/>
    </xf>
    <xf numFmtId="3" fontId="6" fillId="24" borderId="55" xfId="0" applyNumberFormat="1" applyFont="1" applyFill="1" applyBorder="1"/>
    <xf numFmtId="3" fontId="7" fillId="24" borderId="72" xfId="0" applyNumberFormat="1" applyFont="1" applyFill="1" applyBorder="1"/>
    <xf numFmtId="167" fontId="7" fillId="0" borderId="30" xfId="0" applyNumberFormat="1" applyFont="1" applyBorder="1"/>
    <xf numFmtId="167" fontId="6" fillId="0" borderId="55" xfId="0" applyNumberFormat="1" applyFont="1" applyBorder="1" applyAlignment="1">
      <alignment horizontal="right" indent="1"/>
    </xf>
    <xf numFmtId="167" fontId="6" fillId="0" borderId="55" xfId="0" applyNumberFormat="1" applyFont="1" applyBorder="1" applyAlignment="1">
      <alignment horizontal="right" wrapText="1" indent="1"/>
    </xf>
    <xf numFmtId="167" fontId="7" fillId="0" borderId="55" xfId="0" applyNumberFormat="1" applyFont="1" applyBorder="1" applyAlignment="1">
      <alignment horizontal="right" indent="1"/>
    </xf>
    <xf numFmtId="167" fontId="12" fillId="0" borderId="55" xfId="0" applyNumberFormat="1" applyFont="1" applyBorder="1" applyAlignment="1">
      <alignment horizontal="left" indent="1"/>
    </xf>
    <xf numFmtId="167" fontId="6" fillId="0" borderId="55" xfId="0" applyNumberFormat="1" applyFont="1" applyBorder="1" applyAlignment="1">
      <alignment horizontal="left" indent="1"/>
    </xf>
    <xf numFmtId="167" fontId="6" fillId="0" borderId="55" xfId="0" applyNumberFormat="1" applyFont="1" applyBorder="1" applyAlignment="1">
      <alignment horizontal="left" wrapText="1" indent="1"/>
    </xf>
    <xf numFmtId="167" fontId="7" fillId="0" borderId="78" xfId="0" applyNumberFormat="1" applyFont="1" applyBorder="1" applyAlignment="1">
      <alignment horizontal="right" indent="1"/>
    </xf>
    <xf numFmtId="0" fontId="6" fillId="0" borderId="97" xfId="0" applyFont="1" applyBorder="1" applyAlignment="1">
      <alignment horizontal="center"/>
    </xf>
    <xf numFmtId="166" fontId="7" fillId="0" borderId="18" xfId="0" applyNumberFormat="1" applyFont="1" applyFill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0" fontId="6" fillId="0" borderId="82" xfId="0" applyFont="1" applyBorder="1" applyAlignment="1">
      <alignment horizontal="right"/>
    </xf>
    <xf numFmtId="166" fontId="6" fillId="0" borderId="55" xfId="0" applyNumberFormat="1" applyFont="1" applyBorder="1" applyAlignment="1">
      <alignment horizontal="right"/>
    </xf>
    <xf numFmtId="167" fontId="6" fillId="0" borderId="54" xfId="0" applyNumberFormat="1" applyFont="1" applyFill="1" applyBorder="1" applyAlignment="1">
      <alignment horizontal="right"/>
    </xf>
    <xf numFmtId="0" fontId="6" fillId="0" borderId="53" xfId="0" applyFont="1" applyFill="1" applyBorder="1" applyAlignment="1">
      <alignment horizontal="right"/>
    </xf>
    <xf numFmtId="0" fontId="8" fillId="24" borderId="35" xfId="0" applyFont="1" applyFill="1" applyBorder="1"/>
    <xf numFmtId="0" fontId="8" fillId="24" borderId="37" xfId="0" applyFont="1" applyFill="1" applyBorder="1"/>
    <xf numFmtId="0" fontId="8" fillId="24" borderId="77" xfId="0" applyFont="1" applyFill="1" applyBorder="1"/>
    <xf numFmtId="0" fontId="6" fillId="24" borderId="35" xfId="0" applyFont="1" applyFill="1" applyBorder="1"/>
    <xf numFmtId="0" fontId="6" fillId="24" borderId="27" xfId="0" applyFont="1" applyFill="1" applyBorder="1"/>
    <xf numFmtId="0" fontId="6" fillId="24" borderId="26" xfId="0" applyFont="1" applyFill="1" applyBorder="1"/>
    <xf numFmtId="0" fontId="6" fillId="24" borderId="37" xfId="0" applyFont="1" applyFill="1" applyBorder="1"/>
    <xf numFmtId="0" fontId="5" fillId="0" borderId="30" xfId="0" applyFont="1" applyBorder="1" applyAlignment="1">
      <alignment horizontal="right"/>
    </xf>
    <xf numFmtId="0" fontId="5" fillId="0" borderId="70" xfId="0" applyFont="1" applyBorder="1"/>
    <xf numFmtId="3" fontId="5" fillId="0" borderId="30" xfId="0" applyNumberFormat="1" applyFont="1" applyBorder="1" applyAlignment="1">
      <alignment horizontal="right"/>
    </xf>
    <xf numFmtId="3" fontId="5" fillId="0" borderId="55" xfId="0" applyNumberFormat="1" applyFont="1" applyBorder="1" applyAlignment="1">
      <alignment horizontal="right"/>
    </xf>
    <xf numFmtId="0" fontId="5" fillId="0" borderId="30" xfId="0" applyFont="1" applyBorder="1"/>
    <xf numFmtId="0" fontId="5" fillId="0" borderId="16" xfId="0" applyFont="1" applyBorder="1"/>
    <xf numFmtId="1" fontId="5" fillId="0" borderId="61" xfId="0" applyNumberFormat="1" applyFont="1" applyBorder="1" applyAlignment="1">
      <alignment horizontal="right"/>
    </xf>
    <xf numFmtId="0" fontId="17" fillId="0" borderId="30" xfId="0" applyFont="1" applyBorder="1"/>
    <xf numFmtId="3" fontId="5" fillId="0" borderId="30" xfId="0" applyNumberFormat="1" applyFont="1" applyBorder="1"/>
    <xf numFmtId="3" fontId="5" fillId="0" borderId="55" xfId="0" applyNumberFormat="1" applyFont="1" applyBorder="1"/>
    <xf numFmtId="0" fontId="5" fillId="0" borderId="0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71" xfId="0" applyFont="1" applyBorder="1" applyAlignment="1">
      <alignment horizontal="right"/>
    </xf>
    <xf numFmtId="0" fontId="4" fillId="0" borderId="72" xfId="0" applyFont="1" applyBorder="1" applyAlignment="1">
      <alignment horizontal="right"/>
    </xf>
    <xf numFmtId="0" fontId="5" fillId="0" borderId="56" xfId="0" applyFont="1" applyBorder="1"/>
    <xf numFmtId="0" fontId="6" fillId="0" borderId="0" xfId="0" applyFont="1" applyAlignment="1">
      <alignment horizontal="centerContinuous"/>
    </xf>
    <xf numFmtId="171" fontId="6" fillId="0" borderId="0" xfId="0" applyNumberFormat="1" applyFont="1" applyFill="1"/>
    <xf numFmtId="171" fontId="6" fillId="0" borderId="0" xfId="0" applyNumberFormat="1" applyFont="1" applyFill="1" applyBorder="1"/>
    <xf numFmtId="171" fontId="6" fillId="0" borderId="99" xfId="0" applyNumberFormat="1" applyFont="1" applyFill="1" applyBorder="1"/>
    <xf numFmtId="1" fontId="6" fillId="24" borderId="69" xfId="0" applyNumberFormat="1" applyFont="1" applyFill="1" applyBorder="1" applyAlignment="1">
      <alignment horizontal="right"/>
    </xf>
    <xf numFmtId="1" fontId="6" fillId="0" borderId="99" xfId="0" applyNumberFormat="1" applyFont="1" applyFill="1" applyBorder="1"/>
    <xf numFmtId="3" fontId="6" fillId="0" borderId="100" xfId="82" applyNumberFormat="1" applyFont="1" applyFill="1" applyBorder="1" applyAlignment="1">
      <alignment horizontal="right"/>
    </xf>
    <xf numFmtId="166" fontId="6" fillId="0" borderId="37" xfId="134" applyNumberFormat="1" applyFont="1" applyFill="1" applyBorder="1" applyAlignment="1">
      <alignment horizontal="right"/>
    </xf>
    <xf numFmtId="167" fontId="13" fillId="0" borderId="104" xfId="0" applyNumberFormat="1" applyFont="1" applyFill="1" applyBorder="1" applyAlignment="1" applyProtection="1"/>
    <xf numFmtId="166" fontId="6" fillId="0" borderId="62" xfId="0" applyNumberFormat="1" applyFont="1" applyBorder="1"/>
    <xf numFmtId="1" fontId="6" fillId="0" borderId="9" xfId="0" applyNumberFormat="1" applyFont="1" applyBorder="1"/>
    <xf numFmtId="0" fontId="6" fillId="0" borderId="0" xfId="0" applyFont="1" applyFill="1" applyAlignment="1">
      <alignment horizontal="centerContinuous"/>
    </xf>
    <xf numFmtId="165" fontId="6" fillId="0" borderId="73" xfId="86" applyFont="1" applyFill="1" applyBorder="1" applyAlignment="1">
      <alignment horizontal="center"/>
    </xf>
    <xf numFmtId="167" fontId="6" fillId="0" borderId="79" xfId="0" applyNumberFormat="1" applyFont="1" applyFill="1" applyBorder="1"/>
    <xf numFmtId="166" fontId="6" fillId="0" borderId="0" xfId="13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Continuous"/>
    </xf>
    <xf numFmtId="1" fontId="13" fillId="0" borderId="26" xfId="0" applyNumberFormat="1" applyFont="1" applyBorder="1" applyAlignment="1">
      <alignment horizontal="right"/>
    </xf>
    <xf numFmtId="1" fontId="13" fillId="0" borderId="0" xfId="0" applyNumberFormat="1" applyFont="1" applyFill="1" applyBorder="1"/>
    <xf numFmtId="164" fontId="13" fillId="0" borderId="33" xfId="0" applyNumberFormat="1" applyFont="1" applyFill="1" applyBorder="1"/>
    <xf numFmtId="164" fontId="13" fillId="0" borderId="72" xfId="86" applyNumberFormat="1" applyFont="1" applyFill="1" applyBorder="1" applyAlignment="1">
      <alignment horizontal="right"/>
    </xf>
    <xf numFmtId="1" fontId="13" fillId="0" borderId="106" xfId="0" applyNumberFormat="1" applyFont="1" applyFill="1" applyBorder="1"/>
    <xf numFmtId="0" fontId="6" fillId="0" borderId="83" xfId="0" applyFont="1" applyBorder="1" applyAlignment="1">
      <alignment horizontal="right"/>
    </xf>
    <xf numFmtId="0" fontId="6" fillId="0" borderId="54" xfId="0" applyFont="1" applyFill="1" applyBorder="1" applyAlignment="1">
      <alignment horizontal="center"/>
    </xf>
    <xf numFmtId="5" fontId="6" fillId="0" borderId="54" xfId="0" applyNumberFormat="1" applyFont="1" applyFill="1" applyBorder="1" applyAlignment="1">
      <alignment horizontal="right"/>
    </xf>
    <xf numFmtId="167" fontId="6" fillId="0" borderId="72" xfId="0" applyNumberFormat="1" applyFont="1" applyFill="1" applyBorder="1" applyAlignment="1">
      <alignment horizontal="right"/>
    </xf>
    <xf numFmtId="1" fontId="0" fillId="0" borderId="18" xfId="0" applyNumberFormat="1" applyFill="1" applyBorder="1"/>
    <xf numFmtId="1" fontId="7" fillId="0" borderId="54" xfId="0" applyNumberFormat="1" applyFont="1" applyFill="1" applyBorder="1" applyAlignment="1">
      <alignment horizontal="center"/>
    </xf>
    <xf numFmtId="1" fontId="6" fillId="0" borderId="54" xfId="0" applyNumberFormat="1" applyFont="1" applyFill="1" applyBorder="1"/>
    <xf numFmtId="1" fontId="6" fillId="24" borderId="54" xfId="0" applyNumberFormat="1" applyFont="1" applyFill="1" applyBorder="1"/>
    <xf numFmtId="0" fontId="9" fillId="0" borderId="0" xfId="0" applyFont="1" applyFill="1" applyAlignment="1">
      <alignment horizontal="centerContinuous"/>
    </xf>
    <xf numFmtId="3" fontId="0" fillId="0" borderId="0" xfId="0" applyNumberFormat="1" applyFill="1" applyAlignment="1">
      <alignment horizontal="centerContinuous"/>
    </xf>
    <xf numFmtId="4" fontId="6" fillId="0" borderId="55" xfId="0" applyNumberFormat="1" applyFont="1" applyFill="1" applyBorder="1"/>
    <xf numFmtId="167" fontId="6" fillId="0" borderId="73" xfId="0" applyNumberFormat="1" applyFont="1" applyFill="1" applyBorder="1" applyAlignment="1">
      <alignment horizontal="right"/>
    </xf>
    <xf numFmtId="167" fontId="6" fillId="0" borderId="78" xfId="82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35" xfId="0" applyFont="1" applyFill="1" applyBorder="1"/>
    <xf numFmtId="0" fontId="6" fillId="0" borderId="50" xfId="0" applyFont="1" applyFill="1" applyBorder="1" applyAlignment="1">
      <alignment wrapText="1"/>
    </xf>
    <xf numFmtId="0" fontId="6" fillId="0" borderId="66" xfId="0" applyFont="1" applyFill="1" applyBorder="1"/>
    <xf numFmtId="167" fontId="6" fillId="0" borderId="77" xfId="0" applyNumberFormat="1" applyFont="1" applyFill="1" applyBorder="1" applyAlignment="1">
      <alignment horizontal="center"/>
    </xf>
    <xf numFmtId="0" fontId="6" fillId="0" borderId="46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center"/>
    </xf>
    <xf numFmtId="167" fontId="6" fillId="0" borderId="78" xfId="86" applyNumberFormat="1" applyFont="1" applyFill="1" applyBorder="1" applyAlignment="1">
      <alignment horizontal="right"/>
    </xf>
    <xf numFmtId="164" fontId="6" fillId="25" borderId="29" xfId="86" applyNumberFormat="1" applyFont="1" applyFill="1" applyBorder="1" applyAlignment="1">
      <alignment horizontal="right"/>
    </xf>
    <xf numFmtId="166" fontId="6" fillId="0" borderId="29" xfId="136" applyNumberFormat="1" applyFont="1" applyFill="1" applyBorder="1"/>
    <xf numFmtId="166" fontId="6" fillId="0" borderId="30" xfId="136" applyNumberFormat="1" applyFont="1" applyFill="1" applyBorder="1"/>
    <xf numFmtId="3" fontId="6" fillId="0" borderId="133" xfId="82" applyNumberFormat="1" applyFont="1" applyBorder="1" applyAlignment="1">
      <alignment horizontal="center"/>
    </xf>
    <xf numFmtId="0" fontId="7" fillId="0" borderId="74" xfId="0" applyFont="1" applyFill="1" applyBorder="1" applyAlignment="1">
      <alignment horizontal="right"/>
    </xf>
    <xf numFmtId="166" fontId="6" fillId="0" borderId="40" xfId="136" applyNumberFormat="1" applyFont="1" applyFill="1" applyBorder="1"/>
    <xf numFmtId="166" fontId="6" fillId="0" borderId="73" xfId="136" applyNumberFormat="1" applyFont="1" applyFill="1" applyBorder="1"/>
    <xf numFmtId="166" fontId="6" fillId="0" borderId="42" xfId="136" applyNumberFormat="1" applyFont="1" applyFill="1" applyBorder="1"/>
    <xf numFmtId="166" fontId="6" fillId="0" borderId="70" xfId="136" applyNumberFormat="1" applyFont="1" applyFill="1" applyBorder="1"/>
    <xf numFmtId="167" fontId="6" fillId="0" borderId="55" xfId="0" applyNumberFormat="1" applyFont="1" applyBorder="1"/>
    <xf numFmtId="0" fontId="6" fillId="0" borderId="77" xfId="0" applyNumberFormat="1" applyFont="1" applyBorder="1"/>
    <xf numFmtId="167" fontId="6" fillId="0" borderId="78" xfId="0" applyNumberFormat="1" applyFont="1" applyBorder="1" applyAlignment="1">
      <alignment horizontal="right"/>
    </xf>
    <xf numFmtId="0" fontId="6" fillId="0" borderId="73" xfId="0" applyFont="1" applyBorder="1" applyAlignment="1">
      <alignment horizontal="center"/>
    </xf>
    <xf numFmtId="167" fontId="6" fillId="0" borderId="77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164" fontId="6" fillId="0" borderId="70" xfId="0" applyNumberFormat="1" applyFont="1" applyBorder="1"/>
    <xf numFmtId="1" fontId="6" fillId="0" borderId="74" xfId="0" applyNumberFormat="1" applyFont="1" applyBorder="1" applyAlignment="1">
      <alignment horizontal="center"/>
    </xf>
    <xf numFmtId="0" fontId="7" fillId="24" borderId="22" xfId="0" applyFont="1" applyFill="1" applyBorder="1" applyAlignment="1">
      <alignment horizontal="center"/>
    </xf>
    <xf numFmtId="0" fontId="7" fillId="24" borderId="41" xfId="0" applyFont="1" applyFill="1" applyBorder="1" applyAlignment="1">
      <alignment horizontal="center"/>
    </xf>
    <xf numFmtId="0" fontId="6" fillId="24" borderId="46" xfId="0" applyFont="1" applyFill="1" applyBorder="1" applyAlignment="1">
      <alignment horizontal="right"/>
    </xf>
    <xf numFmtId="0" fontId="12" fillId="24" borderId="29" xfId="0" applyFont="1" applyFill="1" applyBorder="1" applyAlignment="1">
      <alignment horizontal="left" indent="1"/>
    </xf>
    <xf numFmtId="0" fontId="7" fillId="24" borderId="30" xfId="0" applyFont="1" applyFill="1" applyBorder="1"/>
    <xf numFmtId="0" fontId="7" fillId="24" borderId="46" xfId="0" applyFont="1" applyFill="1" applyBorder="1"/>
    <xf numFmtId="0" fontId="7" fillId="24" borderId="34" xfId="0" applyFont="1" applyFill="1" applyBorder="1"/>
    <xf numFmtId="0" fontId="7" fillId="24" borderId="0" xfId="0" applyFont="1" applyFill="1" applyBorder="1" applyAlignment="1">
      <alignment horizontal="left" indent="1"/>
    </xf>
    <xf numFmtId="0" fontId="6" fillId="24" borderId="33" xfId="0" applyFont="1" applyFill="1" applyBorder="1" applyAlignment="1">
      <alignment horizontal="left" indent="1"/>
    </xf>
    <xf numFmtId="0" fontId="7" fillId="24" borderId="46" xfId="0" applyFont="1" applyFill="1" applyBorder="1" applyAlignment="1">
      <alignment horizontal="center"/>
    </xf>
    <xf numFmtId="0" fontId="7" fillId="0" borderId="33" xfId="0" applyFont="1" applyBorder="1"/>
    <xf numFmtId="0" fontId="6" fillId="0" borderId="57" xfId="127" applyFont="1" applyBorder="1"/>
    <xf numFmtId="0" fontId="7" fillId="0" borderId="134" xfId="0" applyFont="1" applyBorder="1" applyAlignment="1">
      <alignment horizontal="center"/>
    </xf>
    <xf numFmtId="0" fontId="7" fillId="0" borderId="106" xfId="0" applyFont="1" applyBorder="1"/>
    <xf numFmtId="0" fontId="7" fillId="0" borderId="23" xfId="127" applyFont="1" applyBorder="1"/>
    <xf numFmtId="0" fontId="6" fillId="0" borderId="20" xfId="127" applyFont="1" applyBorder="1"/>
    <xf numFmtId="0" fontId="6" fillId="0" borderId="11" xfId="127" applyFont="1" applyBorder="1"/>
    <xf numFmtId="1" fontId="13" fillId="24" borderId="26" xfId="0" applyNumberFormat="1" applyFont="1" applyFill="1" applyBorder="1"/>
    <xf numFmtId="1" fontId="13" fillId="24" borderId="37" xfId="0" applyNumberFormat="1" applyFont="1" applyFill="1" applyBorder="1" applyAlignment="1">
      <alignment horizontal="right"/>
    </xf>
    <xf numFmtId="0" fontId="7" fillId="0" borderId="135" xfId="0" applyFont="1" applyBorder="1" applyAlignment="1">
      <alignment horizontal="centerContinuous"/>
    </xf>
    <xf numFmtId="0" fontId="7" fillId="0" borderId="136" xfId="0" applyFont="1" applyBorder="1" applyAlignment="1">
      <alignment horizontal="center"/>
    </xf>
    <xf numFmtId="0" fontId="7" fillId="0" borderId="137" xfId="0" applyFont="1" applyBorder="1" applyAlignment="1">
      <alignment horizontal="center"/>
    </xf>
    <xf numFmtId="0" fontId="6" fillId="0" borderId="138" xfId="0" applyFont="1" applyBorder="1"/>
    <xf numFmtId="0" fontId="6" fillId="0" borderId="136" xfId="0" applyFont="1" applyBorder="1"/>
    <xf numFmtId="1" fontId="6" fillId="0" borderId="136" xfId="0" applyNumberFormat="1" applyFont="1" applyBorder="1"/>
    <xf numFmtId="1" fontId="6" fillId="0" borderId="136" xfId="0" applyNumberFormat="1" applyFont="1" applyBorder="1" applyAlignment="1">
      <alignment horizontal="right"/>
    </xf>
    <xf numFmtId="1" fontId="6" fillId="0" borderId="139" xfId="0" applyNumberFormat="1" applyFont="1" applyBorder="1" applyAlignment="1">
      <alignment horizontal="right"/>
    </xf>
    <xf numFmtId="3" fontId="7" fillId="0" borderId="33" xfId="0" applyNumberFormat="1" applyFont="1" applyBorder="1"/>
    <xf numFmtId="0" fontId="7" fillId="0" borderId="13" xfId="0" applyFont="1" applyBorder="1"/>
    <xf numFmtId="5" fontId="6" fillId="0" borderId="34" xfId="0" applyNumberFormat="1" applyFont="1" applyFill="1" applyBorder="1" applyAlignment="1">
      <alignment horizontal="right"/>
    </xf>
    <xf numFmtId="5" fontId="6" fillId="0" borderId="34" xfId="0" applyNumberFormat="1" applyFont="1" applyBorder="1" applyAlignment="1">
      <alignment horizontal="center"/>
    </xf>
    <xf numFmtId="5" fontId="6" fillId="0" borderId="33" xfId="0" applyNumberFormat="1" applyFont="1" applyBorder="1" applyAlignment="1">
      <alignment horizontal="right"/>
    </xf>
    <xf numFmtId="164" fontId="6" fillId="0" borderId="13" xfId="0" applyNumberFormat="1" applyFont="1" applyBorder="1"/>
    <xf numFmtId="164" fontId="6" fillId="0" borderId="140" xfId="0" applyNumberFormat="1" applyFont="1" applyBorder="1"/>
    <xf numFmtId="164" fontId="6" fillId="0" borderId="141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6" fillId="0" borderId="140" xfId="0" applyNumberFormat="1" applyFont="1" applyBorder="1" applyAlignment="1">
      <alignment horizontal="center"/>
    </xf>
    <xf numFmtId="164" fontId="6" fillId="0" borderId="17" xfId="0" applyNumberFormat="1" applyFont="1" applyBorder="1"/>
    <xf numFmtId="164" fontId="6" fillId="0" borderId="141" xfId="0" applyNumberFormat="1" applyFont="1" applyBorder="1"/>
    <xf numFmtId="164" fontId="6" fillId="0" borderId="21" xfId="0" applyNumberFormat="1" applyFont="1" applyBorder="1"/>
    <xf numFmtId="164" fontId="6" fillId="0" borderId="81" xfId="0" applyNumberFormat="1" applyFont="1" applyBorder="1"/>
    <xf numFmtId="0" fontId="7" fillId="0" borderId="53" xfId="0" applyFont="1" applyFill="1" applyBorder="1" applyAlignment="1">
      <alignment horizontal="left" indent="1"/>
    </xf>
    <xf numFmtId="0" fontId="7" fillId="0" borderId="50" xfId="0" applyFont="1" applyFill="1" applyBorder="1"/>
    <xf numFmtId="0" fontId="12" fillId="0" borderId="49" xfId="0" applyFont="1" applyBorder="1" applyAlignment="1">
      <alignment horizontal="left" indent="1"/>
    </xf>
    <xf numFmtId="0" fontId="6" fillId="0" borderId="49" xfId="127" applyFont="1" applyBorder="1"/>
    <xf numFmtId="0" fontId="6" fillId="0" borderId="47" xfId="127" applyFont="1" applyBorder="1"/>
    <xf numFmtId="0" fontId="6" fillId="0" borderId="50" xfId="127" applyFont="1" applyBorder="1"/>
    <xf numFmtId="0" fontId="7" fillId="0" borderId="48" xfId="127" applyFont="1" applyBorder="1"/>
    <xf numFmtId="0" fontId="6" fillId="0" borderId="89" xfId="127" applyFont="1" applyBorder="1"/>
    <xf numFmtId="0" fontId="6" fillId="0" borderId="125" xfId="0" applyFont="1" applyFill="1" applyBorder="1" applyAlignment="1">
      <alignment horizontal="center"/>
    </xf>
    <xf numFmtId="164" fontId="6" fillId="0" borderId="46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7" fillId="0" borderId="88" xfId="127" applyFont="1" applyBorder="1"/>
    <xf numFmtId="0" fontId="6" fillId="0" borderId="53" xfId="0" applyFont="1" applyBorder="1"/>
    <xf numFmtId="0" fontId="10" fillId="0" borderId="66" xfId="0" applyFont="1" applyFill="1" applyBorder="1"/>
    <xf numFmtId="1" fontId="7" fillId="0" borderId="1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6" fillId="0" borderId="86" xfId="0" applyNumberFormat="1" applyFont="1" applyBorder="1"/>
    <xf numFmtId="1" fontId="6" fillId="0" borderId="15" xfId="0" applyNumberFormat="1" applyFont="1" applyBorder="1"/>
    <xf numFmtId="1" fontId="6" fillId="0" borderId="15" xfId="0" applyNumberFormat="1" applyFont="1" applyBorder="1" applyAlignment="1">
      <alignment horizontal="right"/>
    </xf>
    <xf numFmtId="1" fontId="6" fillId="0" borderId="99" xfId="0" applyNumberFormat="1" applyFont="1" applyBorder="1"/>
    <xf numFmtId="0" fontId="7" fillId="0" borderId="99" xfId="0" applyFont="1" applyBorder="1"/>
    <xf numFmtId="1" fontId="6" fillId="0" borderId="24" xfId="0" applyNumberFormat="1" applyFont="1" applyBorder="1"/>
    <xf numFmtId="0" fontId="6" fillId="0" borderId="102" xfId="0" applyFont="1" applyBorder="1"/>
    <xf numFmtId="1" fontId="7" fillId="0" borderId="142" xfId="0" applyNumberFormat="1" applyFont="1" applyFill="1" applyBorder="1" applyAlignment="1">
      <alignment horizontal="center"/>
    </xf>
    <xf numFmtId="1" fontId="7" fillId="0" borderId="143" xfId="0" applyNumberFormat="1" applyFont="1" applyFill="1" applyBorder="1" applyAlignment="1">
      <alignment horizontal="center"/>
    </xf>
    <xf numFmtId="1" fontId="7" fillId="0" borderId="144" xfId="0" applyNumberFormat="1" applyFont="1" applyFill="1" applyBorder="1" applyAlignment="1">
      <alignment horizontal="center"/>
    </xf>
    <xf numFmtId="1" fontId="7" fillId="0" borderId="145" xfId="0" applyNumberFormat="1" applyFont="1" applyFill="1" applyBorder="1" applyAlignment="1">
      <alignment horizontal="center"/>
    </xf>
    <xf numFmtId="1" fontId="7" fillId="0" borderId="130" xfId="0" applyNumberFormat="1" applyFont="1" applyFill="1" applyBorder="1" applyAlignment="1">
      <alignment horizontal="center"/>
    </xf>
    <xf numFmtId="1" fontId="6" fillId="24" borderId="0" xfId="134" applyNumberFormat="1" applyFont="1" applyFill="1" applyBorder="1" applyAlignment="1">
      <alignment horizontal="center"/>
    </xf>
    <xf numFmtId="2" fontId="6" fillId="24" borderId="79" xfId="134" applyNumberFormat="1" applyFont="1" applyFill="1" applyBorder="1" applyAlignment="1">
      <alignment horizontal="center"/>
    </xf>
    <xf numFmtId="1" fontId="6" fillId="24" borderId="123" xfId="134" applyNumberFormat="1" applyFont="1" applyFill="1" applyBorder="1" applyAlignment="1">
      <alignment horizontal="center"/>
    </xf>
    <xf numFmtId="2" fontId="6" fillId="24" borderId="104" xfId="134" applyNumberFormat="1" applyFont="1" applyFill="1" applyBorder="1" applyAlignment="1">
      <alignment horizontal="center"/>
    </xf>
    <xf numFmtId="1" fontId="6" fillId="0" borderId="68" xfId="0" applyNumberFormat="1" applyFont="1" applyBorder="1" applyAlignment="1">
      <alignment horizontal="center"/>
    </xf>
    <xf numFmtId="171" fontId="6" fillId="0" borderId="84" xfId="0" applyNumberFormat="1" applyFont="1" applyBorder="1" applyAlignment="1">
      <alignment horizontal="center"/>
    </xf>
    <xf numFmtId="171" fontId="6" fillId="0" borderId="60" xfId="0" applyNumberFormat="1" applyFont="1" applyBorder="1" applyAlignment="1">
      <alignment horizontal="center"/>
    </xf>
    <xf numFmtId="1" fontId="6" fillId="0" borderId="91" xfId="0" applyNumberFormat="1" applyFont="1" applyBorder="1" applyAlignment="1">
      <alignment horizontal="center"/>
    </xf>
    <xf numFmtId="1" fontId="6" fillId="0" borderId="67" xfId="0" applyNumberFormat="1" applyFont="1" applyBorder="1" applyAlignment="1">
      <alignment horizontal="center"/>
    </xf>
    <xf numFmtId="171" fontId="6" fillId="0" borderId="146" xfId="0" applyNumberFormat="1" applyFont="1" applyBorder="1" applyAlignment="1">
      <alignment horizontal="center"/>
    </xf>
    <xf numFmtId="166" fontId="6" fillId="0" borderId="85" xfId="134" applyNumberFormat="1" applyFont="1" applyFill="1" applyBorder="1" applyAlignment="1">
      <alignment horizontal="center"/>
    </xf>
    <xf numFmtId="0" fontId="7" fillId="24" borderId="22" xfId="0" applyFont="1" applyFill="1" applyBorder="1"/>
    <xf numFmtId="0" fontId="6" fillId="22" borderId="18" xfId="0" applyFont="1" applyFill="1" applyBorder="1"/>
    <xf numFmtId="0" fontId="6" fillId="24" borderId="18" xfId="0" applyFont="1" applyFill="1" applyBorder="1"/>
    <xf numFmtId="0" fontId="7" fillId="24" borderId="82" xfId="0" applyFont="1" applyFill="1" applyBorder="1" applyAlignment="1">
      <alignment horizontal="center"/>
    </xf>
    <xf numFmtId="0" fontId="12" fillId="24" borderId="19" xfId="0" applyFont="1" applyFill="1" applyBorder="1" applyAlignment="1">
      <alignment horizontal="left" indent="1"/>
    </xf>
    <xf numFmtId="0" fontId="6" fillId="24" borderId="22" xfId="0" applyFont="1" applyFill="1" applyBorder="1" applyAlignment="1">
      <alignment horizontal="left" indent="1"/>
    </xf>
    <xf numFmtId="0" fontId="6" fillId="24" borderId="18" xfId="0" applyFont="1" applyFill="1" applyBorder="1" applyAlignment="1">
      <alignment horizontal="left" wrapText="1" indent="1"/>
    </xf>
    <xf numFmtId="0" fontId="7" fillId="24" borderId="18" xfId="0" applyFont="1" applyFill="1" applyBorder="1" applyAlignment="1">
      <alignment horizontal="left" indent="1"/>
    </xf>
    <xf numFmtId="0" fontId="12" fillId="24" borderId="18" xfId="0" applyFont="1" applyFill="1" applyBorder="1" applyAlignment="1">
      <alignment horizontal="left" indent="1"/>
    </xf>
    <xf numFmtId="0" fontId="6" fillId="24" borderId="18" xfId="0" applyFont="1" applyFill="1" applyBorder="1" applyAlignment="1">
      <alignment horizontal="left" indent="1"/>
    </xf>
    <xf numFmtId="0" fontId="7" fillId="24" borderId="35" xfId="0" applyFont="1" applyFill="1" applyBorder="1" applyAlignment="1">
      <alignment horizontal="left" indent="1"/>
    </xf>
    <xf numFmtId="0" fontId="7" fillId="22" borderId="19" xfId="0" applyFont="1" applyFill="1" applyBorder="1"/>
    <xf numFmtId="0" fontId="6" fillId="24" borderId="65" xfId="0" applyFont="1" applyFill="1" applyBorder="1"/>
    <xf numFmtId="0" fontId="6" fillId="24" borderId="106" xfId="0" applyFont="1" applyFill="1" applyBorder="1"/>
    <xf numFmtId="0" fontId="7" fillId="24" borderId="18" xfId="0" applyFont="1" applyFill="1" applyBorder="1"/>
    <xf numFmtId="0" fontId="7" fillId="24" borderId="35" xfId="0" applyFont="1" applyFill="1" applyBorder="1"/>
    <xf numFmtId="0" fontId="7" fillId="24" borderId="65" xfId="0" applyFont="1" applyFill="1" applyBorder="1"/>
    <xf numFmtId="0" fontId="7" fillId="24" borderId="106" xfId="0" applyFont="1" applyFill="1" applyBorder="1" applyAlignment="1">
      <alignment horizontal="left" indent="1"/>
    </xf>
    <xf numFmtId="0" fontId="6" fillId="24" borderId="82" xfId="0" applyFont="1" applyFill="1" applyBorder="1" applyAlignment="1">
      <alignment horizontal="left" indent="1"/>
    </xf>
    <xf numFmtId="0" fontId="7" fillId="24" borderId="19" xfId="0" applyFont="1" applyFill="1" applyBorder="1"/>
    <xf numFmtId="0" fontId="8" fillId="24" borderId="18" xfId="0" applyFont="1" applyFill="1" applyBorder="1"/>
    <xf numFmtId="0" fontId="6" fillId="24" borderId="106" xfId="0" applyFont="1" applyFill="1" applyBorder="1" applyAlignment="1">
      <alignment horizontal="right"/>
    </xf>
    <xf numFmtId="0" fontId="7" fillId="24" borderId="147" xfId="0" applyFont="1" applyFill="1" applyBorder="1" applyAlignment="1">
      <alignment horizontal="center"/>
    </xf>
    <xf numFmtId="0" fontId="6" fillId="24" borderId="35" xfId="0" applyFont="1" applyFill="1" applyBorder="1" applyAlignment="1">
      <alignment horizontal="right"/>
    </xf>
    <xf numFmtId="0" fontId="7" fillId="24" borderId="13" xfId="0" applyFont="1" applyFill="1" applyBorder="1" applyAlignment="1">
      <alignment horizontal="left"/>
    </xf>
    <xf numFmtId="0" fontId="6" fillId="24" borderId="13" xfId="0" applyFont="1" applyFill="1" applyBorder="1" applyAlignment="1">
      <alignment horizontal="right"/>
    </xf>
    <xf numFmtId="0" fontId="6" fillId="24" borderId="108" xfId="0" applyFont="1" applyFill="1" applyBorder="1" applyAlignment="1">
      <alignment horizontal="right"/>
    </xf>
    <xf numFmtId="0" fontId="7" fillId="24" borderId="30" xfId="0" applyFont="1" applyFill="1" applyBorder="1" applyAlignment="1">
      <alignment horizontal="left"/>
    </xf>
    <xf numFmtId="1" fontId="0" fillId="0" borderId="83" xfId="0" applyNumberFormat="1" applyBorder="1"/>
    <xf numFmtId="166" fontId="6" fillId="0" borderId="0" xfId="127" applyNumberFormat="1" applyFont="1" applyBorder="1"/>
    <xf numFmtId="0" fontId="5" fillId="0" borderId="0" xfId="0" applyFont="1" applyBorder="1"/>
    <xf numFmtId="166" fontId="6" fillId="0" borderId="83" xfId="127" applyNumberFormat="1" applyFont="1" applyBorder="1"/>
    <xf numFmtId="0" fontId="6" fillId="0" borderId="83" xfId="0" applyFont="1" applyBorder="1" applyAlignment="1">
      <alignment horizontal="center"/>
    </xf>
    <xf numFmtId="3" fontId="6" fillId="0" borderId="98" xfId="82" applyNumberFormat="1" applyFont="1" applyBorder="1" applyAlignment="1">
      <alignment horizontal="center"/>
    </xf>
    <xf numFmtId="171" fontId="6" fillId="0" borderId="79" xfId="0" applyNumberFormat="1" applyFont="1" applyFill="1" applyBorder="1"/>
    <xf numFmtId="1" fontId="6" fillId="0" borderId="79" xfId="0" applyNumberFormat="1" applyFont="1" applyFill="1" applyBorder="1"/>
    <xf numFmtId="1" fontId="6" fillId="0" borderId="55" xfId="0" applyNumberFormat="1" applyFont="1" applyFill="1" applyBorder="1" applyAlignment="1">
      <alignment horizontal="right"/>
    </xf>
    <xf numFmtId="1" fontId="6" fillId="24" borderId="44" xfId="0" applyNumberFormat="1" applyFont="1" applyFill="1" applyBorder="1" applyAlignment="1">
      <alignment horizontal="right"/>
    </xf>
    <xf numFmtId="0" fontId="7" fillId="0" borderId="148" xfId="0" applyFont="1" applyBorder="1" applyAlignment="1">
      <alignment horizontal="centerContinuous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149" xfId="0" applyFont="1" applyBorder="1" applyAlignment="1">
      <alignment horizontal="centerContinuous"/>
    </xf>
    <xf numFmtId="167" fontId="6" fillId="0" borderId="62" xfId="0" applyNumberFormat="1" applyFont="1" applyBorder="1" applyAlignment="1">
      <alignment horizontal="right" indent="1"/>
    </xf>
    <xf numFmtId="167" fontId="6" fillId="0" borderId="62" xfId="0" applyNumberFormat="1" applyFont="1" applyBorder="1" applyAlignment="1">
      <alignment horizontal="right" wrapText="1" indent="1"/>
    </xf>
    <xf numFmtId="167" fontId="7" fillId="0" borderId="62" xfId="0" applyNumberFormat="1" applyFont="1" applyBorder="1" applyAlignment="1">
      <alignment horizontal="right" indent="1"/>
    </xf>
    <xf numFmtId="167" fontId="12" fillId="0" borderId="62" xfId="0" applyNumberFormat="1" applyFont="1" applyBorder="1" applyAlignment="1">
      <alignment horizontal="left" indent="1"/>
    </xf>
    <xf numFmtId="167" fontId="6" fillId="0" borderId="62" xfId="0" applyNumberFormat="1" applyFont="1" applyBorder="1" applyAlignment="1">
      <alignment horizontal="left" indent="1"/>
    </xf>
    <xf numFmtId="167" fontId="6" fillId="0" borderId="62" xfId="0" applyNumberFormat="1" applyFont="1" applyBorder="1" applyAlignment="1">
      <alignment horizontal="left" wrapText="1" indent="1"/>
    </xf>
    <xf numFmtId="167" fontId="7" fillId="0" borderId="64" xfId="0" applyNumberFormat="1" applyFont="1" applyBorder="1" applyAlignment="1">
      <alignment horizontal="right" indent="1"/>
    </xf>
    <xf numFmtId="0" fontId="6" fillId="0" borderId="124" xfId="0" applyFont="1" applyBorder="1" applyAlignment="1">
      <alignment horizontal="center"/>
    </xf>
    <xf numFmtId="5" fontId="6" fillId="0" borderId="63" xfId="0" applyNumberFormat="1" applyFont="1" applyBorder="1" applyAlignment="1">
      <alignment horizontal="right"/>
    </xf>
    <xf numFmtId="5" fontId="6" fillId="0" borderId="83" xfId="0" applyNumberFormat="1" applyFont="1" applyBorder="1" applyAlignment="1">
      <alignment horizontal="right"/>
    </xf>
    <xf numFmtId="3" fontId="6" fillId="0" borderId="62" xfId="0" applyNumberFormat="1" applyFont="1" applyBorder="1" applyAlignment="1">
      <alignment horizontal="right"/>
    </xf>
    <xf numFmtId="0" fontId="6" fillId="0" borderId="37" xfId="0" applyFont="1" applyFill="1" applyBorder="1"/>
    <xf numFmtId="0" fontId="6" fillId="0" borderId="97" xfId="0" applyFont="1" applyFill="1" applyBorder="1" applyAlignment="1">
      <alignment horizontal="center"/>
    </xf>
    <xf numFmtId="0" fontId="6" fillId="0" borderId="79" xfId="0" applyFont="1" applyFill="1" applyBorder="1"/>
    <xf numFmtId="1" fontId="6" fillId="0" borderId="104" xfId="0" applyNumberFormat="1" applyFont="1" applyFill="1" applyBorder="1"/>
    <xf numFmtId="1" fontId="6" fillId="0" borderId="109" xfId="0" applyNumberFormat="1" applyFont="1" applyFill="1" applyBorder="1" applyAlignment="1">
      <alignment horizontal="right"/>
    </xf>
    <xf numFmtId="1" fontId="13" fillId="0" borderId="70" xfId="0" applyNumberFormat="1" applyFont="1" applyBorder="1" applyAlignment="1">
      <alignment horizontal="right"/>
    </xf>
    <xf numFmtId="1" fontId="13" fillId="0" borderId="30" xfId="0" applyNumberFormat="1" applyFont="1" applyFill="1" applyBorder="1" applyAlignment="1">
      <alignment horizontal="right"/>
    </xf>
    <xf numFmtId="1" fontId="13" fillId="0" borderId="70" xfId="0" applyNumberFormat="1" applyFont="1" applyFill="1" applyBorder="1"/>
    <xf numFmtId="1" fontId="13" fillId="0" borderId="30" xfId="0" applyNumberFormat="1" applyFont="1" applyFill="1" applyBorder="1"/>
    <xf numFmtId="0" fontId="6" fillId="26" borderId="46" xfId="0" applyFont="1" applyFill="1" applyBorder="1" applyAlignment="1">
      <alignment horizontal="right"/>
    </xf>
    <xf numFmtId="1" fontId="13" fillId="24" borderId="75" xfId="0" applyNumberFormat="1" applyFont="1" applyFill="1" applyBorder="1" applyAlignment="1">
      <alignment horizontal="right"/>
    </xf>
    <xf numFmtId="1" fontId="13" fillId="24" borderId="109" xfId="0" applyNumberFormat="1" applyFont="1" applyFill="1" applyBorder="1" applyAlignment="1">
      <alignment horizontal="right"/>
    </xf>
    <xf numFmtId="1" fontId="13" fillId="24" borderId="0" xfId="0" applyNumberFormat="1" applyFont="1" applyFill="1" applyBorder="1" applyAlignment="1">
      <alignment horizontal="right"/>
    </xf>
    <xf numFmtId="1" fontId="13" fillId="24" borderId="141" xfId="0" applyNumberFormat="1" applyFont="1" applyFill="1" applyBorder="1" applyAlignment="1">
      <alignment horizontal="right"/>
    </xf>
    <xf numFmtId="1" fontId="13" fillId="24" borderId="75" xfId="0" applyNumberFormat="1" applyFont="1" applyFill="1" applyBorder="1"/>
    <xf numFmtId="1" fontId="6" fillId="24" borderId="141" xfId="0" applyNumberFormat="1" applyFont="1" applyFill="1" applyBorder="1" applyAlignment="1">
      <alignment horizontal="right"/>
    </xf>
    <xf numFmtId="1" fontId="6" fillId="24" borderId="109" xfId="0" applyNumberFormat="1" applyFont="1" applyFill="1" applyBorder="1" applyAlignment="1">
      <alignment horizontal="right"/>
    </xf>
    <xf numFmtId="164" fontId="6" fillId="0" borderId="128" xfId="0" applyNumberFormat="1" applyFont="1" applyFill="1" applyBorder="1"/>
    <xf numFmtId="3" fontId="6" fillId="24" borderId="55" xfId="82" applyNumberFormat="1" applyFont="1" applyFill="1" applyBorder="1" applyAlignment="1">
      <alignment horizontal="right"/>
    </xf>
    <xf numFmtId="172" fontId="6" fillId="24" borderId="54" xfId="82" applyNumberFormat="1" applyFont="1" applyFill="1" applyBorder="1"/>
    <xf numFmtId="172" fontId="6" fillId="24" borderId="55" xfId="82" applyNumberFormat="1" applyFont="1" applyFill="1" applyBorder="1"/>
    <xf numFmtId="1" fontId="6" fillId="0" borderId="96" xfId="0" applyNumberFormat="1" applyFont="1" applyFill="1" applyBorder="1" applyAlignment="1">
      <alignment horizontal="right"/>
    </xf>
    <xf numFmtId="172" fontId="6" fillId="0" borderId="29" xfId="83" applyNumberFormat="1" applyFont="1" applyBorder="1"/>
    <xf numFmtId="172" fontId="6" fillId="0" borderId="30" xfId="83" applyNumberFormat="1" applyFont="1" applyBorder="1"/>
    <xf numFmtId="172" fontId="6" fillId="0" borderId="55" xfId="83" applyNumberFormat="1" applyFont="1" applyBorder="1"/>
    <xf numFmtId="0" fontId="6" fillId="24" borderId="30" xfId="0" applyNumberFormat="1" applyFont="1" applyFill="1" applyBorder="1"/>
    <xf numFmtId="164" fontId="6" fillId="24" borderId="46" xfId="0" applyNumberFormat="1" applyFont="1" applyFill="1" applyBorder="1"/>
    <xf numFmtId="164" fontId="6" fillId="24" borderId="34" xfId="0" applyNumberFormat="1" applyFont="1" applyFill="1" applyBorder="1"/>
    <xf numFmtId="3" fontId="6" fillId="0" borderId="40" xfId="82" applyNumberFormat="1" applyFont="1" applyBorder="1" applyAlignment="1">
      <alignment horizontal="center"/>
    </xf>
    <xf numFmtId="166" fontId="6" fillId="0" borderId="32" xfId="134" applyNumberFormat="1" applyFont="1" applyFill="1" applyBorder="1" applyAlignment="1">
      <alignment horizontal="center"/>
    </xf>
    <xf numFmtId="166" fontId="6" fillId="0" borderId="73" xfId="134" applyNumberFormat="1" applyFont="1" applyFill="1" applyBorder="1" applyAlignment="1">
      <alignment horizontal="center"/>
    </xf>
    <xf numFmtId="3" fontId="6" fillId="0" borderId="32" xfId="82" applyNumberFormat="1" applyFont="1" applyBorder="1" applyAlignment="1">
      <alignment horizontal="center"/>
    </xf>
    <xf numFmtId="166" fontId="6" fillId="0" borderId="63" xfId="134" applyNumberFormat="1" applyFont="1" applyFill="1" applyBorder="1" applyAlignment="1">
      <alignment horizontal="center"/>
    </xf>
    <xf numFmtId="1" fontId="13" fillId="24" borderId="105" xfId="0" applyNumberFormat="1" applyFont="1" applyFill="1" applyBorder="1" applyAlignment="1">
      <alignment horizontal="right"/>
    </xf>
    <xf numFmtId="1" fontId="6" fillId="24" borderId="41" xfId="0" applyNumberFormat="1" applyFont="1" applyFill="1" applyBorder="1" applyAlignment="1">
      <alignment horizontal="right"/>
    </xf>
    <xf numFmtId="1" fontId="13" fillId="24" borderId="106" xfId="0" applyNumberFormat="1" applyFont="1" applyFill="1" applyBorder="1" applyAlignment="1">
      <alignment horizontal="right"/>
    </xf>
    <xf numFmtId="1" fontId="6" fillId="24" borderId="21" xfId="0" applyNumberFormat="1" applyFont="1" applyFill="1" applyBorder="1" applyAlignment="1">
      <alignment horizontal="right"/>
    </xf>
    <xf numFmtId="1" fontId="13" fillId="24" borderId="105" xfId="0" applyNumberFormat="1" applyFont="1" applyFill="1" applyBorder="1"/>
    <xf numFmtId="1" fontId="6" fillId="24" borderId="21" xfId="0" applyNumberFormat="1" applyFont="1" applyFill="1" applyBorder="1"/>
    <xf numFmtId="1" fontId="13" fillId="24" borderId="106" xfId="0" applyNumberFormat="1" applyFont="1" applyFill="1" applyBorder="1"/>
    <xf numFmtId="1" fontId="6" fillId="24" borderId="83" xfId="0" applyNumberFormat="1" applyFont="1" applyFill="1" applyBorder="1"/>
    <xf numFmtId="1" fontId="6" fillId="24" borderId="150" xfId="0" applyNumberFormat="1" applyFont="1" applyFill="1" applyBorder="1"/>
    <xf numFmtId="3" fontId="6" fillId="0" borderId="79" xfId="0" applyNumberFormat="1" applyFont="1" applyFill="1" applyBorder="1"/>
    <xf numFmtId="3" fontId="6" fillId="0" borderId="104" xfId="0" applyNumberFormat="1" applyFont="1" applyFill="1" applyBorder="1"/>
    <xf numFmtId="1" fontId="6" fillId="0" borderId="75" xfId="0" applyNumberFormat="1" applyFont="1" applyFill="1" applyBorder="1"/>
    <xf numFmtId="1" fontId="6" fillId="0" borderId="123" xfId="0" applyNumberFormat="1" applyFont="1" applyFill="1" applyBorder="1"/>
    <xf numFmtId="3" fontId="6" fillId="24" borderId="75" xfId="0" applyNumberFormat="1" applyFont="1" applyFill="1" applyBorder="1"/>
    <xf numFmtId="171" fontId="6" fillId="0" borderId="97" xfId="0" applyNumberFormat="1" applyFont="1" applyFill="1" applyBorder="1"/>
    <xf numFmtId="171" fontId="6" fillId="0" borderId="75" xfId="0" applyNumberFormat="1" applyFont="1" applyFill="1" applyBorder="1"/>
    <xf numFmtId="0" fontId="6" fillId="0" borderId="133" xfId="0" applyFont="1" applyFill="1" applyBorder="1"/>
    <xf numFmtId="0" fontId="0" fillId="0" borderId="75" xfId="0" applyBorder="1" applyAlignment="1">
      <alignment horizontal="center"/>
    </xf>
    <xf numFmtId="171" fontId="6" fillId="0" borderId="75" xfId="0" applyNumberFormat="1" applyFont="1" applyBorder="1"/>
    <xf numFmtId="1" fontId="6" fillId="0" borderId="75" xfId="0" applyNumberFormat="1" applyFont="1" applyBorder="1"/>
    <xf numFmtId="3" fontId="6" fillId="0" borderId="0" xfId="0" applyNumberFormat="1" applyFont="1" applyBorder="1"/>
    <xf numFmtId="171" fontId="6" fillId="24" borderId="83" xfId="0" applyNumberFormat="1" applyFont="1" applyFill="1" applyBorder="1"/>
    <xf numFmtId="171" fontId="6" fillId="24" borderId="150" xfId="0" applyNumberFormat="1" applyFont="1" applyFill="1" applyBorder="1"/>
    <xf numFmtId="171" fontId="6" fillId="24" borderId="123" xfId="0" applyNumberFormat="1" applyFont="1" applyFill="1" applyBorder="1"/>
    <xf numFmtId="0" fontId="0" fillId="0" borderId="0" xfId="0" applyFill="1" applyBorder="1"/>
    <xf numFmtId="170" fontId="6" fillId="0" borderId="0" xfId="0" applyNumberFormat="1" applyFont="1" applyBorder="1"/>
    <xf numFmtId="166" fontId="6" fillId="0" borderId="61" xfId="136" applyNumberFormat="1" applyFont="1" applyFill="1" applyBorder="1"/>
    <xf numFmtId="166" fontId="6" fillId="0" borderId="62" xfId="136" applyNumberFormat="1" applyFont="1" applyFill="1" applyBorder="1"/>
    <xf numFmtId="167" fontId="6" fillId="0" borderId="34" xfId="0" applyNumberFormat="1" applyFont="1" applyFill="1" applyBorder="1"/>
    <xf numFmtId="0" fontId="6" fillId="24" borderId="62" xfId="0" applyNumberFormat="1" applyFont="1" applyFill="1" applyBorder="1"/>
    <xf numFmtId="0" fontId="6" fillId="24" borderId="126" xfId="0" applyNumberFormat="1" applyFont="1" applyFill="1" applyBorder="1"/>
    <xf numFmtId="173" fontId="6" fillId="24" borderId="64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164" fontId="6" fillId="0" borderId="78" xfId="0" applyNumberFormat="1" applyFont="1" applyFill="1" applyBorder="1" applyAlignment="1">
      <alignment horizontal="center"/>
    </xf>
    <xf numFmtId="37" fontId="6" fillId="0" borderId="34" xfId="0" applyNumberFormat="1" applyFont="1" applyFill="1" applyBorder="1" applyAlignment="1">
      <alignment horizontal="center"/>
    </xf>
    <xf numFmtId="0" fontId="6" fillId="0" borderId="52" xfId="0" applyFont="1" applyBorder="1"/>
    <xf numFmtId="0" fontId="7" fillId="0" borderId="66" xfId="0" applyFont="1" applyBorder="1" applyAlignment="1">
      <alignment horizontal="left" indent="1"/>
    </xf>
    <xf numFmtId="166" fontId="6" fillId="0" borderId="59" xfId="134" applyNumberFormat="1" applyFont="1" applyFill="1" applyBorder="1" applyAlignment="1">
      <alignment horizontal="right"/>
    </xf>
    <xf numFmtId="166" fontId="6" fillId="0" borderId="69" xfId="134" applyNumberFormat="1" applyFont="1" applyFill="1" applyBorder="1" applyAlignment="1">
      <alignment horizontal="right"/>
    </xf>
    <xf numFmtId="0" fontId="5" fillId="0" borderId="30" xfId="0" applyFont="1" applyFill="1" applyBorder="1"/>
    <xf numFmtId="0" fontId="4" fillId="0" borderId="33" xfId="0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0" fontId="6" fillId="0" borderId="82" xfId="0" applyFont="1" applyFill="1" applyBorder="1" applyAlignment="1">
      <alignment horizontal="right"/>
    </xf>
    <xf numFmtId="166" fontId="7" fillId="0" borderId="59" xfId="134" applyNumberFormat="1" applyFont="1" applyFill="1" applyBorder="1" applyAlignment="1">
      <alignment horizontal="right"/>
    </xf>
    <xf numFmtId="0" fontId="6" fillId="26" borderId="76" xfId="0" applyFont="1" applyFill="1" applyBorder="1" applyAlignment="1">
      <alignment horizontal="right"/>
    </xf>
    <xf numFmtId="166" fontId="6" fillId="26" borderId="36" xfId="134" applyNumberFormat="1" applyFont="1" applyFill="1" applyBorder="1" applyAlignment="1">
      <alignment horizontal="right"/>
    </xf>
    <xf numFmtId="166" fontId="6" fillId="26" borderId="13" xfId="134" applyNumberFormat="1" applyFont="1" applyFill="1" applyBorder="1" applyAlignment="1">
      <alignment horizontal="right"/>
    </xf>
    <xf numFmtId="0" fontId="6" fillId="26" borderId="26" xfId="0" applyFont="1" applyFill="1" applyBorder="1" applyAlignment="1">
      <alignment horizontal="right"/>
    </xf>
    <xf numFmtId="166" fontId="6" fillId="26" borderId="30" xfId="0" applyNumberFormat="1" applyFont="1" applyFill="1" applyBorder="1" applyAlignment="1">
      <alignment horizontal="right"/>
    </xf>
    <xf numFmtId="0" fontId="6" fillId="26" borderId="15" xfId="0" applyFont="1" applyFill="1" applyBorder="1" applyAlignment="1">
      <alignment horizontal="right"/>
    </xf>
    <xf numFmtId="166" fontId="6" fillId="26" borderId="55" xfId="0" applyNumberFormat="1" applyFont="1" applyFill="1" applyBorder="1" applyAlignment="1">
      <alignment horizontal="right"/>
    </xf>
    <xf numFmtId="0" fontId="6" fillId="26" borderId="18" xfId="0" applyFont="1" applyFill="1" applyBorder="1" applyAlignment="1">
      <alignment horizontal="right"/>
    </xf>
    <xf numFmtId="0" fontId="7" fillId="0" borderId="148" xfId="0" applyFont="1" applyBorder="1" applyAlignment="1">
      <alignment horizontal="center"/>
    </xf>
    <xf numFmtId="0" fontId="6" fillId="27" borderId="76" xfId="0" applyFont="1" applyFill="1" applyBorder="1" applyAlignment="1">
      <alignment horizontal="right"/>
    </xf>
    <xf numFmtId="166" fontId="6" fillId="27" borderId="36" xfId="134" applyNumberFormat="1" applyFont="1" applyFill="1" applyBorder="1" applyAlignment="1">
      <alignment horizontal="right"/>
    </xf>
    <xf numFmtId="0" fontId="6" fillId="27" borderId="46" xfId="0" applyFont="1" applyFill="1" applyBorder="1" applyAlignment="1">
      <alignment horizontal="right"/>
    </xf>
    <xf numFmtId="166" fontId="6" fillId="27" borderId="13" xfId="134" applyNumberFormat="1" applyFont="1" applyFill="1" applyBorder="1" applyAlignment="1">
      <alignment horizontal="right"/>
    </xf>
    <xf numFmtId="0" fontId="6" fillId="27" borderId="26" xfId="0" applyFont="1" applyFill="1" applyBorder="1" applyAlignment="1">
      <alignment horizontal="right"/>
    </xf>
    <xf numFmtId="0" fontId="6" fillId="27" borderId="70" xfId="0" applyFont="1" applyFill="1" applyBorder="1" applyAlignment="1">
      <alignment horizontal="right"/>
    </xf>
    <xf numFmtId="0" fontId="6" fillId="27" borderId="30" xfId="0" applyFont="1" applyFill="1" applyBorder="1" applyAlignment="1">
      <alignment horizontal="right"/>
    </xf>
    <xf numFmtId="2" fontId="6" fillId="0" borderId="83" xfId="134" applyNumberFormat="1" applyFont="1" applyFill="1" applyBorder="1" applyAlignment="1">
      <alignment horizontal="center"/>
    </xf>
    <xf numFmtId="2" fontId="6" fillId="0" borderId="150" xfId="134" applyNumberFormat="1" applyFont="1" applyFill="1" applyBorder="1" applyAlignment="1">
      <alignment horizontal="center"/>
    </xf>
    <xf numFmtId="164" fontId="6" fillId="25" borderId="46" xfId="86" applyNumberFormat="1" applyFont="1" applyFill="1" applyBorder="1" applyAlignment="1"/>
    <xf numFmtId="167" fontId="6" fillId="0" borderId="55" xfId="0" applyNumberFormat="1" applyFont="1" applyFill="1" applyBorder="1" applyAlignment="1"/>
    <xf numFmtId="164" fontId="6" fillId="0" borderId="61" xfId="0" applyNumberFormat="1" applyFont="1" applyBorder="1" applyAlignment="1">
      <alignment horizontal="right"/>
    </xf>
    <xf numFmtId="164" fontId="6" fillId="25" borderId="70" xfId="0" applyNumberFormat="1" applyFont="1" applyFill="1" applyBorder="1" applyAlignment="1">
      <alignment horizontal="right"/>
    </xf>
    <xf numFmtId="0" fontId="6" fillId="0" borderId="78" xfId="0" applyFont="1" applyFill="1" applyBorder="1" applyAlignment="1">
      <alignment horizontal="right"/>
    </xf>
    <xf numFmtId="164" fontId="6" fillId="25" borderId="74" xfId="0" applyNumberFormat="1" applyFont="1" applyFill="1" applyBorder="1" applyAlignment="1">
      <alignment horizontal="right"/>
    </xf>
    <xf numFmtId="164" fontId="6" fillId="0" borderId="30" xfId="86" applyNumberFormat="1" applyFont="1" applyBorder="1" applyAlignment="1">
      <alignment horizontal="right"/>
    </xf>
    <xf numFmtId="164" fontId="6" fillId="0" borderId="55" xfId="86" applyNumberFormat="1" applyFont="1" applyBorder="1" applyAlignment="1">
      <alignment horizontal="right"/>
    </xf>
    <xf numFmtId="164" fontId="6" fillId="25" borderId="30" xfId="86" applyNumberFormat="1" applyFont="1" applyFill="1" applyBorder="1" applyAlignment="1"/>
    <xf numFmtId="164" fontId="6" fillId="25" borderId="34" xfId="86" applyNumberFormat="1" applyFont="1" applyFill="1" applyBorder="1" applyAlignment="1"/>
    <xf numFmtId="171" fontId="7" fillId="0" borderId="0" xfId="127" applyNumberFormat="1" applyFont="1" applyFill="1" applyBorder="1" applyAlignment="1">
      <alignment horizontal="center"/>
    </xf>
    <xf numFmtId="171" fontId="6" fillId="0" borderId="79" xfId="0" applyNumberFormat="1" applyFont="1" applyFill="1" applyBorder="1" applyAlignment="1">
      <alignment horizontal="center"/>
    </xf>
    <xf numFmtId="171" fontId="6" fillId="0" borderId="104" xfId="0" applyNumberFormat="1" applyFont="1" applyFill="1" applyBorder="1"/>
    <xf numFmtId="0" fontId="7" fillId="0" borderId="0" xfId="127" applyFont="1" applyFill="1" applyBorder="1" applyAlignment="1">
      <alignment horizontal="center"/>
    </xf>
    <xf numFmtId="1" fontId="13" fillId="24" borderId="44" xfId="0" applyNumberFormat="1" applyFont="1" applyFill="1" applyBorder="1" applyAlignment="1"/>
    <xf numFmtId="1" fontId="13" fillId="24" borderId="82" xfId="0" applyNumberFormat="1" applyFont="1" applyFill="1" applyBorder="1" applyAlignment="1"/>
    <xf numFmtId="167" fontId="6" fillId="0" borderId="123" xfId="0" applyNumberFormat="1" applyFont="1" applyFill="1" applyBorder="1"/>
    <xf numFmtId="167" fontId="6" fillId="0" borderId="99" xfId="0" applyNumberFormat="1" applyFont="1" applyFill="1" applyBorder="1"/>
    <xf numFmtId="1" fontId="6" fillId="0" borderId="69" xfId="0" applyNumberFormat="1" applyFont="1" applyFill="1" applyBorder="1"/>
    <xf numFmtId="1" fontId="8" fillId="0" borderId="50" xfId="0" applyNumberFormat="1" applyFont="1" applyBorder="1"/>
    <xf numFmtId="0" fontId="10" fillId="0" borderId="66" xfId="0" applyFont="1" applyBorder="1"/>
    <xf numFmtId="0" fontId="0" fillId="0" borderId="79" xfId="0" applyBorder="1"/>
    <xf numFmtId="0" fontId="6" fillId="0" borderId="151" xfId="0" applyFont="1" applyBorder="1"/>
    <xf numFmtId="0" fontId="6" fillId="0" borderId="113" xfId="0" applyFont="1" applyBorder="1"/>
    <xf numFmtId="0" fontId="8" fillId="0" borderId="16" xfId="0" applyFont="1" applyBorder="1"/>
    <xf numFmtId="1" fontId="6" fillId="0" borderId="16" xfId="0" applyNumberFormat="1" applyFont="1" applyFill="1" applyBorder="1" applyAlignment="1">
      <alignment horizontal="right"/>
    </xf>
    <xf numFmtId="1" fontId="6" fillId="0" borderId="16" xfId="0" applyNumberFormat="1" applyFont="1" applyBorder="1" applyAlignment="1">
      <alignment horizontal="right"/>
    </xf>
    <xf numFmtId="1" fontId="8" fillId="0" borderId="16" xfId="0" applyNumberFormat="1" applyFont="1" applyBorder="1"/>
    <xf numFmtId="1" fontId="6" fillId="0" borderId="45" xfId="0" applyNumberFormat="1" applyFont="1" applyFill="1" applyBorder="1" applyAlignment="1">
      <alignment horizontal="right"/>
    </xf>
    <xf numFmtId="1" fontId="6" fillId="0" borderId="45" xfId="0" applyNumberFormat="1" applyFont="1" applyBorder="1" applyAlignment="1">
      <alignment horizontal="right"/>
    </xf>
    <xf numFmtId="1" fontId="6" fillId="0" borderId="58" xfId="0" applyNumberFormat="1" applyFont="1" applyBorder="1" applyAlignment="1">
      <alignment horizontal="right"/>
    </xf>
    <xf numFmtId="1" fontId="8" fillId="0" borderId="51" xfId="0" applyNumberFormat="1" applyFont="1" applyFill="1" applyBorder="1" applyAlignment="1">
      <alignment horizontal="right"/>
    </xf>
    <xf numFmtId="1" fontId="6" fillId="0" borderId="9" xfId="0" applyNumberFormat="1" applyFont="1" applyFill="1" applyBorder="1"/>
    <xf numFmtId="1" fontId="6" fillId="0" borderId="53" xfId="0" applyNumberFormat="1" applyFont="1" applyBorder="1" applyAlignment="1">
      <alignment horizontal="right"/>
    </xf>
    <xf numFmtId="0" fontId="6" fillId="0" borderId="49" xfId="0" applyFont="1" applyFill="1" applyBorder="1"/>
    <xf numFmtId="0" fontId="7" fillId="0" borderId="66" xfId="0" applyFont="1" applyFill="1" applyBorder="1" applyAlignment="1">
      <alignment horizontal="left" indent="1"/>
    </xf>
    <xf numFmtId="1" fontId="8" fillId="0" borderId="53" xfId="0" applyNumberFormat="1" applyFont="1" applyBorder="1" applyAlignment="1">
      <alignment horizontal="left"/>
    </xf>
    <xf numFmtId="0" fontId="7" fillId="0" borderId="75" xfId="127" applyFont="1" applyBorder="1" applyAlignment="1">
      <alignment horizontal="center"/>
    </xf>
    <xf numFmtId="1" fontId="6" fillId="0" borderId="75" xfId="134" applyNumberFormat="1" applyFont="1" applyFill="1" applyBorder="1" applyAlignment="1">
      <alignment horizontal="center"/>
    </xf>
    <xf numFmtId="0" fontId="12" fillId="0" borderId="52" xfId="0" applyFont="1" applyFill="1" applyBorder="1" applyAlignment="1">
      <alignment horizontal="left" indent="1"/>
    </xf>
    <xf numFmtId="167" fontId="7" fillId="0" borderId="52" xfId="0" applyNumberFormat="1" applyFont="1" applyBorder="1" applyAlignment="1">
      <alignment horizontal="left"/>
    </xf>
    <xf numFmtId="0" fontId="7" fillId="0" borderId="48" xfId="0" applyFont="1" applyBorder="1"/>
    <xf numFmtId="0" fontId="7" fillId="0" borderId="47" xfId="0" applyFont="1" applyFill="1" applyBorder="1" applyAlignment="1">
      <alignment horizontal="left" indent="1"/>
    </xf>
    <xf numFmtId="0" fontId="6" fillId="0" borderId="49" xfId="0" applyFont="1" applyBorder="1" applyAlignment="1">
      <alignment horizontal="left"/>
    </xf>
    <xf numFmtId="0" fontId="6" fillId="0" borderId="50" xfId="0" applyFont="1" applyFill="1" applyBorder="1" applyAlignment="1">
      <alignment horizontal="right"/>
    </xf>
    <xf numFmtId="0" fontId="6" fillId="0" borderId="47" xfId="0" applyFont="1" applyFill="1" applyBorder="1" applyAlignment="1">
      <alignment horizontal="right"/>
    </xf>
    <xf numFmtId="0" fontId="7" fillId="0" borderId="53" xfId="0" applyFont="1" applyFill="1" applyBorder="1" applyAlignment="1">
      <alignment horizontal="center"/>
    </xf>
    <xf numFmtId="0" fontId="7" fillId="0" borderId="52" xfId="0" applyFont="1" applyBorder="1" applyAlignment="1">
      <alignment horizontal="left"/>
    </xf>
    <xf numFmtId="1" fontId="0" fillId="0" borderId="0" xfId="0" applyNumberFormat="1" applyFill="1" applyBorder="1"/>
    <xf numFmtId="167" fontId="6" fillId="24" borderId="62" xfId="0" applyNumberFormat="1" applyFont="1" applyFill="1" applyBorder="1" applyAlignment="1">
      <alignment horizontal="center"/>
    </xf>
    <xf numFmtId="167" fontId="6" fillId="24" borderId="64" xfId="0" applyNumberFormat="1" applyFont="1" applyFill="1" applyBorder="1" applyAlignment="1">
      <alignment horizontal="center"/>
    </xf>
    <xf numFmtId="167" fontId="6" fillId="24" borderId="61" xfId="0" applyNumberFormat="1" applyFont="1" applyFill="1" applyBorder="1"/>
    <xf numFmtId="167" fontId="6" fillId="24" borderId="150" xfId="0" applyNumberFormat="1" applyFont="1" applyFill="1" applyBorder="1" applyAlignment="1" applyProtection="1"/>
    <xf numFmtId="167" fontId="6" fillId="24" borderId="55" xfId="0" applyNumberFormat="1" applyFont="1" applyFill="1" applyBorder="1" applyAlignment="1">
      <alignment horizontal="center"/>
    </xf>
    <xf numFmtId="167" fontId="6" fillId="24" borderId="78" xfId="0" applyNumberFormat="1" applyFont="1" applyFill="1" applyBorder="1" applyAlignment="1">
      <alignment horizontal="center"/>
    </xf>
    <xf numFmtId="167" fontId="13" fillId="24" borderId="79" xfId="0" applyNumberFormat="1" applyFont="1" applyFill="1" applyBorder="1"/>
    <xf numFmtId="164" fontId="6" fillId="24" borderId="72" xfId="86" applyNumberFormat="1" applyFont="1" applyFill="1" applyBorder="1" applyAlignment="1">
      <alignment horizontal="right"/>
    </xf>
    <xf numFmtId="167" fontId="6" fillId="24" borderId="126" xfId="0" applyNumberFormat="1" applyFont="1" applyFill="1" applyBorder="1" applyAlignment="1">
      <alignment horizontal="center"/>
    </xf>
    <xf numFmtId="167" fontId="13" fillId="24" borderId="83" xfId="0" applyNumberFormat="1" applyFont="1" applyFill="1" applyBorder="1"/>
    <xf numFmtId="164" fontId="6" fillId="24" borderId="96" xfId="86" applyNumberFormat="1" applyFont="1" applyFill="1" applyBorder="1" applyAlignment="1">
      <alignment horizontal="right"/>
    </xf>
    <xf numFmtId="167" fontId="6" fillId="24" borderId="126" xfId="0" applyNumberFormat="1" applyFont="1" applyFill="1" applyBorder="1" applyAlignment="1">
      <alignment horizontal="right"/>
    </xf>
    <xf numFmtId="167" fontId="6" fillId="24" borderId="64" xfId="0" applyNumberFormat="1" applyFont="1" applyFill="1" applyBorder="1" applyAlignment="1">
      <alignment horizontal="right"/>
    </xf>
    <xf numFmtId="167" fontId="13" fillId="24" borderId="61" xfId="0" applyNumberFormat="1" applyFont="1" applyFill="1" applyBorder="1"/>
    <xf numFmtId="167" fontId="13" fillId="24" borderId="150" xfId="0" applyNumberFormat="1" applyFont="1" applyFill="1" applyBorder="1" applyAlignment="1" applyProtection="1"/>
    <xf numFmtId="0" fontId="6" fillId="0" borderId="99" xfId="0" applyFont="1" applyFill="1" applyBorder="1"/>
    <xf numFmtId="167" fontId="6" fillId="24" borderId="62" xfId="0" applyNumberFormat="1" applyFont="1" applyFill="1" applyBorder="1" applyAlignment="1">
      <alignment horizontal="right"/>
    </xf>
    <xf numFmtId="164" fontId="13" fillId="24" borderId="96" xfId="86" applyNumberFormat="1" applyFont="1" applyFill="1" applyBorder="1" applyAlignment="1">
      <alignment horizontal="right"/>
    </xf>
    <xf numFmtId="167" fontId="6" fillId="24" borderId="62" xfId="0" applyNumberFormat="1" applyFont="1" applyFill="1" applyBorder="1"/>
    <xf numFmtId="167" fontId="13" fillId="24" borderId="96" xfId="0" applyNumberFormat="1" applyFont="1" applyFill="1" applyBorder="1" applyAlignment="1" applyProtection="1"/>
    <xf numFmtId="164" fontId="6" fillId="24" borderId="61" xfId="0" applyNumberFormat="1" applyFont="1" applyFill="1" applyBorder="1" applyAlignment="1">
      <alignment horizontal="right"/>
    </xf>
    <xf numFmtId="164" fontId="6" fillId="24" borderId="96" xfId="0" applyNumberFormat="1" applyFont="1" applyFill="1" applyBorder="1" applyAlignment="1">
      <alignment horizontal="right"/>
    </xf>
    <xf numFmtId="3" fontId="6" fillId="24" borderId="0" xfId="0" applyNumberFormat="1" applyFont="1" applyFill="1" applyBorder="1"/>
    <xf numFmtId="164" fontId="6" fillId="0" borderId="9" xfId="0" applyNumberFormat="1" applyFont="1" applyFill="1" applyBorder="1"/>
    <xf numFmtId="0" fontId="6" fillId="24" borderId="30" xfId="0" applyNumberFormat="1" applyFont="1" applyFill="1" applyBorder="1" applyAlignment="1">
      <alignment horizontal="center"/>
    </xf>
    <xf numFmtId="0" fontId="6" fillId="24" borderId="62" xfId="0" applyNumberFormat="1" applyFont="1" applyFill="1" applyBorder="1" applyAlignment="1">
      <alignment horizontal="center"/>
    </xf>
    <xf numFmtId="164" fontId="6" fillId="24" borderId="46" xfId="0" applyNumberFormat="1" applyFont="1" applyFill="1" applyBorder="1" applyAlignment="1">
      <alignment horizontal="center"/>
    </xf>
    <xf numFmtId="0" fontId="6" fillId="24" borderId="126" xfId="0" applyNumberFormat="1" applyFont="1" applyFill="1" applyBorder="1" applyAlignment="1">
      <alignment horizontal="center"/>
    </xf>
    <xf numFmtId="164" fontId="6" fillId="24" borderId="34" xfId="0" applyNumberFormat="1" applyFont="1" applyFill="1" applyBorder="1" applyAlignment="1">
      <alignment horizontal="center"/>
    </xf>
    <xf numFmtId="0" fontId="6" fillId="24" borderId="62" xfId="0" applyNumberFormat="1" applyFont="1" applyFill="1" applyBorder="1" applyAlignment="1">
      <alignment horizontal="right"/>
    </xf>
    <xf numFmtId="0" fontId="6" fillId="24" borderId="126" xfId="0" applyNumberFormat="1" applyFont="1" applyFill="1" applyBorder="1" applyAlignment="1">
      <alignment horizontal="right"/>
    </xf>
    <xf numFmtId="173" fontId="6" fillId="24" borderId="64" xfId="0" applyNumberFormat="1" applyFont="1" applyFill="1" applyBorder="1" applyAlignment="1">
      <alignment horizontal="right"/>
    </xf>
    <xf numFmtId="0" fontId="6" fillId="24" borderId="64" xfId="0" applyFont="1" applyFill="1" applyBorder="1" applyAlignment="1">
      <alignment horizontal="center"/>
    </xf>
    <xf numFmtId="164" fontId="6" fillId="24" borderId="46" xfId="0" applyNumberFormat="1" applyFont="1" applyFill="1" applyBorder="1" applyAlignment="1">
      <alignment horizontal="centerContinuous"/>
    </xf>
    <xf numFmtId="0" fontId="6" fillId="24" borderId="126" xfId="0" applyNumberFormat="1" applyFont="1" applyFill="1" applyBorder="1" applyAlignment="1">
      <alignment horizontal="centerContinuous"/>
    </xf>
    <xf numFmtId="164" fontId="6" fillId="24" borderId="30" xfId="0" applyNumberFormat="1" applyFont="1" applyFill="1" applyBorder="1" applyAlignment="1">
      <alignment horizontal="center"/>
    </xf>
    <xf numFmtId="167" fontId="6" fillId="24" borderId="61" xfId="0" applyNumberFormat="1" applyFont="1" applyFill="1" applyBorder="1" applyAlignment="1">
      <alignment horizontal="right"/>
    </xf>
    <xf numFmtId="167" fontId="6" fillId="24" borderId="61" xfId="0" applyNumberFormat="1" applyFont="1" applyFill="1" applyBorder="1" applyAlignment="1">
      <alignment horizontal="center"/>
    </xf>
    <xf numFmtId="3" fontId="6" fillId="24" borderId="34" xfId="82" applyNumberFormat="1" applyFont="1" applyFill="1" applyBorder="1" applyAlignment="1">
      <alignment horizontal="center"/>
    </xf>
    <xf numFmtId="167" fontId="6" fillId="24" borderId="64" xfId="82" applyNumberFormat="1" applyFont="1" applyFill="1" applyBorder="1" applyAlignment="1">
      <alignment horizontal="right"/>
    </xf>
    <xf numFmtId="1" fontId="6" fillId="24" borderId="29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64" fontId="6" fillId="24" borderId="62" xfId="86" applyNumberFormat="1" applyFont="1" applyFill="1" applyBorder="1" applyAlignment="1"/>
    <xf numFmtId="164" fontId="6" fillId="24" borderId="64" xfId="86" applyNumberFormat="1" applyFont="1" applyFill="1" applyBorder="1" applyAlignment="1"/>
    <xf numFmtId="3" fontId="5" fillId="0" borderId="55" xfId="0" applyNumberFormat="1" applyFont="1" applyFill="1" applyBorder="1" applyAlignment="1">
      <alignment horizontal="right"/>
    </xf>
    <xf numFmtId="3" fontId="5" fillId="0" borderId="55" xfId="0" applyNumberFormat="1" applyFont="1" applyFill="1" applyBorder="1"/>
    <xf numFmtId="0" fontId="4" fillId="0" borderId="72" xfId="0" applyFont="1" applyFill="1" applyBorder="1" applyAlignment="1">
      <alignment horizontal="right"/>
    </xf>
    <xf numFmtId="166" fontId="6" fillId="0" borderId="55" xfId="0" applyNumberFormat="1" applyFont="1" applyFill="1" applyBorder="1" applyAlignment="1">
      <alignment horizontal="right"/>
    </xf>
    <xf numFmtId="166" fontId="6" fillId="0" borderId="36" xfId="0" applyNumberFormat="1" applyFont="1" applyFill="1" applyBorder="1" applyAlignment="1">
      <alignment horizontal="right"/>
    </xf>
    <xf numFmtId="166" fontId="6" fillId="0" borderId="80" xfId="0" applyNumberFormat="1" applyFont="1" applyFill="1" applyBorder="1" applyAlignment="1">
      <alignment horizontal="right"/>
    </xf>
    <xf numFmtId="0" fontId="6" fillId="24" borderId="30" xfId="0" applyFont="1" applyFill="1" applyBorder="1" applyAlignment="1">
      <alignment horizontal="center"/>
    </xf>
    <xf numFmtId="0" fontId="6" fillId="24" borderId="62" xfId="0" applyFont="1" applyFill="1" applyBorder="1" applyAlignment="1">
      <alignment horizontal="center"/>
    </xf>
    <xf numFmtId="0" fontId="6" fillId="24" borderId="46" xfId="0" applyFont="1" applyFill="1" applyBorder="1" applyAlignment="1">
      <alignment horizontal="center"/>
    </xf>
    <xf numFmtId="0" fontId="6" fillId="24" borderId="126" xfId="0" applyFont="1" applyFill="1" applyBorder="1" applyAlignment="1">
      <alignment horizontal="center"/>
    </xf>
    <xf numFmtId="0" fontId="6" fillId="24" borderId="34" xfId="0" applyFont="1" applyFill="1" applyBorder="1" applyAlignment="1">
      <alignment horizontal="center"/>
    </xf>
    <xf numFmtId="5" fontId="6" fillId="24" borderId="62" xfId="0" applyNumberFormat="1" applyFont="1" applyFill="1" applyBorder="1" applyAlignment="1">
      <alignment horizontal="right"/>
    </xf>
    <xf numFmtId="5" fontId="6" fillId="24" borderId="64" xfId="0" applyNumberFormat="1" applyFont="1" applyFill="1" applyBorder="1" applyAlignment="1">
      <alignment horizontal="right"/>
    </xf>
    <xf numFmtId="5" fontId="6" fillId="24" borderId="96" xfId="0" applyNumberFormat="1" applyFont="1" applyFill="1" applyBorder="1" applyAlignment="1">
      <alignment horizontal="right"/>
    </xf>
    <xf numFmtId="3" fontId="6" fillId="0" borderId="126" xfId="0" applyNumberFormat="1" applyFont="1" applyFill="1" applyBorder="1"/>
    <xf numFmtId="1" fontId="6" fillId="59" borderId="69" xfId="0" applyNumberFormat="1" applyFont="1" applyFill="1" applyBorder="1" applyAlignment="1">
      <alignment horizontal="center"/>
    </xf>
    <xf numFmtId="1" fontId="6" fillId="59" borderId="16" xfId="0" applyNumberFormat="1" applyFont="1" applyFill="1" applyBorder="1"/>
    <xf numFmtId="1" fontId="6" fillId="59" borderId="96" xfId="0" applyNumberFormat="1" applyFont="1" applyFill="1" applyBorder="1"/>
    <xf numFmtId="3" fontId="6" fillId="0" borderId="16" xfId="0" applyNumberFormat="1" applyFont="1" applyBorder="1"/>
    <xf numFmtId="3" fontId="6" fillId="0" borderId="62" xfId="0" applyNumberFormat="1" applyFont="1" applyFill="1" applyBorder="1" applyAlignment="1">
      <alignment horizontal="center"/>
    </xf>
    <xf numFmtId="1" fontId="8" fillId="0" borderId="25" xfId="0" applyNumberFormat="1" applyFont="1" applyBorder="1"/>
    <xf numFmtId="3" fontId="6" fillId="0" borderId="0" xfId="0" applyNumberFormat="1" applyFont="1"/>
    <xf numFmtId="3" fontId="0" fillId="0" borderId="0" xfId="0" applyNumberFormat="1"/>
    <xf numFmtId="166" fontId="6" fillId="59" borderId="40" xfId="136" applyNumberFormat="1" applyFont="1" applyFill="1" applyBorder="1"/>
    <xf numFmtId="166" fontId="6" fillId="59" borderId="73" xfId="136" applyNumberFormat="1" applyFont="1" applyFill="1" applyBorder="1"/>
    <xf numFmtId="166" fontId="6" fillId="59" borderId="42" xfId="136" applyNumberFormat="1" applyFont="1" applyFill="1" applyBorder="1"/>
    <xf numFmtId="166" fontId="6" fillId="59" borderId="54" xfId="136" applyNumberFormat="1" applyFont="1" applyFill="1" applyBorder="1"/>
    <xf numFmtId="166" fontId="6" fillId="59" borderId="29" xfId="136" applyNumberFormat="1" applyFont="1" applyFill="1" applyBorder="1"/>
    <xf numFmtId="166" fontId="6" fillId="59" borderId="70" xfId="136" applyNumberFormat="1" applyFont="1" applyFill="1" applyBorder="1"/>
    <xf numFmtId="166" fontId="6" fillId="59" borderId="55" xfId="136" applyNumberFormat="1" applyFont="1" applyFill="1" applyBorder="1"/>
    <xf numFmtId="166" fontId="6" fillId="59" borderId="30" xfId="136" applyNumberFormat="1" applyFont="1" applyFill="1" applyBorder="1"/>
    <xf numFmtId="1" fontId="6" fillId="59" borderId="26" xfId="0" applyNumberFormat="1" applyFont="1" applyFill="1" applyBorder="1" applyAlignment="1">
      <alignment horizontal="right"/>
    </xf>
    <xf numFmtId="1" fontId="6" fillId="59" borderId="27" xfId="0" applyNumberFormat="1" applyFont="1" applyFill="1" applyBorder="1" applyAlignment="1">
      <alignment horizontal="right"/>
    </xf>
    <xf numFmtId="1" fontId="6" fillId="59" borderId="80" xfId="0" applyNumberFormat="1" applyFont="1" applyFill="1" applyBorder="1" applyAlignment="1">
      <alignment horizontal="center"/>
    </xf>
    <xf numFmtId="1" fontId="6" fillId="59" borderId="59" xfId="0" applyNumberFormat="1" applyFont="1" applyFill="1" applyBorder="1" applyAlignment="1">
      <alignment horizontal="right"/>
    </xf>
    <xf numFmtId="1" fontId="6" fillId="59" borderId="60" xfId="0" applyNumberFormat="1" applyFont="1" applyFill="1" applyBorder="1" applyAlignment="1">
      <alignment horizontal="right"/>
    </xf>
    <xf numFmtId="1" fontId="6" fillId="59" borderId="69" xfId="0" applyNumberFormat="1" applyFont="1" applyFill="1" applyBorder="1" applyAlignment="1">
      <alignment horizontal="right"/>
    </xf>
    <xf numFmtId="3" fontId="6" fillId="59" borderId="62" xfId="82" applyNumberFormat="1" applyFont="1" applyFill="1" applyBorder="1" applyAlignment="1">
      <alignment horizontal="right"/>
    </xf>
    <xf numFmtId="3" fontId="6" fillId="59" borderId="62" xfId="0" applyNumberFormat="1" applyFont="1" applyFill="1" applyBorder="1"/>
    <xf numFmtId="3" fontId="7" fillId="59" borderId="96" xfId="0" applyNumberFormat="1" applyFont="1" applyFill="1" applyBorder="1"/>
    <xf numFmtId="3" fontId="6" fillId="59" borderId="59" xfId="0" applyNumberFormat="1" applyFont="1" applyFill="1" applyBorder="1"/>
    <xf numFmtId="3" fontId="6" fillId="59" borderId="59" xfId="0" applyNumberFormat="1" applyFont="1" applyFill="1" applyBorder="1" applyAlignment="1">
      <alignment horizontal="center"/>
    </xf>
    <xf numFmtId="3" fontId="6" fillId="59" borderId="69" xfId="0" applyNumberFormat="1" applyFont="1" applyFill="1" applyBorder="1"/>
    <xf numFmtId="3" fontId="7" fillId="59" borderId="72" xfId="0" applyNumberFormat="1" applyFont="1" applyFill="1" applyBorder="1"/>
    <xf numFmtId="3" fontId="6" fillId="59" borderId="55" xfId="82" applyNumberFormat="1" applyFont="1" applyFill="1" applyBorder="1" applyAlignment="1">
      <alignment horizontal="right"/>
    </xf>
    <xf numFmtId="166" fontId="6" fillId="59" borderId="59" xfId="134" applyNumberFormat="1" applyFont="1" applyFill="1" applyBorder="1" applyAlignment="1">
      <alignment horizontal="right"/>
    </xf>
    <xf numFmtId="166" fontId="6" fillId="59" borderId="69" xfId="134" applyNumberFormat="1" applyFont="1" applyFill="1" applyBorder="1" applyAlignment="1">
      <alignment horizontal="right"/>
    </xf>
    <xf numFmtId="1" fontId="6" fillId="59" borderId="0" xfId="134" applyNumberFormat="1" applyFont="1" applyFill="1" applyBorder="1" applyAlignment="1">
      <alignment horizontal="center"/>
    </xf>
    <xf numFmtId="2" fontId="6" fillId="59" borderId="83" xfId="134" applyNumberFormat="1" applyFont="1" applyFill="1" applyBorder="1" applyAlignment="1">
      <alignment horizontal="center"/>
    </xf>
    <xf numFmtId="2" fontId="6" fillId="59" borderId="150" xfId="134" applyNumberFormat="1" applyFont="1" applyFill="1" applyBorder="1" applyAlignment="1">
      <alignment horizontal="center"/>
    </xf>
    <xf numFmtId="0" fontId="6" fillId="59" borderId="30" xfId="0" applyFont="1" applyFill="1" applyBorder="1" applyAlignment="1">
      <alignment horizontal="right"/>
    </xf>
    <xf numFmtId="0" fontId="6" fillId="59" borderId="46" xfId="0" applyFont="1" applyFill="1" applyBorder="1" applyAlignment="1">
      <alignment horizontal="right"/>
    </xf>
    <xf numFmtId="166" fontId="6" fillId="0" borderId="30" xfId="0" applyNumberFormat="1" applyFont="1" applyFill="1" applyBorder="1"/>
    <xf numFmtId="1" fontId="6" fillId="59" borderId="61" xfId="0" applyNumberFormat="1" applyFont="1" applyFill="1" applyBorder="1"/>
    <xf numFmtId="1" fontId="6" fillId="59" borderId="59" xfId="0" applyNumberFormat="1" applyFont="1" applyFill="1" applyBorder="1" applyAlignment="1">
      <alignment horizontal="center"/>
    </xf>
    <xf numFmtId="1" fontId="6" fillId="59" borderId="84" xfId="0" applyNumberFormat="1" applyFont="1" applyFill="1" applyBorder="1"/>
    <xf numFmtId="1" fontId="6" fillId="59" borderId="84" xfId="0" applyNumberFormat="1" applyFont="1" applyFill="1" applyBorder="1" applyAlignment="1">
      <alignment horizontal="center"/>
    </xf>
    <xf numFmtId="1" fontId="6" fillId="59" borderId="59" xfId="0" applyNumberFormat="1" applyFont="1" applyFill="1" applyBorder="1"/>
    <xf numFmtId="1" fontId="6" fillId="59" borderId="13" xfId="0" applyNumberFormat="1" applyFont="1" applyFill="1" applyBorder="1" applyAlignment="1">
      <alignment horizontal="center"/>
    </xf>
    <xf numFmtId="1" fontId="6" fillId="59" borderId="84" xfId="0" applyNumberFormat="1" applyFont="1" applyFill="1" applyBorder="1" applyAlignment="1">
      <alignment horizontal="right"/>
    </xf>
    <xf numFmtId="1" fontId="6" fillId="59" borderId="62" xfId="0" applyNumberFormat="1" applyFont="1" applyFill="1" applyBorder="1" applyAlignment="1">
      <alignment horizontal="right"/>
    </xf>
    <xf numFmtId="3" fontId="6" fillId="59" borderId="126" xfId="0" applyNumberFormat="1" applyFont="1" applyFill="1" applyBorder="1"/>
    <xf numFmtId="3" fontId="6" fillId="59" borderId="62" xfId="0" applyNumberFormat="1" applyFont="1" applyFill="1" applyBorder="1" applyAlignment="1">
      <alignment horizontal="right"/>
    </xf>
    <xf numFmtId="0" fontId="7" fillId="59" borderId="18" xfId="0" applyFont="1" applyFill="1" applyBorder="1" applyAlignment="1">
      <alignment horizontal="right"/>
    </xf>
    <xf numFmtId="3" fontId="6" fillId="59" borderId="30" xfId="82" applyNumberFormat="1" applyFont="1" applyFill="1" applyBorder="1" applyAlignment="1">
      <alignment horizontal="right"/>
    </xf>
    <xf numFmtId="3" fontId="6" fillId="59" borderId="18" xfId="82" applyNumberFormat="1" applyFont="1" applyFill="1" applyBorder="1" applyAlignment="1">
      <alignment horizontal="right"/>
    </xf>
    <xf numFmtId="166" fontId="6" fillId="59" borderId="18" xfId="0" applyNumberFormat="1" applyFont="1" applyFill="1" applyBorder="1" applyAlignment="1">
      <alignment horizontal="right"/>
    </xf>
    <xf numFmtId="3" fontId="6" fillId="59" borderId="82" xfId="82" applyNumberFormat="1" applyFont="1" applyFill="1" applyBorder="1" applyAlignment="1">
      <alignment horizontal="right"/>
    </xf>
    <xf numFmtId="1" fontId="6" fillId="59" borderId="99" xfId="134" applyNumberFormat="1" applyFont="1" applyFill="1" applyBorder="1" applyAlignment="1">
      <alignment horizontal="center"/>
    </xf>
    <xf numFmtId="0" fontId="6" fillId="59" borderId="60" xfId="0" applyFont="1" applyFill="1" applyBorder="1"/>
    <xf numFmtId="1" fontId="6" fillId="59" borderId="60" xfId="0" applyNumberFormat="1" applyFont="1" applyFill="1" applyBorder="1"/>
    <xf numFmtId="1" fontId="6" fillId="59" borderId="36" xfId="0" applyNumberFormat="1" applyFont="1" applyFill="1" applyBorder="1" applyAlignment="1">
      <alignment horizontal="right"/>
    </xf>
    <xf numFmtId="1" fontId="6" fillId="59" borderId="80" xfId="0" applyNumberFormat="1" applyFont="1" applyFill="1" applyBorder="1" applyAlignment="1">
      <alignment horizontal="right"/>
    </xf>
    <xf numFmtId="3" fontId="6" fillId="59" borderId="55" xfId="0" applyNumberFormat="1" applyFont="1" applyFill="1" applyBorder="1"/>
    <xf numFmtId="3" fontId="7" fillId="59" borderId="72" xfId="0" applyNumberFormat="1" applyFont="1" applyFill="1" applyBorder="1" applyAlignment="1">
      <alignment horizontal="right"/>
    </xf>
    <xf numFmtId="166" fontId="6" fillId="59" borderId="36" xfId="134" applyNumberFormat="1" applyFont="1" applyFill="1" applyBorder="1" applyAlignment="1">
      <alignment horizontal="right"/>
    </xf>
    <xf numFmtId="166" fontId="7" fillId="59" borderId="36" xfId="134" applyNumberFormat="1" applyFont="1" applyFill="1" applyBorder="1" applyAlignment="1">
      <alignment horizontal="right"/>
    </xf>
    <xf numFmtId="166" fontId="6" fillId="59" borderId="80" xfId="134" applyNumberFormat="1" applyFont="1" applyFill="1" applyBorder="1" applyAlignment="1">
      <alignment horizontal="right"/>
    </xf>
    <xf numFmtId="2" fontId="6" fillId="59" borderId="79" xfId="134" applyNumberFormat="1" applyFont="1" applyFill="1" applyBorder="1" applyAlignment="1">
      <alignment horizontal="center"/>
    </xf>
    <xf numFmtId="2" fontId="6" fillId="59" borderId="104" xfId="134" applyNumberFormat="1" applyFont="1" applyFill="1" applyBorder="1" applyAlignment="1">
      <alignment horizontal="center"/>
    </xf>
    <xf numFmtId="3" fontId="7" fillId="59" borderId="33" xfId="0" applyNumberFormat="1" applyFont="1" applyFill="1" applyBorder="1"/>
    <xf numFmtId="1" fontId="6" fillId="59" borderId="152" xfId="0" applyNumberFormat="1" applyFont="1" applyFill="1" applyBorder="1" applyAlignment="1">
      <alignment horizontal="right"/>
    </xf>
    <xf numFmtId="3" fontId="6" fillId="59" borderId="98" xfId="82" applyNumberFormat="1" applyFont="1" applyFill="1" applyBorder="1" applyAlignment="1">
      <alignment horizontal="center"/>
    </xf>
    <xf numFmtId="166" fontId="6" fillId="0" borderId="63" xfId="136" applyNumberFormat="1" applyFont="1" applyFill="1" applyBorder="1"/>
    <xf numFmtId="0" fontId="6" fillId="60" borderId="30" xfId="0" applyFont="1" applyFill="1" applyBorder="1" applyAlignment="1">
      <alignment horizontal="right"/>
    </xf>
    <xf numFmtId="0" fontId="6" fillId="60" borderId="46" xfId="0" applyFont="1" applyFill="1" applyBorder="1" applyAlignment="1">
      <alignment horizontal="right"/>
    </xf>
    <xf numFmtId="0" fontId="7" fillId="60" borderId="18" xfId="0" applyFont="1" applyFill="1" applyBorder="1" applyAlignment="1">
      <alignment horizontal="right"/>
    </xf>
    <xf numFmtId="3" fontId="6" fillId="60" borderId="30" xfId="82" applyNumberFormat="1" applyFont="1" applyFill="1" applyBorder="1" applyAlignment="1">
      <alignment horizontal="right"/>
    </xf>
    <xf numFmtId="3" fontId="6" fillId="60" borderId="18" xfId="82" applyNumberFormat="1" applyFont="1" applyFill="1" applyBorder="1" applyAlignment="1">
      <alignment horizontal="right"/>
    </xf>
    <xf numFmtId="166" fontId="6" fillId="60" borderId="18" xfId="0" applyNumberFormat="1" applyFont="1" applyFill="1" applyBorder="1" applyAlignment="1">
      <alignment horizontal="right"/>
    </xf>
    <xf numFmtId="3" fontId="6" fillId="60" borderId="82" xfId="82" applyNumberFormat="1" applyFont="1" applyFill="1" applyBorder="1" applyAlignment="1">
      <alignment horizontal="right"/>
    </xf>
    <xf numFmtId="3" fontId="6" fillId="60" borderId="98" xfId="82" applyNumberFormat="1" applyFont="1" applyFill="1" applyBorder="1" applyAlignment="1">
      <alignment horizontal="center"/>
    </xf>
    <xf numFmtId="1" fontId="6" fillId="60" borderId="0" xfId="134" applyNumberFormat="1" applyFont="1" applyFill="1" applyBorder="1" applyAlignment="1">
      <alignment horizontal="center"/>
    </xf>
    <xf numFmtId="1" fontId="6" fillId="60" borderId="99" xfId="134" applyNumberFormat="1" applyFont="1" applyFill="1" applyBorder="1" applyAlignment="1">
      <alignment horizontal="center"/>
    </xf>
    <xf numFmtId="0" fontId="6" fillId="60" borderId="29" xfId="0" applyFont="1" applyFill="1" applyBorder="1"/>
    <xf numFmtId="0" fontId="6" fillId="60" borderId="54" xfId="0" applyFont="1" applyFill="1" applyBorder="1"/>
    <xf numFmtId="0" fontId="6" fillId="60" borderId="30" xfId="0" applyFont="1" applyFill="1" applyBorder="1"/>
    <xf numFmtId="3" fontId="6" fillId="60" borderId="55" xfId="82" applyNumberFormat="1" applyFont="1" applyFill="1" applyBorder="1" applyAlignment="1">
      <alignment horizontal="right"/>
    </xf>
    <xf numFmtId="3" fontId="6" fillId="60" borderId="55" xfId="0" applyNumberFormat="1" applyFont="1" applyFill="1" applyBorder="1"/>
    <xf numFmtId="0" fontId="7" fillId="60" borderId="33" xfId="0" applyFont="1" applyFill="1" applyBorder="1" applyAlignment="1">
      <alignment horizontal="right"/>
    </xf>
    <xf numFmtId="3" fontId="7" fillId="60" borderId="72" xfId="0" applyNumberFormat="1" applyFont="1" applyFill="1" applyBorder="1" applyAlignment="1">
      <alignment horizontal="right"/>
    </xf>
    <xf numFmtId="0" fontId="7" fillId="60" borderId="22" xfId="0" applyFont="1" applyFill="1" applyBorder="1" applyAlignment="1">
      <alignment horizontal="center"/>
    </xf>
    <xf numFmtId="0" fontId="7" fillId="60" borderId="41" xfId="0" applyFont="1" applyFill="1" applyBorder="1" applyAlignment="1">
      <alignment horizontal="center"/>
    </xf>
    <xf numFmtId="166" fontId="6" fillId="60" borderId="36" xfId="134" applyNumberFormat="1" applyFont="1" applyFill="1" applyBorder="1" applyAlignment="1">
      <alignment horizontal="right"/>
    </xf>
    <xf numFmtId="166" fontId="7" fillId="60" borderId="36" xfId="134" applyNumberFormat="1" applyFont="1" applyFill="1" applyBorder="1" applyAlignment="1">
      <alignment horizontal="right"/>
    </xf>
    <xf numFmtId="166" fontId="6" fillId="60" borderId="80" xfId="134" applyNumberFormat="1" applyFont="1" applyFill="1" applyBorder="1" applyAlignment="1">
      <alignment horizontal="right"/>
    </xf>
    <xf numFmtId="166" fontId="6" fillId="60" borderId="79" xfId="134" applyNumberFormat="1" applyFont="1" applyFill="1" applyBorder="1" applyAlignment="1">
      <alignment horizontal="center"/>
    </xf>
    <xf numFmtId="2" fontId="6" fillId="60" borderId="79" xfId="134" applyNumberFormat="1" applyFont="1" applyFill="1" applyBorder="1" applyAlignment="1">
      <alignment horizontal="center"/>
    </xf>
    <xf numFmtId="2" fontId="6" fillId="60" borderId="104" xfId="134" applyNumberFormat="1" applyFont="1" applyFill="1" applyBorder="1" applyAlignment="1">
      <alignment horizontal="center"/>
    </xf>
    <xf numFmtId="3" fontId="6" fillId="60" borderId="133" xfId="82" applyNumberFormat="1" applyFont="1" applyFill="1" applyBorder="1" applyAlignment="1">
      <alignment horizontal="center"/>
    </xf>
    <xf numFmtId="0" fontId="6" fillId="60" borderId="42" xfId="0" applyFont="1" applyFill="1" applyBorder="1"/>
    <xf numFmtId="0" fontId="6" fillId="60" borderId="70" xfId="0" applyFont="1" applyFill="1" applyBorder="1"/>
    <xf numFmtId="0" fontId="7" fillId="60" borderId="71" xfId="0" applyFont="1" applyFill="1" applyBorder="1" applyAlignment="1">
      <alignment horizontal="right"/>
    </xf>
    <xf numFmtId="0" fontId="7" fillId="60" borderId="43" xfId="0" applyFont="1" applyFill="1" applyBorder="1" applyAlignment="1">
      <alignment horizontal="center"/>
    </xf>
    <xf numFmtId="0" fontId="7" fillId="60" borderId="39" xfId="0" applyFont="1" applyFill="1" applyBorder="1" applyAlignment="1">
      <alignment horizontal="center"/>
    </xf>
    <xf numFmtId="0" fontId="6" fillId="60" borderId="70" xfId="0" applyFont="1" applyFill="1" applyBorder="1" applyAlignment="1">
      <alignment horizontal="right"/>
    </xf>
    <xf numFmtId="0" fontId="6" fillId="60" borderId="76" xfId="0" applyFont="1" applyFill="1" applyBorder="1" applyAlignment="1">
      <alignment horizontal="right"/>
    </xf>
    <xf numFmtId="0" fontId="7" fillId="60" borderId="15" xfId="0" applyFont="1" applyFill="1" applyBorder="1" applyAlignment="1">
      <alignment horizontal="right"/>
    </xf>
    <xf numFmtId="3" fontId="6" fillId="60" borderId="70" xfId="82" applyNumberFormat="1" applyFont="1" applyFill="1" applyBorder="1" applyAlignment="1">
      <alignment horizontal="right"/>
    </xf>
    <xf numFmtId="3" fontId="6" fillId="60" borderId="15" xfId="82" applyNumberFormat="1" applyFont="1" applyFill="1" applyBorder="1" applyAlignment="1">
      <alignment horizontal="right"/>
    </xf>
    <xf numFmtId="166" fontId="6" fillId="60" borderId="15" xfId="0" applyNumberFormat="1" applyFont="1" applyFill="1" applyBorder="1" applyAlignment="1">
      <alignment horizontal="right"/>
    </xf>
    <xf numFmtId="3" fontId="6" fillId="60" borderId="44" xfId="82" applyNumberFormat="1" applyFont="1" applyFill="1" applyBorder="1" applyAlignment="1">
      <alignment horizontal="right"/>
    </xf>
    <xf numFmtId="166" fontId="6" fillId="60" borderId="0" xfId="134" applyNumberFormat="1" applyFont="1" applyFill="1" applyBorder="1" applyAlignment="1">
      <alignment horizontal="center"/>
    </xf>
    <xf numFmtId="3" fontId="6" fillId="60" borderId="30" xfId="0" applyNumberFormat="1" applyFont="1" applyFill="1" applyBorder="1"/>
    <xf numFmtId="3" fontId="7" fillId="60" borderId="33" xfId="0" applyNumberFormat="1" applyFont="1" applyFill="1" applyBorder="1" applyAlignment="1">
      <alignment horizontal="right"/>
    </xf>
    <xf numFmtId="0" fontId="7" fillId="60" borderId="21" xfId="0" applyFont="1" applyFill="1" applyBorder="1" applyAlignment="1">
      <alignment horizontal="center"/>
    </xf>
    <xf numFmtId="166" fontId="6" fillId="60" borderId="13" xfId="134" applyNumberFormat="1" applyFont="1" applyFill="1" applyBorder="1" applyAlignment="1">
      <alignment horizontal="right"/>
    </xf>
    <xf numFmtId="166" fontId="7" fillId="60" borderId="13" xfId="134" applyNumberFormat="1" applyFont="1" applyFill="1" applyBorder="1" applyAlignment="1">
      <alignment horizontal="right"/>
    </xf>
    <xf numFmtId="166" fontId="6" fillId="60" borderId="81" xfId="134" applyNumberFormat="1" applyFont="1" applyFill="1" applyBorder="1" applyAlignment="1">
      <alignment horizontal="right"/>
    </xf>
    <xf numFmtId="0" fontId="6" fillId="59" borderId="29" xfId="0" applyFont="1" applyFill="1" applyBorder="1"/>
    <xf numFmtId="0" fontId="6" fillId="59" borderId="54" xfId="0" applyFont="1" applyFill="1" applyBorder="1"/>
    <xf numFmtId="0" fontId="6" fillId="59" borderId="30" xfId="0" applyFont="1" applyFill="1" applyBorder="1"/>
    <xf numFmtId="0" fontId="7" fillId="59" borderId="33" xfId="0" applyFont="1" applyFill="1" applyBorder="1" applyAlignment="1">
      <alignment horizontal="right"/>
    </xf>
    <xf numFmtId="0" fontId="7" fillId="59" borderId="22" xfId="0" applyFont="1" applyFill="1" applyBorder="1" applyAlignment="1">
      <alignment horizontal="center"/>
    </xf>
    <xf numFmtId="0" fontId="7" fillId="59" borderId="41" xfId="0" applyFont="1" applyFill="1" applyBorder="1" applyAlignment="1">
      <alignment horizontal="center"/>
    </xf>
    <xf numFmtId="166" fontId="6" fillId="59" borderId="79" xfId="134" applyNumberFormat="1" applyFont="1" applyFill="1" applyBorder="1" applyAlignment="1">
      <alignment horizontal="center"/>
    </xf>
    <xf numFmtId="3" fontId="6" fillId="59" borderId="133" xfId="82" applyNumberFormat="1" applyFont="1" applyFill="1" applyBorder="1" applyAlignment="1">
      <alignment horizontal="center"/>
    </xf>
    <xf numFmtId="0" fontId="6" fillId="59" borderId="42" xfId="0" applyFont="1" applyFill="1" applyBorder="1"/>
    <xf numFmtId="0" fontId="6" fillId="59" borderId="70" xfId="0" applyFont="1" applyFill="1" applyBorder="1"/>
    <xf numFmtId="0" fontId="7" fillId="59" borderId="71" xfId="0" applyFont="1" applyFill="1" applyBorder="1" applyAlignment="1">
      <alignment horizontal="right"/>
    </xf>
    <xf numFmtId="0" fontId="7" fillId="59" borderId="43" xfId="0" applyFont="1" applyFill="1" applyBorder="1" applyAlignment="1">
      <alignment horizontal="center"/>
    </xf>
    <xf numFmtId="0" fontId="7" fillId="59" borderId="39" xfId="0" applyFont="1" applyFill="1" applyBorder="1" applyAlignment="1">
      <alignment horizontal="center"/>
    </xf>
    <xf numFmtId="0" fontId="6" fillId="59" borderId="70" xfId="0" applyFont="1" applyFill="1" applyBorder="1" applyAlignment="1">
      <alignment horizontal="right"/>
    </xf>
    <xf numFmtId="0" fontId="6" fillId="59" borderId="76" xfId="0" applyFont="1" applyFill="1" applyBorder="1" applyAlignment="1">
      <alignment horizontal="right"/>
    </xf>
    <xf numFmtId="0" fontId="7" fillId="59" borderId="15" xfId="0" applyFont="1" applyFill="1" applyBorder="1" applyAlignment="1">
      <alignment horizontal="right"/>
    </xf>
    <xf numFmtId="3" fontId="6" fillId="59" borderId="70" xfId="82" applyNumberFormat="1" applyFont="1" applyFill="1" applyBorder="1" applyAlignment="1">
      <alignment horizontal="right"/>
    </xf>
    <xf numFmtId="3" fontId="6" fillId="59" borderId="15" xfId="82" applyNumberFormat="1" applyFont="1" applyFill="1" applyBorder="1" applyAlignment="1">
      <alignment horizontal="right"/>
    </xf>
    <xf numFmtId="166" fontId="6" fillId="59" borderId="15" xfId="0" applyNumberFormat="1" applyFont="1" applyFill="1" applyBorder="1" applyAlignment="1">
      <alignment horizontal="right"/>
    </xf>
    <xf numFmtId="3" fontId="6" fillId="59" borderId="44" xfId="82" applyNumberFormat="1" applyFont="1" applyFill="1" applyBorder="1" applyAlignment="1">
      <alignment horizontal="right"/>
    </xf>
    <xf numFmtId="166" fontId="6" fillId="59" borderId="0" xfId="134" applyNumberFormat="1" applyFont="1" applyFill="1" applyBorder="1" applyAlignment="1">
      <alignment horizontal="center"/>
    </xf>
    <xf numFmtId="3" fontId="6" fillId="59" borderId="30" xfId="0" applyNumberFormat="1" applyFont="1" applyFill="1" applyBorder="1"/>
    <xf numFmtId="3" fontId="7" fillId="59" borderId="33" xfId="0" applyNumberFormat="1" applyFont="1" applyFill="1" applyBorder="1" applyAlignment="1">
      <alignment horizontal="right"/>
    </xf>
    <xf numFmtId="0" fontId="7" fillId="59" borderId="21" xfId="0" applyFont="1" applyFill="1" applyBorder="1" applyAlignment="1">
      <alignment horizontal="center"/>
    </xf>
    <xf numFmtId="166" fontId="6" fillId="59" borderId="13" xfId="134" applyNumberFormat="1" applyFont="1" applyFill="1" applyBorder="1" applyAlignment="1">
      <alignment horizontal="right"/>
    </xf>
    <xf numFmtId="166" fontId="7" fillId="59" borderId="13" xfId="134" applyNumberFormat="1" applyFont="1" applyFill="1" applyBorder="1" applyAlignment="1">
      <alignment horizontal="right"/>
    </xf>
    <xf numFmtId="166" fontId="6" fillId="59" borderId="81" xfId="134" applyNumberFormat="1" applyFont="1" applyFill="1" applyBorder="1" applyAlignment="1">
      <alignment horizontal="right"/>
    </xf>
    <xf numFmtId="3" fontId="6" fillId="0" borderId="32" xfId="82" applyNumberFormat="1" applyFont="1" applyFill="1" applyBorder="1" applyAlignment="1">
      <alignment horizontal="center"/>
    </xf>
    <xf numFmtId="0" fontId="6" fillId="59" borderId="30" xfId="0" applyNumberFormat="1" applyFont="1" applyFill="1" applyBorder="1" applyAlignment="1">
      <alignment horizontal="center"/>
    </xf>
    <xf numFmtId="0" fontId="6" fillId="59" borderId="62" xfId="0" applyNumberFormat="1" applyFont="1" applyFill="1" applyBorder="1" applyAlignment="1">
      <alignment horizontal="center"/>
    </xf>
    <xf numFmtId="164" fontId="6" fillId="59" borderId="46" xfId="0" applyNumberFormat="1" applyFont="1" applyFill="1" applyBorder="1" applyAlignment="1">
      <alignment horizontal="center"/>
    </xf>
    <xf numFmtId="0" fontId="6" fillId="59" borderId="126" xfId="0" applyNumberFormat="1" applyFont="1" applyFill="1" applyBorder="1" applyAlignment="1">
      <alignment horizontal="center"/>
    </xf>
    <xf numFmtId="164" fontId="6" fillId="59" borderId="34" xfId="0" applyNumberFormat="1" applyFont="1" applyFill="1" applyBorder="1" applyAlignment="1">
      <alignment horizontal="center"/>
    </xf>
    <xf numFmtId="167" fontId="6" fillId="59" borderId="64" xfId="0" applyNumberFormat="1" applyFont="1" applyFill="1" applyBorder="1" applyAlignment="1">
      <alignment horizontal="center"/>
    </xf>
    <xf numFmtId="166" fontId="6" fillId="59" borderId="61" xfId="136" applyNumberFormat="1" applyFont="1" applyFill="1" applyBorder="1"/>
    <xf numFmtId="166" fontId="6" fillId="59" borderId="62" xfId="136" applyNumberFormat="1" applyFont="1" applyFill="1" applyBorder="1"/>
    <xf numFmtId="167" fontId="6" fillId="59" borderId="55" xfId="0" applyNumberFormat="1" applyFont="1" applyFill="1" applyBorder="1" applyAlignment="1">
      <alignment horizontal="center"/>
    </xf>
    <xf numFmtId="0" fontId="6" fillId="59" borderId="77" xfId="0" applyNumberFormat="1" applyFont="1" applyFill="1" applyBorder="1" applyAlignment="1">
      <alignment horizontal="center"/>
    </xf>
    <xf numFmtId="0" fontId="6" fillId="59" borderId="34" xfId="0" applyNumberFormat="1" applyFont="1" applyFill="1" applyBorder="1" applyAlignment="1">
      <alignment horizontal="center"/>
    </xf>
    <xf numFmtId="164" fontId="6" fillId="59" borderId="78" xfId="0" applyNumberFormat="1" applyFont="1" applyFill="1" applyBorder="1" applyAlignment="1">
      <alignment horizontal="center"/>
    </xf>
    <xf numFmtId="173" fontId="6" fillId="59" borderId="64" xfId="0" applyNumberFormat="1" applyFont="1" applyFill="1" applyBorder="1" applyAlignment="1">
      <alignment horizontal="center"/>
    </xf>
    <xf numFmtId="0" fontId="6" fillId="59" borderId="30" xfId="0" applyNumberFormat="1" applyFont="1" applyFill="1" applyBorder="1"/>
    <xf numFmtId="0" fontId="6" fillId="59" borderId="62" xfId="0" applyNumberFormat="1" applyFont="1" applyFill="1" applyBorder="1"/>
    <xf numFmtId="164" fontId="6" fillId="59" borderId="46" xfId="0" applyNumberFormat="1" applyFont="1" applyFill="1" applyBorder="1"/>
    <xf numFmtId="0" fontId="6" fillId="59" borderId="126" xfId="0" applyNumberFormat="1" applyFont="1" applyFill="1" applyBorder="1"/>
    <xf numFmtId="164" fontId="6" fillId="59" borderId="34" xfId="0" applyNumberFormat="1" applyFont="1" applyFill="1" applyBorder="1"/>
    <xf numFmtId="3" fontId="6" fillId="0" borderId="98" xfId="82" applyNumberFormat="1" applyFont="1" applyFill="1" applyBorder="1" applyAlignment="1">
      <alignment horizontal="center"/>
    </xf>
    <xf numFmtId="0" fontId="7" fillId="59" borderId="33" xfId="0" applyFont="1" applyFill="1" applyBorder="1"/>
    <xf numFmtId="1" fontId="6" fillId="59" borderId="22" xfId="0" applyNumberFormat="1" applyFont="1" applyFill="1" applyBorder="1" applyAlignment="1">
      <alignment horizontal="right"/>
    </xf>
    <xf numFmtId="1" fontId="6" fillId="59" borderId="18" xfId="0" applyNumberFormat="1" applyFont="1" applyFill="1" applyBorder="1" applyAlignment="1">
      <alignment horizontal="right"/>
    </xf>
    <xf numFmtId="1" fontId="6" fillId="59" borderId="35" xfId="0" applyNumberFormat="1" applyFont="1" applyFill="1" applyBorder="1" applyAlignment="1">
      <alignment horizontal="right"/>
    </xf>
    <xf numFmtId="1" fontId="6" fillId="59" borderId="82" xfId="0" applyNumberFormat="1" applyFont="1" applyFill="1" applyBorder="1" applyAlignment="1">
      <alignment horizontal="right"/>
    </xf>
    <xf numFmtId="172" fontId="6" fillId="59" borderId="61" xfId="82" applyNumberFormat="1" applyFont="1" applyFill="1" applyBorder="1"/>
    <xf numFmtId="172" fontId="6" fillId="59" borderId="62" xfId="82" applyNumberFormat="1" applyFont="1" applyFill="1" applyBorder="1"/>
    <xf numFmtId="0" fontId="7" fillId="59" borderId="30" xfId="0" applyFont="1" applyFill="1" applyBorder="1"/>
    <xf numFmtId="172" fontId="7" fillId="59" borderId="62" xfId="82" applyNumberFormat="1" applyFont="1" applyFill="1" applyBorder="1"/>
    <xf numFmtId="0" fontId="6" fillId="59" borderId="32" xfId="0" applyFont="1" applyFill="1" applyBorder="1"/>
    <xf numFmtId="0" fontId="6" fillId="59" borderId="63" xfId="0" applyFont="1" applyFill="1" applyBorder="1"/>
    <xf numFmtId="167" fontId="6" fillId="59" borderId="30" xfId="0" applyNumberFormat="1" applyFont="1" applyFill="1" applyBorder="1"/>
    <xf numFmtId="167" fontId="6" fillId="59" borderId="62" xfId="0" applyNumberFormat="1" applyFont="1" applyFill="1" applyBorder="1" applyAlignment="1">
      <alignment horizontal="center"/>
    </xf>
    <xf numFmtId="167" fontId="6" fillId="59" borderId="34" xfId="0" applyNumberFormat="1" applyFont="1" applyFill="1" applyBorder="1"/>
    <xf numFmtId="164" fontId="6" fillId="59" borderId="0" xfId="0" applyNumberFormat="1" applyFont="1" applyFill="1" applyBorder="1" applyAlignment="1">
      <alignment horizontal="center"/>
    </xf>
    <xf numFmtId="164" fontId="6" fillId="59" borderId="63" xfId="0" applyNumberFormat="1" applyFont="1" applyFill="1" applyBorder="1" applyAlignment="1">
      <alignment horizontal="center"/>
    </xf>
    <xf numFmtId="164" fontId="6" fillId="59" borderId="32" xfId="0" applyNumberFormat="1" applyFont="1" applyFill="1" applyBorder="1"/>
    <xf numFmtId="0" fontId="6" fillId="59" borderId="63" xfId="0" applyFont="1" applyFill="1" applyBorder="1" applyAlignment="1">
      <alignment horizontal="center"/>
    </xf>
    <xf numFmtId="164" fontId="6" fillId="59" borderId="0" xfId="0" applyNumberFormat="1" applyFont="1" applyFill="1" applyBorder="1"/>
    <xf numFmtId="0" fontId="6" fillId="59" borderId="83" xfId="0" applyFont="1" applyFill="1" applyBorder="1" applyAlignment="1">
      <alignment horizontal="center"/>
    </xf>
    <xf numFmtId="164" fontId="13" fillId="59" borderId="29" xfId="0" applyNumberFormat="1" applyFont="1" applyFill="1" applyBorder="1"/>
    <xf numFmtId="167" fontId="13" fillId="59" borderId="83" xfId="0" applyNumberFormat="1" applyFont="1" applyFill="1" applyBorder="1"/>
    <xf numFmtId="164" fontId="6" fillId="59" borderId="33" xfId="0" applyNumberFormat="1" applyFont="1" applyFill="1" applyBorder="1"/>
    <xf numFmtId="164" fontId="6" fillId="59" borderId="96" xfId="86" applyNumberFormat="1" applyFont="1" applyFill="1" applyBorder="1" applyAlignment="1">
      <alignment horizontal="right"/>
    </xf>
    <xf numFmtId="3" fontId="7" fillId="59" borderId="96" xfId="0" applyNumberFormat="1" applyFont="1" applyFill="1" applyBorder="1" applyAlignment="1">
      <alignment horizontal="right"/>
    </xf>
    <xf numFmtId="0" fontId="7" fillId="59" borderId="84" xfId="0" applyFont="1" applyFill="1" applyBorder="1" applyAlignment="1">
      <alignment horizontal="center"/>
    </xf>
    <xf numFmtId="166" fontId="7" fillId="59" borderId="59" xfId="134" applyNumberFormat="1" applyFont="1" applyFill="1" applyBorder="1" applyAlignment="1">
      <alignment horizontal="right"/>
    </xf>
    <xf numFmtId="1" fontId="13" fillId="59" borderId="18" xfId="0" applyNumberFormat="1" applyFont="1" applyFill="1" applyBorder="1"/>
    <xf numFmtId="1" fontId="13" fillId="59" borderId="106" xfId="0" applyNumberFormat="1" applyFont="1" applyFill="1" applyBorder="1"/>
    <xf numFmtId="1" fontId="13" fillId="59" borderId="82" xfId="0" applyNumberFormat="1" applyFont="1" applyFill="1" applyBorder="1"/>
    <xf numFmtId="164" fontId="6" fillId="59" borderId="32" xfId="0" applyNumberFormat="1" applyFont="1" applyFill="1" applyBorder="1" applyAlignment="1">
      <alignment horizontal="center"/>
    </xf>
    <xf numFmtId="169" fontId="6" fillId="59" borderId="64" xfId="0" applyNumberFormat="1" applyFont="1" applyFill="1" applyBorder="1" applyAlignment="1">
      <alignment horizontal="center"/>
    </xf>
    <xf numFmtId="164" fontId="6" fillId="59" borderId="29" xfId="0" applyNumberFormat="1" applyFont="1" applyFill="1" applyBorder="1"/>
    <xf numFmtId="172" fontId="6" fillId="59" borderId="29" xfId="82" applyNumberFormat="1" applyFont="1" applyFill="1" applyBorder="1"/>
    <xf numFmtId="172" fontId="6" fillId="59" borderId="30" xfId="82" applyNumberFormat="1" applyFont="1" applyFill="1" applyBorder="1"/>
    <xf numFmtId="0" fontId="7" fillId="59" borderId="70" xfId="0" applyFont="1" applyFill="1" applyBorder="1"/>
    <xf numFmtId="172" fontId="7" fillId="59" borderId="30" xfId="82" applyNumberFormat="1" applyFont="1" applyFill="1" applyBorder="1"/>
    <xf numFmtId="0" fontId="6" fillId="59" borderId="40" xfId="0" applyFont="1" applyFill="1" applyBorder="1"/>
    <xf numFmtId="164" fontId="6" fillId="59" borderId="70" xfId="0" applyNumberFormat="1" applyFont="1" applyFill="1" applyBorder="1"/>
    <xf numFmtId="164" fontId="6" fillId="59" borderId="30" xfId="86" applyNumberFormat="1" applyFont="1" applyFill="1" applyBorder="1" applyAlignment="1">
      <alignment horizontal="right"/>
    </xf>
    <xf numFmtId="164" fontId="6" fillId="59" borderId="74" xfId="0" applyNumberFormat="1" applyFont="1" applyFill="1" applyBorder="1"/>
    <xf numFmtId="164" fontId="6" fillId="59" borderId="34" xfId="86" applyNumberFormat="1" applyFont="1" applyFill="1" applyBorder="1" applyAlignment="1">
      <alignment horizontal="right"/>
    </xf>
    <xf numFmtId="164" fontId="6" fillId="59" borderId="75" xfId="0" applyNumberFormat="1" applyFont="1" applyFill="1" applyBorder="1" applyAlignment="1">
      <alignment horizontal="center"/>
    </xf>
    <xf numFmtId="0" fontId="6" fillId="59" borderId="70" xfId="0" applyNumberFormat="1" applyFont="1" applyFill="1" applyBorder="1" applyAlignment="1">
      <alignment horizontal="center"/>
    </xf>
    <xf numFmtId="167" fontId="6" fillId="59" borderId="30" xfId="0" applyNumberFormat="1" applyFont="1" applyFill="1" applyBorder="1" applyAlignment="1">
      <alignment horizontal="center"/>
    </xf>
    <xf numFmtId="164" fontId="6" fillId="59" borderId="76" xfId="0" applyNumberFormat="1" applyFont="1" applyFill="1" applyBorder="1" applyAlignment="1">
      <alignment horizontal="center"/>
    </xf>
    <xf numFmtId="0" fontId="6" fillId="59" borderId="46" xfId="0" applyNumberFormat="1" applyFont="1" applyFill="1" applyBorder="1" applyAlignment="1">
      <alignment horizontal="center"/>
    </xf>
    <xf numFmtId="1" fontId="6" fillId="59" borderId="74" xfId="0" applyNumberFormat="1" applyFont="1" applyFill="1" applyBorder="1" applyAlignment="1">
      <alignment horizontal="center"/>
    </xf>
    <xf numFmtId="169" fontId="6" fillId="59" borderId="34" xfId="0" applyNumberFormat="1" applyFont="1" applyFill="1" applyBorder="1" applyAlignment="1">
      <alignment horizontal="center"/>
    </xf>
    <xf numFmtId="0" fontId="6" fillId="59" borderId="73" xfId="0" applyFont="1" applyFill="1" applyBorder="1"/>
    <xf numFmtId="164" fontId="6" fillId="59" borderId="30" xfId="0" applyNumberFormat="1" applyFont="1" applyFill="1" applyBorder="1"/>
    <xf numFmtId="164" fontId="6" fillId="59" borderId="74" xfId="0" applyNumberFormat="1" applyFont="1" applyFill="1" applyBorder="1" applyAlignment="1">
      <alignment horizontal="right"/>
    </xf>
    <xf numFmtId="167" fontId="6" fillId="59" borderId="78" xfId="0" applyNumberFormat="1" applyFont="1" applyFill="1" applyBorder="1" applyAlignment="1">
      <alignment horizontal="right"/>
    </xf>
    <xf numFmtId="164" fontId="6" fillId="59" borderId="34" xfId="0" applyNumberFormat="1" applyFont="1" applyFill="1" applyBorder="1" applyAlignment="1">
      <alignment horizontal="right"/>
    </xf>
    <xf numFmtId="167" fontId="6" fillId="59" borderId="78" xfId="0" applyNumberFormat="1" applyFont="1" applyFill="1" applyBorder="1" applyAlignment="1">
      <alignment horizontal="center"/>
    </xf>
    <xf numFmtId="1" fontId="6" fillId="59" borderId="70" xfId="0" applyNumberFormat="1" applyFont="1" applyFill="1" applyBorder="1" applyAlignment="1">
      <alignment horizontal="center"/>
    </xf>
    <xf numFmtId="167" fontId="6" fillId="59" borderId="55" xfId="0" applyNumberFormat="1" applyFont="1" applyFill="1" applyBorder="1" applyAlignment="1">
      <alignment horizontal="right"/>
    </xf>
    <xf numFmtId="0" fontId="6" fillId="59" borderId="55" xfId="0" applyNumberFormat="1" applyFont="1" applyFill="1" applyBorder="1" applyAlignment="1">
      <alignment horizontal="center"/>
    </xf>
    <xf numFmtId="1" fontId="6" fillId="59" borderId="76" xfId="0" applyNumberFormat="1" applyFont="1" applyFill="1" applyBorder="1" applyAlignment="1">
      <alignment horizontal="center"/>
    </xf>
    <xf numFmtId="167" fontId="6" fillId="59" borderId="77" xfId="0" applyNumberFormat="1" applyFont="1" applyFill="1" applyBorder="1" applyAlignment="1">
      <alignment horizontal="right"/>
    </xf>
    <xf numFmtId="173" fontId="6" fillId="59" borderId="78" xfId="0" applyNumberFormat="1" applyFont="1" applyFill="1" applyBorder="1" applyAlignment="1">
      <alignment horizontal="center"/>
    </xf>
    <xf numFmtId="167" fontId="6" fillId="59" borderId="62" xfId="0" applyNumberFormat="1" applyFont="1" applyFill="1" applyBorder="1" applyAlignment="1">
      <alignment horizontal="right"/>
    </xf>
    <xf numFmtId="167" fontId="6" fillId="59" borderId="64" xfId="0" applyNumberFormat="1" applyFont="1" applyFill="1" applyBorder="1" applyAlignment="1">
      <alignment horizontal="right"/>
    </xf>
    <xf numFmtId="1" fontId="6" fillId="59" borderId="96" xfId="0" applyNumberFormat="1" applyFont="1" applyFill="1" applyBorder="1" applyAlignment="1">
      <alignment horizontal="right"/>
    </xf>
    <xf numFmtId="5" fontId="6" fillId="59" borderId="62" xfId="0" applyNumberFormat="1" applyFont="1" applyFill="1" applyBorder="1" applyAlignment="1">
      <alignment horizontal="right"/>
    </xf>
    <xf numFmtId="5" fontId="6" fillId="59" borderId="64" xfId="0" applyNumberFormat="1" applyFont="1" applyFill="1" applyBorder="1" applyAlignment="1">
      <alignment horizontal="right"/>
    </xf>
    <xf numFmtId="168" fontId="6" fillId="59" borderId="64" xfId="0" applyNumberFormat="1" applyFont="1" applyFill="1" applyBorder="1" applyAlignment="1">
      <alignment horizontal="center"/>
    </xf>
    <xf numFmtId="5" fontId="6" fillId="59" borderId="61" xfId="0" applyNumberFormat="1" applyFont="1" applyFill="1" applyBorder="1" applyAlignment="1">
      <alignment horizontal="right"/>
    </xf>
    <xf numFmtId="167" fontId="6" fillId="59" borderId="96" xfId="0" applyNumberFormat="1" applyFont="1" applyFill="1" applyBorder="1" applyAlignment="1">
      <alignment horizontal="right"/>
    </xf>
    <xf numFmtId="164" fontId="6" fillId="59" borderId="70" xfId="0" applyNumberFormat="1" applyFont="1" applyFill="1" applyBorder="1" applyAlignment="1">
      <alignment horizontal="right"/>
    </xf>
    <xf numFmtId="164" fontId="6" fillId="59" borderId="40" xfId="0" applyNumberFormat="1" applyFont="1" applyFill="1" applyBorder="1" applyAlignment="1">
      <alignment horizontal="center"/>
    </xf>
    <xf numFmtId="167" fontId="6" fillId="59" borderId="46" xfId="0" applyNumberFormat="1" applyFont="1" applyFill="1" applyBorder="1" applyAlignment="1">
      <alignment horizontal="center"/>
    </xf>
    <xf numFmtId="167" fontId="6" fillId="59" borderId="34" xfId="0" applyNumberFormat="1" applyFont="1" applyFill="1" applyBorder="1" applyAlignment="1">
      <alignment horizontal="center"/>
    </xf>
    <xf numFmtId="0" fontId="6" fillId="0" borderId="79" xfId="0" applyFont="1" applyFill="1" applyBorder="1" applyAlignment="1">
      <alignment horizontal="right"/>
    </xf>
    <xf numFmtId="0" fontId="0" fillId="0" borderId="0" xfId="0" applyBorder="1" applyAlignment="1">
      <alignment horizontal="centerContinuous"/>
    </xf>
    <xf numFmtId="1" fontId="6" fillId="59" borderId="0" xfId="0" applyNumberFormat="1" applyFont="1" applyFill="1" applyBorder="1"/>
    <xf numFmtId="1" fontId="13" fillId="59" borderId="82" xfId="0" applyNumberFormat="1" applyFont="1" applyFill="1" applyBorder="1" applyAlignment="1"/>
    <xf numFmtId="1" fontId="8" fillId="0" borderId="49" xfId="0" applyNumberFormat="1" applyFont="1" applyBorder="1"/>
    <xf numFmtId="1" fontId="6" fillId="0" borderId="106" xfId="0" applyNumberFormat="1" applyFont="1" applyBorder="1" applyAlignment="1"/>
    <xf numFmtId="1" fontId="6" fillId="0" borderId="109" xfId="0" applyNumberFormat="1" applyFont="1" applyBorder="1" applyAlignment="1"/>
    <xf numFmtId="1" fontId="6" fillId="0" borderId="141" xfId="0" applyNumberFormat="1" applyFont="1" applyBorder="1" applyAlignment="1"/>
    <xf numFmtId="1" fontId="13" fillId="0" borderId="43" xfId="0" applyNumberFormat="1" applyFont="1" applyFill="1" applyBorder="1" applyAlignment="1"/>
    <xf numFmtId="1" fontId="13" fillId="0" borderId="109" xfId="0" applyNumberFormat="1" applyFont="1" applyFill="1" applyBorder="1" applyAlignment="1"/>
    <xf numFmtId="1" fontId="13" fillId="0" borderId="22" xfId="0" applyNumberFormat="1" applyFont="1" applyFill="1" applyBorder="1" applyAlignment="1"/>
    <xf numFmtId="1" fontId="6" fillId="0" borderId="141" xfId="0" applyNumberFormat="1" applyFont="1" applyFill="1" applyBorder="1" applyAlignment="1"/>
    <xf numFmtId="1" fontId="6" fillId="59" borderId="146" xfId="0" applyNumberFormat="1" applyFont="1" applyFill="1" applyBorder="1" applyAlignment="1">
      <alignment horizontal="right"/>
    </xf>
    <xf numFmtId="0" fontId="6" fillId="59" borderId="0" xfId="0" applyFont="1" applyFill="1"/>
    <xf numFmtId="0" fontId="6" fillId="59" borderId="79" xfId="0" applyFont="1" applyFill="1" applyBorder="1"/>
    <xf numFmtId="0" fontId="6" fillId="59" borderId="0" xfId="0" applyFont="1" applyFill="1" applyBorder="1"/>
    <xf numFmtId="3" fontId="6" fillId="59" borderId="79" xfId="0" applyNumberFormat="1" applyFont="1" applyFill="1" applyBorder="1"/>
    <xf numFmtId="1" fontId="6" fillId="59" borderId="79" xfId="0" applyNumberFormat="1" applyFont="1" applyFill="1" applyBorder="1"/>
    <xf numFmtId="1" fontId="6" fillId="59" borderId="99" xfId="0" applyNumberFormat="1" applyFont="1" applyFill="1" applyBorder="1"/>
    <xf numFmtId="1" fontId="6" fillId="59" borderId="104" xfId="0" applyNumberFormat="1" applyFont="1" applyFill="1" applyBorder="1"/>
    <xf numFmtId="0" fontId="6" fillId="0" borderId="97" xfId="0" applyFont="1" applyFill="1" applyBorder="1"/>
    <xf numFmtId="172" fontId="7" fillId="0" borderId="61" xfId="82" applyNumberFormat="1" applyFont="1" applyFill="1" applyBorder="1"/>
    <xf numFmtId="172" fontId="7" fillId="0" borderId="125" xfId="82" applyNumberFormat="1" applyFont="1" applyFill="1" applyBorder="1"/>
    <xf numFmtId="172" fontId="7" fillId="0" borderId="114" xfId="82" applyNumberFormat="1" applyFont="1" applyFill="1" applyBorder="1"/>
    <xf numFmtId="166" fontId="6" fillId="0" borderId="55" xfId="0" applyNumberFormat="1" applyFont="1" applyFill="1" applyBorder="1"/>
    <xf numFmtId="171" fontId="6" fillId="59" borderId="79" xfId="0" applyNumberFormat="1" applyFont="1" applyFill="1" applyBorder="1"/>
    <xf numFmtId="1" fontId="6" fillId="0" borderId="59" xfId="0" applyNumberFormat="1" applyFont="1" applyFill="1" applyBorder="1" applyAlignment="1">
      <alignment horizontal="right"/>
    </xf>
    <xf numFmtId="1" fontId="6" fillId="0" borderId="60" xfId="0" applyNumberFormat="1" applyFont="1" applyFill="1" applyBorder="1" applyAlignment="1">
      <alignment horizontal="right"/>
    </xf>
    <xf numFmtId="1" fontId="6" fillId="0" borderId="69" xfId="0" applyNumberFormat="1" applyFont="1" applyFill="1" applyBorder="1" applyAlignment="1">
      <alignment horizontal="right"/>
    </xf>
    <xf numFmtId="3" fontId="7" fillId="0" borderId="96" xfId="0" applyNumberFormat="1" applyFont="1" applyFill="1" applyBorder="1"/>
    <xf numFmtId="1" fontId="6" fillId="0" borderId="150" xfId="0" applyNumberFormat="1" applyFont="1" applyFill="1" applyBorder="1"/>
    <xf numFmtId="3" fontId="7" fillId="0" borderId="55" xfId="0" applyNumberFormat="1" applyFont="1" applyFill="1" applyBorder="1"/>
    <xf numFmtId="1" fontId="6" fillId="0" borderId="137" xfId="0" applyNumberFormat="1" applyFont="1" applyBorder="1" applyAlignment="1">
      <alignment horizontal="right"/>
    </xf>
    <xf numFmtId="1" fontId="6" fillId="0" borderId="83" xfId="0" applyNumberFormat="1" applyFont="1" applyBorder="1"/>
    <xf numFmtId="1" fontId="6" fillId="61" borderId="44" xfId="0" applyNumberFormat="1" applyFont="1" applyFill="1" applyBorder="1" applyAlignment="1">
      <alignment horizontal="right"/>
    </xf>
    <xf numFmtId="1" fontId="6" fillId="61" borderId="80" xfId="0" applyNumberFormat="1" applyFont="1" applyFill="1" applyBorder="1" applyAlignment="1">
      <alignment horizontal="right"/>
    </xf>
    <xf numFmtId="1" fontId="6" fillId="61" borderId="82" xfId="0" applyNumberFormat="1" applyFont="1" applyFill="1" applyBorder="1" applyAlignment="1">
      <alignment horizontal="right"/>
    </xf>
    <xf numFmtId="171" fontId="6" fillId="0" borderId="75" xfId="127" applyNumberFormat="1" applyFont="1" applyFill="1" applyBorder="1" applyAlignment="1"/>
    <xf numFmtId="171" fontId="6" fillId="0" borderId="79" xfId="127" applyNumberFormat="1" applyFont="1" applyFill="1" applyBorder="1" applyAlignment="1"/>
    <xf numFmtId="2" fontId="6" fillId="0" borderId="75" xfId="127" applyNumberFormat="1" applyFont="1" applyFill="1" applyBorder="1" applyAlignment="1"/>
    <xf numFmtId="2" fontId="6" fillId="0" borderId="79" xfId="127" applyNumberFormat="1" applyFont="1" applyFill="1" applyBorder="1" applyAlignment="1"/>
    <xf numFmtId="3" fontId="6" fillId="0" borderId="75" xfId="127" applyNumberFormat="1" applyFont="1" applyFill="1" applyBorder="1" applyAlignment="1"/>
    <xf numFmtId="3" fontId="6" fillId="0" borderId="79" xfId="127" applyNumberFormat="1" applyFont="1" applyFill="1" applyBorder="1" applyAlignment="1"/>
    <xf numFmtId="1" fontId="6" fillId="0" borderId="75" xfId="127" applyNumberFormat="1" applyFont="1" applyFill="1" applyBorder="1" applyAlignment="1"/>
    <xf numFmtId="1" fontId="6" fillId="0" borderId="79" xfId="127" applyNumberFormat="1" applyFont="1" applyFill="1" applyBorder="1" applyAlignment="1"/>
    <xf numFmtId="1" fontId="6" fillId="0" borderId="123" xfId="127" applyNumberFormat="1" applyFont="1" applyFill="1" applyBorder="1" applyAlignment="1"/>
    <xf numFmtId="1" fontId="6" fillId="0" borderId="104" xfId="127" applyNumberFormat="1" applyFont="1" applyFill="1" applyBorder="1" applyAlignment="1"/>
    <xf numFmtId="1" fontId="6" fillId="61" borderId="26" xfId="0" applyNumberFormat="1" applyFont="1" applyFill="1" applyBorder="1" applyAlignment="1">
      <alignment horizontal="right"/>
    </xf>
    <xf numFmtId="1" fontId="6" fillId="61" borderId="37" xfId="0" applyNumberFormat="1" applyFont="1" applyFill="1" applyBorder="1" applyAlignment="1">
      <alignment horizontal="right"/>
    </xf>
    <xf numFmtId="1" fontId="6" fillId="61" borderId="35" xfId="0" applyNumberFormat="1" applyFont="1" applyFill="1" applyBorder="1" applyAlignment="1">
      <alignment horizontal="right"/>
    </xf>
    <xf numFmtId="0" fontId="8" fillId="59" borderId="35" xfId="0" applyFont="1" applyFill="1" applyBorder="1"/>
    <xf numFmtId="0" fontId="8" fillId="59" borderId="37" xfId="0" applyFont="1" applyFill="1" applyBorder="1"/>
    <xf numFmtId="171" fontId="6" fillId="59" borderId="0" xfId="0" applyNumberFormat="1" applyFont="1" applyFill="1"/>
    <xf numFmtId="171" fontId="0" fillId="59" borderId="79" xfId="0" applyNumberFormat="1" applyFill="1" applyBorder="1" applyAlignment="1"/>
    <xf numFmtId="0" fontId="6" fillId="0" borderId="79" xfId="0" applyNumberFormat="1" applyFont="1" applyFill="1" applyBorder="1" applyAlignment="1">
      <alignment horizontal="center"/>
    </xf>
    <xf numFmtId="164" fontId="6" fillId="0" borderId="73" xfId="0" applyNumberFormat="1" applyFont="1" applyFill="1" applyBorder="1"/>
    <xf numFmtId="167" fontId="6" fillId="0" borderId="126" xfId="0" applyNumberFormat="1" applyFont="1" applyFill="1" applyBorder="1" applyAlignment="1">
      <alignment horizontal="center"/>
    </xf>
    <xf numFmtId="167" fontId="6" fillId="0" borderId="64" xfId="0" applyNumberFormat="1" applyFont="1" applyFill="1" applyBorder="1" applyAlignment="1">
      <alignment horizontal="center"/>
    </xf>
    <xf numFmtId="1" fontId="6" fillId="0" borderId="106" xfId="0" applyNumberFormat="1" applyFont="1" applyFill="1" applyBorder="1"/>
    <xf numFmtId="1" fontId="6" fillId="0" borderId="56" xfId="0" applyNumberFormat="1" applyFont="1" applyBorder="1"/>
    <xf numFmtId="1" fontId="6" fillId="0" borderId="83" xfId="0" applyNumberFormat="1" applyFont="1" applyFill="1" applyBorder="1"/>
    <xf numFmtId="1" fontId="8" fillId="0" borderId="47" xfId="0" applyNumberFormat="1" applyFont="1" applyFill="1" applyBorder="1" applyAlignment="1">
      <alignment horizontal="left"/>
    </xf>
    <xf numFmtId="1" fontId="6" fillId="0" borderId="141" xfId="0" applyNumberFormat="1" applyFont="1" applyFill="1" applyBorder="1" applyAlignment="1">
      <alignment horizontal="center"/>
    </xf>
    <xf numFmtId="1" fontId="6" fillId="0" borderId="105" xfId="0" applyNumberFormat="1" applyFont="1" applyFill="1" applyBorder="1"/>
    <xf numFmtId="1" fontId="6" fillId="59" borderId="44" xfId="0" applyNumberFormat="1" applyFont="1" applyFill="1" applyBorder="1" applyAlignment="1">
      <alignment horizontal="right"/>
    </xf>
    <xf numFmtId="1" fontId="6" fillId="59" borderId="81" xfId="0" applyNumberFormat="1" applyFont="1" applyFill="1" applyBorder="1" applyAlignment="1">
      <alignment horizontal="right"/>
    </xf>
    <xf numFmtId="1" fontId="6" fillId="59" borderId="44" xfId="0" applyNumberFormat="1" applyFont="1" applyFill="1" applyBorder="1"/>
    <xf numFmtId="1" fontId="6" fillId="59" borderId="82" xfId="0" applyNumberFormat="1" applyFont="1" applyFill="1" applyBorder="1"/>
    <xf numFmtId="1" fontId="6" fillId="59" borderId="33" xfId="0" applyNumberFormat="1" applyFont="1" applyFill="1" applyBorder="1" applyAlignment="1">
      <alignment horizontal="right"/>
    </xf>
    <xf numFmtId="1" fontId="6" fillId="59" borderId="72" xfId="0" applyNumberFormat="1" applyFont="1" applyFill="1" applyBorder="1" applyAlignment="1">
      <alignment horizontal="right"/>
    </xf>
    <xf numFmtId="169" fontId="6" fillId="59" borderId="78" xfId="0" applyNumberFormat="1" applyFont="1" applyFill="1" applyBorder="1" applyAlignment="1">
      <alignment horizontal="center"/>
    </xf>
    <xf numFmtId="1" fontId="6" fillId="0" borderId="72" xfId="0" applyNumberFormat="1" applyFont="1" applyFill="1" applyBorder="1" applyAlignment="1">
      <alignment horizontal="right"/>
    </xf>
    <xf numFmtId="3" fontId="5" fillId="0" borderId="0" xfId="0" applyNumberFormat="1" applyFont="1" applyFill="1"/>
    <xf numFmtId="1" fontId="6" fillId="0" borderId="30" xfId="0" applyNumberFormat="1" applyFont="1" applyBorder="1"/>
    <xf numFmtId="3" fontId="6" fillId="59" borderId="36" xfId="0" applyNumberFormat="1" applyFont="1" applyFill="1" applyBorder="1"/>
    <xf numFmtId="0" fontId="3" fillId="0" borderId="0" xfId="0" applyFont="1" applyBorder="1" applyAlignment="1">
      <alignment horizontal="left"/>
    </xf>
    <xf numFmtId="167" fontId="6" fillId="59" borderId="126" xfId="0" applyNumberFormat="1" applyFont="1" applyFill="1" applyBorder="1" applyAlignment="1">
      <alignment horizontal="right"/>
    </xf>
    <xf numFmtId="167" fontId="6" fillId="0" borderId="29" xfId="0" applyNumberFormat="1" applyFont="1" applyBorder="1" applyAlignment="1">
      <alignment horizontal="center"/>
    </xf>
    <xf numFmtId="0" fontId="6" fillId="24" borderId="70" xfId="0" applyNumberFormat="1" applyFont="1" applyFill="1" applyBorder="1" applyAlignment="1">
      <alignment horizontal="center"/>
    </xf>
    <xf numFmtId="0" fontId="6" fillId="59" borderId="77" xfId="0" applyNumberFormat="1" applyFont="1" applyFill="1" applyBorder="1" applyAlignment="1">
      <alignment horizontal="right"/>
    </xf>
    <xf numFmtId="169" fontId="6" fillId="59" borderId="78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center"/>
    </xf>
    <xf numFmtId="3" fontId="6" fillId="0" borderId="74" xfId="82" applyNumberFormat="1" applyFont="1" applyFill="1" applyBorder="1" applyAlignment="1">
      <alignment horizontal="center"/>
    </xf>
    <xf numFmtId="0" fontId="6" fillId="0" borderId="83" xfId="0" applyFont="1" applyFill="1" applyBorder="1"/>
    <xf numFmtId="0" fontId="6" fillId="0" borderId="25" xfId="0" applyFont="1" applyFill="1" applyBorder="1"/>
    <xf numFmtId="0" fontId="6" fillId="0" borderId="16" xfId="0" applyFont="1" applyFill="1" applyBorder="1"/>
    <xf numFmtId="0" fontId="6" fillId="0" borderId="58" xfId="0" applyFont="1" applyFill="1" applyBorder="1"/>
    <xf numFmtId="1" fontId="6" fillId="0" borderId="25" xfId="0" applyNumberFormat="1" applyFont="1" applyFill="1" applyBorder="1"/>
    <xf numFmtId="9" fontId="6" fillId="0" borderId="61" xfId="0" applyNumberFormat="1" applyFont="1" applyFill="1" applyBorder="1"/>
    <xf numFmtId="1" fontId="6" fillId="0" borderId="119" xfId="0" applyNumberFormat="1" applyFont="1" applyFill="1" applyBorder="1"/>
    <xf numFmtId="1" fontId="6" fillId="59" borderId="25" xfId="0" applyNumberFormat="1" applyFont="1" applyFill="1" applyBorder="1"/>
    <xf numFmtId="166" fontId="6" fillId="59" borderId="61" xfId="0" applyNumberFormat="1" applyFont="1" applyFill="1" applyBorder="1"/>
    <xf numFmtId="164" fontId="6" fillId="59" borderId="30" xfId="0" applyNumberFormat="1" applyFont="1" applyFill="1" applyBorder="1" applyAlignment="1">
      <alignment horizontal="right"/>
    </xf>
    <xf numFmtId="1" fontId="6" fillId="59" borderId="83" xfId="0" applyNumberFormat="1" applyFont="1" applyFill="1" applyBorder="1"/>
    <xf numFmtId="3" fontId="6" fillId="0" borderId="62" xfId="0" applyNumberFormat="1" applyFont="1" applyFill="1" applyBorder="1" applyAlignment="1">
      <alignment horizontal="right"/>
    </xf>
    <xf numFmtId="3" fontId="6" fillId="0" borderId="96" xfId="0" applyNumberFormat="1" applyFont="1" applyFill="1" applyBorder="1" applyAlignment="1">
      <alignment horizontal="right"/>
    </xf>
    <xf numFmtId="166" fontId="6" fillId="59" borderId="59" xfId="0" applyNumberFormat="1" applyFont="1" applyFill="1" applyBorder="1"/>
    <xf numFmtId="3" fontId="5" fillId="0" borderId="62" xfId="0" applyNumberFormat="1" applyFont="1" applyFill="1" applyBorder="1" applyAlignment="1">
      <alignment horizontal="right"/>
    </xf>
    <xf numFmtId="3" fontId="5" fillId="0" borderId="62" xfId="0" applyNumberFormat="1" applyFont="1" applyFill="1" applyBorder="1"/>
    <xf numFmtId="0" fontId="4" fillId="0" borderId="96" xfId="0" applyFont="1" applyFill="1" applyBorder="1" applyAlignment="1">
      <alignment horizontal="right"/>
    </xf>
    <xf numFmtId="166" fontId="6" fillId="0" borderId="62" xfId="0" applyNumberFormat="1" applyFont="1" applyFill="1" applyBorder="1" applyAlignment="1">
      <alignment horizontal="right"/>
    </xf>
    <xf numFmtId="166" fontId="6" fillId="0" borderId="59" xfId="0" applyNumberFormat="1" applyFont="1" applyFill="1" applyBorder="1" applyAlignment="1">
      <alignment horizontal="right"/>
    </xf>
    <xf numFmtId="166" fontId="6" fillId="0" borderId="69" xfId="0" applyNumberFormat="1" applyFont="1" applyFill="1" applyBorder="1" applyAlignment="1">
      <alignment horizontal="right"/>
    </xf>
    <xf numFmtId="3" fontId="6" fillId="0" borderId="61" xfId="0" applyNumberFormat="1" applyFont="1" applyFill="1" applyBorder="1"/>
    <xf numFmtId="3" fontId="7" fillId="0" borderId="61" xfId="0" applyNumberFormat="1" applyFont="1" applyFill="1" applyBorder="1"/>
    <xf numFmtId="166" fontId="6" fillId="0" borderId="60" xfId="134" applyNumberFormat="1" applyFont="1" applyFill="1" applyBorder="1" applyAlignment="1">
      <alignment horizontal="right"/>
    </xf>
    <xf numFmtId="0" fontId="7" fillId="0" borderId="85" xfId="0" applyFont="1" applyFill="1" applyBorder="1" applyAlignment="1">
      <alignment horizontal="center"/>
    </xf>
    <xf numFmtId="0" fontId="7" fillId="0" borderId="154" xfId="0" applyFont="1" applyFill="1" applyBorder="1" applyAlignment="1">
      <alignment horizontal="center"/>
    </xf>
    <xf numFmtId="0" fontId="7" fillId="0" borderId="112" xfId="0" applyFont="1" applyFill="1" applyBorder="1" applyAlignment="1">
      <alignment horizontal="center"/>
    </xf>
    <xf numFmtId="0" fontId="7" fillId="0" borderId="102" xfId="127" applyFont="1" applyFill="1" applyBorder="1" applyAlignment="1">
      <alignment horizontal="center"/>
    </xf>
    <xf numFmtId="0" fontId="0" fillId="0" borderId="158" xfId="0" applyBorder="1" applyAlignment="1">
      <alignment horizontal="center"/>
    </xf>
    <xf numFmtId="166" fontId="6" fillId="0" borderId="33" xfId="127" applyNumberFormat="1" applyFont="1" applyFill="1" applyBorder="1" applyAlignment="1"/>
    <xf numFmtId="166" fontId="6" fillId="0" borderId="72" xfId="127" applyNumberFormat="1" applyFont="1" applyFill="1" applyBorder="1" applyAlignment="1"/>
    <xf numFmtId="0" fontId="7" fillId="0" borderId="102" xfId="0" applyFont="1" applyFill="1" applyBorder="1" applyAlignment="1">
      <alignment horizontal="center"/>
    </xf>
    <xf numFmtId="0" fontId="7" fillId="0" borderId="158" xfId="0" applyFont="1" applyFill="1" applyBorder="1" applyAlignment="1">
      <alignment horizontal="center"/>
    </xf>
    <xf numFmtId="0" fontId="7" fillId="0" borderId="158" xfId="127" applyFont="1" applyFill="1" applyBorder="1" applyAlignment="1">
      <alignment horizontal="center"/>
    </xf>
    <xf numFmtId="171" fontId="6" fillId="0" borderId="123" xfId="127" applyNumberFormat="1" applyFont="1" applyFill="1" applyBorder="1" applyAlignment="1">
      <alignment horizontal="right"/>
    </xf>
    <xf numFmtId="171" fontId="6" fillId="0" borderId="104" xfId="127" applyNumberFormat="1" applyFont="1" applyFill="1" applyBorder="1" applyAlignment="1">
      <alignment horizontal="right"/>
    </xf>
    <xf numFmtId="0" fontId="7" fillId="0" borderId="153" xfId="127" applyFont="1" applyFill="1" applyBorder="1" applyAlignment="1">
      <alignment horizontal="center"/>
    </xf>
    <xf numFmtId="0" fontId="7" fillId="0" borderId="155" xfId="0" applyFont="1" applyFill="1" applyBorder="1" applyAlignment="1">
      <alignment horizontal="center"/>
    </xf>
    <xf numFmtId="0" fontId="0" fillId="0" borderId="153" xfId="0" applyBorder="1" applyAlignment="1">
      <alignment horizontal="center"/>
    </xf>
    <xf numFmtId="0" fontId="7" fillId="0" borderId="153" xfId="0" applyFont="1" applyFill="1" applyBorder="1" applyAlignment="1">
      <alignment horizontal="center"/>
    </xf>
    <xf numFmtId="171" fontId="6" fillId="0" borderId="75" xfId="127" applyNumberFormat="1" applyFont="1" applyFill="1" applyBorder="1" applyAlignment="1">
      <alignment horizontal="right"/>
    </xf>
    <xf numFmtId="171" fontId="6" fillId="0" borderId="79" xfId="127" applyNumberFormat="1" applyFont="1" applyFill="1" applyBorder="1" applyAlignment="1">
      <alignment horizontal="right"/>
    </xf>
    <xf numFmtId="1" fontId="6" fillId="0" borderId="75" xfId="127" applyNumberFormat="1" applyFont="1" applyFill="1" applyBorder="1" applyAlignment="1">
      <alignment horizontal="right"/>
    </xf>
    <xf numFmtId="1" fontId="6" fillId="0" borderId="79" xfId="127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0" fillId="0" borderId="9" xfId="0" applyBorder="1" applyAlignment="1"/>
    <xf numFmtId="0" fontId="7" fillId="0" borderId="156" xfId="127" applyFont="1" applyBorder="1" applyAlignment="1">
      <alignment horizontal="center"/>
    </xf>
    <xf numFmtId="0" fontId="7" fillId="0" borderId="153" xfId="127" applyFont="1" applyBorder="1" applyAlignment="1">
      <alignment horizontal="center"/>
    </xf>
    <xf numFmtId="0" fontId="7" fillId="0" borderId="156" xfId="127" applyFont="1" applyFill="1" applyBorder="1" applyAlignment="1">
      <alignment horizontal="center"/>
    </xf>
    <xf numFmtId="0" fontId="7" fillId="0" borderId="156" xfId="127" quotePrefix="1" applyFont="1" applyBorder="1" applyAlignment="1">
      <alignment horizontal="center"/>
    </xf>
    <xf numFmtId="0" fontId="7" fillId="0" borderId="153" xfId="127" quotePrefix="1" applyFont="1" applyBorder="1" applyAlignment="1">
      <alignment horizontal="center"/>
    </xf>
    <xf numFmtId="0" fontId="7" fillId="0" borderId="157" xfId="0" applyFont="1" applyFill="1" applyBorder="1" applyAlignment="1">
      <alignment horizontal="center"/>
    </xf>
    <xf numFmtId="166" fontId="6" fillId="0" borderId="40" xfId="136" applyNumberFormat="1" applyFont="1" applyBorder="1" applyAlignment="1"/>
    <xf numFmtId="166" fontId="6" fillId="0" borderId="73" xfId="136" applyNumberFormat="1" applyFont="1" applyBorder="1" applyAlignment="1"/>
    <xf numFmtId="0" fontId="0" fillId="0" borderId="153" xfId="0" applyBorder="1" applyAlignment="1"/>
    <xf numFmtId="166" fontId="6" fillId="0" borderId="71" xfId="127" applyNumberFormat="1" applyFont="1" applyBorder="1" applyAlignment="1"/>
    <xf numFmtId="166" fontId="6" fillId="0" borderId="72" xfId="127" applyNumberFormat="1" applyFont="1" applyBorder="1" applyAlignment="1"/>
    <xf numFmtId="166" fontId="6" fillId="0" borderId="70" xfId="136" applyNumberFormat="1" applyFont="1" applyBorder="1" applyAlignment="1"/>
    <xf numFmtId="166" fontId="6" fillId="0" borderId="55" xfId="136" applyNumberFormat="1" applyFont="1" applyBorder="1" applyAlignment="1"/>
    <xf numFmtId="0" fontId="7" fillId="0" borderId="156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58" xfId="0" applyFont="1" applyBorder="1" applyAlignment="1">
      <alignment horizontal="center"/>
    </xf>
    <xf numFmtId="0" fontId="6" fillId="0" borderId="153" xfId="0" applyFont="1" applyBorder="1" applyAlignment="1">
      <alignment horizontal="center"/>
    </xf>
    <xf numFmtId="166" fontId="0" fillId="0" borderId="73" xfId="0" applyNumberFormat="1" applyFill="1" applyBorder="1" applyAlignment="1"/>
    <xf numFmtId="166" fontId="6" fillId="0" borderId="58" xfId="127" applyNumberFormat="1" applyFont="1" applyBorder="1" applyAlignment="1"/>
    <xf numFmtId="166" fontId="6" fillId="0" borderId="96" xfId="127" applyNumberFormat="1" applyFont="1" applyBorder="1" applyAlignment="1"/>
    <xf numFmtId="3" fontId="7" fillId="0" borderId="151" xfId="127" applyNumberFormat="1" applyFont="1" applyBorder="1" applyAlignment="1">
      <alignment horizontal="center"/>
    </xf>
    <xf numFmtId="3" fontId="7" fillId="0" borderId="127" xfId="127" applyNumberFormat="1" applyFont="1" applyBorder="1" applyAlignment="1">
      <alignment horizontal="center"/>
    </xf>
    <xf numFmtId="166" fontId="0" fillId="0" borderId="55" xfId="0" applyNumberFormat="1" applyFill="1" applyBorder="1" applyAlignment="1"/>
    <xf numFmtId="166" fontId="6" fillId="0" borderId="33" xfId="127" applyNumberFormat="1" applyFont="1" applyBorder="1" applyAlignment="1"/>
    <xf numFmtId="0" fontId="7" fillId="0" borderId="156" xfId="0" applyFont="1" applyBorder="1" applyAlignment="1">
      <alignment horizontal="center"/>
    </xf>
    <xf numFmtId="0" fontId="7" fillId="0" borderId="153" xfId="0" applyFont="1" applyBorder="1" applyAlignment="1">
      <alignment horizontal="center"/>
    </xf>
    <xf numFmtId="0" fontId="7" fillId="0" borderId="102" xfId="0" applyFont="1" applyBorder="1" applyAlignment="1">
      <alignment horizontal="center"/>
    </xf>
    <xf numFmtId="166" fontId="6" fillId="0" borderId="40" xfId="127" applyNumberFormat="1" applyFont="1" applyBorder="1" applyAlignment="1"/>
    <xf numFmtId="166" fontId="6" fillId="0" borderId="73" xfId="127" applyNumberFormat="1" applyFont="1" applyBorder="1" applyAlignment="1"/>
    <xf numFmtId="166" fontId="6" fillId="0" borderId="70" xfId="127" applyNumberFormat="1" applyFont="1" applyBorder="1" applyAlignment="1"/>
    <xf numFmtId="166" fontId="6" fillId="0" borderId="55" xfId="127" applyNumberFormat="1" applyFont="1" applyBorder="1" applyAlignment="1"/>
    <xf numFmtId="171" fontId="6" fillId="59" borderId="75" xfId="127" applyNumberFormat="1" applyFont="1" applyFill="1" applyBorder="1" applyAlignment="1">
      <alignment horizontal="right"/>
    </xf>
    <xf numFmtId="171" fontId="6" fillId="59" borderId="79" xfId="127" applyNumberFormat="1" applyFont="1" applyFill="1" applyBorder="1" applyAlignment="1">
      <alignment horizontal="right"/>
    </xf>
    <xf numFmtId="171" fontId="6" fillId="59" borderId="123" xfId="127" applyNumberFormat="1" applyFont="1" applyFill="1" applyBorder="1" applyAlignment="1">
      <alignment horizontal="right"/>
    </xf>
    <xf numFmtId="171" fontId="6" fillId="59" borderId="104" xfId="127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center"/>
    </xf>
    <xf numFmtId="166" fontId="6" fillId="59" borderId="70" xfId="127" applyNumberFormat="1" applyFont="1" applyFill="1" applyBorder="1" applyAlignment="1"/>
    <xf numFmtId="166" fontId="6" fillId="59" borderId="55" xfId="127" applyNumberFormat="1" applyFont="1" applyFill="1" applyBorder="1" applyAlignment="1"/>
    <xf numFmtId="166" fontId="6" fillId="59" borderId="71" xfId="127" applyNumberFormat="1" applyFont="1" applyFill="1" applyBorder="1" applyAlignment="1"/>
    <xf numFmtId="166" fontId="6" fillId="59" borderId="72" xfId="127" applyNumberFormat="1" applyFont="1" applyFill="1" applyBorder="1" applyAlignment="1"/>
    <xf numFmtId="166" fontId="6" fillId="59" borderId="40" xfId="127" applyNumberFormat="1" applyFont="1" applyFill="1" applyBorder="1" applyAlignment="1"/>
    <xf numFmtId="166" fontId="6" fillId="59" borderId="73" xfId="127" applyNumberFormat="1" applyFont="1" applyFill="1" applyBorder="1" applyAlignment="1"/>
    <xf numFmtId="166" fontId="6" fillId="59" borderId="40" xfId="136" applyNumberFormat="1" applyFont="1" applyFill="1" applyBorder="1" applyAlignment="1"/>
    <xf numFmtId="166" fontId="6" fillId="59" borderId="73" xfId="136" applyNumberFormat="1" applyFont="1" applyFill="1" applyBorder="1" applyAlignment="1"/>
    <xf numFmtId="0" fontId="7" fillId="0" borderId="12" xfId="0" applyFont="1" applyFill="1" applyBorder="1" applyAlignment="1">
      <alignment horizontal="center"/>
    </xf>
    <xf numFmtId="166" fontId="6" fillId="59" borderId="70" xfId="136" applyNumberFormat="1" applyFont="1" applyFill="1" applyBorder="1" applyAlignment="1"/>
    <xf numFmtId="166" fontId="0" fillId="59" borderId="55" xfId="0" applyNumberFormat="1" applyFill="1" applyBorder="1" applyAlignment="1"/>
    <xf numFmtId="166" fontId="6" fillId="59" borderId="55" xfId="136" applyNumberFormat="1" applyFont="1" applyFill="1" applyBorder="1" applyAlignment="1"/>
    <xf numFmtId="0" fontId="7" fillId="0" borderId="115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3" fontId="7" fillId="0" borderId="151" xfId="127" applyNumberFormat="1" applyFont="1" applyFill="1" applyBorder="1" applyAlignment="1">
      <alignment horizontal="center"/>
    </xf>
    <xf numFmtId="3" fontId="7" fillId="0" borderId="127" xfId="127" applyNumberFormat="1" applyFont="1" applyFill="1" applyBorder="1" applyAlignment="1">
      <alignment horizontal="center"/>
    </xf>
    <xf numFmtId="166" fontId="0" fillId="59" borderId="73" xfId="0" applyNumberFormat="1" applyFill="1" applyBorder="1" applyAlignment="1"/>
    <xf numFmtId="166" fontId="6" fillId="0" borderId="96" xfId="127" applyNumberFormat="1" applyFont="1" applyFill="1" applyBorder="1" applyAlignment="1"/>
    <xf numFmtId="3" fontId="6" fillId="0" borderId="75" xfId="127" applyNumberFormat="1" applyFont="1" applyFill="1" applyBorder="1" applyAlignment="1">
      <alignment horizontal="right"/>
    </xf>
    <xf numFmtId="3" fontId="6" fillId="0" borderId="79" xfId="127" applyNumberFormat="1" applyFont="1" applyFill="1" applyBorder="1" applyAlignment="1">
      <alignment horizontal="right"/>
    </xf>
    <xf numFmtId="1" fontId="6" fillId="0" borderId="123" xfId="127" applyNumberFormat="1" applyFont="1" applyFill="1" applyBorder="1" applyAlignment="1">
      <alignment horizontal="right"/>
    </xf>
    <xf numFmtId="1" fontId="6" fillId="0" borderId="104" xfId="127" applyNumberFormat="1" applyFont="1" applyFill="1" applyBorder="1" applyAlignment="1">
      <alignment horizontal="right"/>
    </xf>
    <xf numFmtId="166" fontId="6" fillId="0" borderId="0" xfId="127" applyNumberFormat="1" applyFont="1" applyBorder="1" applyAlignment="1"/>
    <xf numFmtId="0" fontId="7" fillId="0" borderId="151" xfId="0" applyFont="1" applyBorder="1" applyAlignment="1">
      <alignment horizontal="center"/>
    </xf>
    <xf numFmtId="0" fontId="7" fillId="0" borderId="127" xfId="0" applyFont="1" applyBorder="1" applyAlignment="1">
      <alignment horizontal="center"/>
    </xf>
    <xf numFmtId="166" fontId="6" fillId="0" borderId="58" xfId="127" applyNumberFormat="1" applyFont="1" applyBorder="1" applyAlignment="1">
      <alignment horizontal="right"/>
    </xf>
    <xf numFmtId="166" fontId="6" fillId="0" borderId="96" xfId="127" applyNumberFormat="1" applyFont="1" applyBorder="1" applyAlignment="1">
      <alignment horizontal="right"/>
    </xf>
    <xf numFmtId="0" fontId="7" fillId="0" borderId="102" xfId="127" quotePrefix="1" applyFont="1" applyBorder="1" applyAlignment="1">
      <alignment horizontal="center"/>
    </xf>
    <xf numFmtId="171" fontId="6" fillId="0" borderId="0" xfId="127" applyNumberFormat="1" applyFont="1" applyFill="1" applyBorder="1" applyAlignment="1">
      <alignment horizontal="right"/>
    </xf>
    <xf numFmtId="2" fontId="6" fillId="0" borderId="0" xfId="127" applyNumberFormat="1" applyFont="1" applyFill="1" applyBorder="1" applyAlignment="1">
      <alignment horizontal="right"/>
    </xf>
    <xf numFmtId="2" fontId="6" fillId="0" borderId="79" xfId="127" applyNumberFormat="1" applyFont="1" applyFill="1" applyBorder="1" applyAlignment="1">
      <alignment horizontal="right"/>
    </xf>
    <xf numFmtId="2" fontId="6" fillId="0" borderId="75" xfId="127" applyNumberFormat="1" applyFont="1" applyFill="1" applyBorder="1" applyAlignment="1">
      <alignment horizontal="right"/>
    </xf>
    <xf numFmtId="3" fontId="6" fillId="0" borderId="0" xfId="127" applyNumberFormat="1" applyFont="1" applyFill="1" applyBorder="1" applyAlignment="1">
      <alignment horizontal="right"/>
    </xf>
    <xf numFmtId="1" fontId="6" fillId="0" borderId="0" xfId="127" applyNumberFormat="1" applyFont="1" applyFill="1" applyBorder="1" applyAlignment="1">
      <alignment horizontal="right"/>
    </xf>
    <xf numFmtId="1" fontId="6" fillId="0" borderId="99" xfId="127" applyNumberFormat="1" applyFont="1" applyFill="1" applyBorder="1" applyAlignment="1">
      <alignment horizontal="right"/>
    </xf>
    <xf numFmtId="166" fontId="6" fillId="0" borderId="71" xfId="127" applyNumberFormat="1" applyFont="1" applyFill="1" applyBorder="1" applyAlignment="1"/>
    <xf numFmtId="166" fontId="6" fillId="0" borderId="30" xfId="127" applyNumberFormat="1" applyFont="1" applyBorder="1" applyAlignment="1"/>
    <xf numFmtId="166" fontId="6" fillId="0" borderId="32" xfId="127" applyNumberFormat="1" applyFont="1" applyBorder="1" applyAlignment="1"/>
    <xf numFmtId="0" fontId="7" fillId="59" borderId="102" xfId="0" applyFont="1" applyFill="1" applyBorder="1" applyAlignment="1">
      <alignment horizontal="center"/>
    </xf>
    <xf numFmtId="0" fontId="7" fillId="59" borderId="153" xfId="0" applyFont="1" applyFill="1" applyBorder="1" applyAlignment="1">
      <alignment horizontal="center"/>
    </xf>
    <xf numFmtId="166" fontId="6" fillId="59" borderId="58" xfId="127" applyNumberFormat="1" applyFont="1" applyFill="1" applyBorder="1" applyAlignment="1"/>
    <xf numFmtId="166" fontId="6" fillId="59" borderId="33" xfId="127" applyNumberFormat="1" applyFont="1" applyFill="1" applyBorder="1" applyAlignment="1"/>
    <xf numFmtId="0" fontId="7" fillId="59" borderId="156" xfId="127" applyFont="1" applyFill="1" applyBorder="1" applyAlignment="1">
      <alignment horizontal="center"/>
    </xf>
    <xf numFmtId="0" fontId="7" fillId="59" borderId="153" xfId="127" applyFont="1" applyFill="1" applyBorder="1" applyAlignment="1">
      <alignment horizontal="center"/>
    </xf>
    <xf numFmtId="0" fontId="7" fillId="59" borderId="102" xfId="127" applyFont="1" applyFill="1" applyBorder="1" applyAlignment="1">
      <alignment horizontal="center"/>
    </xf>
    <xf numFmtId="0" fontId="7" fillId="59" borderId="156" xfId="0" applyFont="1" applyFill="1" applyBorder="1" applyAlignment="1">
      <alignment horizontal="center"/>
    </xf>
    <xf numFmtId="166" fontId="6" fillId="0" borderId="104" xfId="127" applyNumberFormat="1" applyFont="1" applyFill="1" applyBorder="1" applyAlignment="1"/>
    <xf numFmtId="3" fontId="6" fillId="0" borderId="123" xfId="127" applyNumberFormat="1" applyFont="1" applyFill="1" applyBorder="1" applyAlignment="1">
      <alignment horizontal="right"/>
    </xf>
    <xf numFmtId="3" fontId="6" fillId="0" borderId="104" xfId="127" applyNumberFormat="1" applyFont="1" applyFill="1" applyBorder="1" applyAlignment="1">
      <alignment horizontal="right"/>
    </xf>
    <xf numFmtId="0" fontId="0" fillId="0" borderId="153" xfId="0" applyFill="1" applyBorder="1" applyAlignment="1">
      <alignment horizontal="center"/>
    </xf>
    <xf numFmtId="3" fontId="7" fillId="0" borderId="9" xfId="127" applyNumberFormat="1" applyFont="1" applyBorder="1" applyAlignment="1">
      <alignment horizontal="center"/>
    </xf>
    <xf numFmtId="0" fontId="7" fillId="0" borderId="110" xfId="0" applyFont="1" applyBorder="1" applyAlignment="1">
      <alignment horizontal="center"/>
    </xf>
    <xf numFmtId="0" fontId="7" fillId="60" borderId="102" xfId="0" applyFont="1" applyFill="1" applyBorder="1" applyAlignment="1">
      <alignment horizontal="center"/>
    </xf>
    <xf numFmtId="0" fontId="7" fillId="60" borderId="153" xfId="0" applyFont="1" applyFill="1" applyBorder="1" applyAlignment="1">
      <alignment horizontal="center"/>
    </xf>
    <xf numFmtId="0" fontId="7" fillId="60" borderId="102" xfId="127" applyFont="1" applyFill="1" applyBorder="1" applyAlignment="1">
      <alignment horizontal="center"/>
    </xf>
    <xf numFmtId="0" fontId="7" fillId="60" borderId="153" xfId="127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3" xfId="0" applyFont="1" applyFill="1" applyBorder="1" applyAlignment="1">
      <alignment horizontal="center"/>
    </xf>
    <xf numFmtId="0" fontId="7" fillId="0" borderId="159" xfId="0" applyFont="1" applyFill="1" applyBorder="1" applyAlignment="1">
      <alignment horizontal="center"/>
    </xf>
    <xf numFmtId="0" fontId="7" fillId="0" borderId="127" xfId="0" applyFont="1" applyFill="1" applyBorder="1" applyAlignment="1">
      <alignment horizontal="center"/>
    </xf>
    <xf numFmtId="166" fontId="6" fillId="0" borderId="33" xfId="0" applyNumberFormat="1" applyFont="1" applyFill="1" applyBorder="1" applyAlignment="1">
      <alignment horizontal="right"/>
    </xf>
    <xf numFmtId="166" fontId="6" fillId="0" borderId="72" xfId="0" applyNumberFormat="1" applyFont="1" applyFill="1" applyBorder="1" applyAlignment="1">
      <alignment horizontal="right"/>
    </xf>
    <xf numFmtId="166" fontId="6" fillId="0" borderId="96" xfId="0" applyNumberFormat="1" applyFont="1" applyFill="1" applyBorder="1" applyAlignment="1">
      <alignment horizontal="right"/>
    </xf>
    <xf numFmtId="0" fontId="7" fillId="60" borderId="156" xfId="127" applyFont="1" applyFill="1" applyBorder="1" applyAlignment="1">
      <alignment horizontal="center"/>
    </xf>
    <xf numFmtId="0" fontId="7" fillId="60" borderId="156" xfId="0" applyFont="1" applyFill="1" applyBorder="1" applyAlignment="1">
      <alignment horizontal="center"/>
    </xf>
    <xf numFmtId="166" fontId="6" fillId="0" borderId="71" xfId="0" applyNumberFormat="1" applyFont="1" applyFill="1" applyBorder="1" applyAlignment="1">
      <alignment horizontal="right"/>
    </xf>
    <xf numFmtId="0" fontId="7" fillId="0" borderId="160" xfId="0" applyFont="1" applyBorder="1" applyAlignment="1">
      <alignment horizontal="center"/>
    </xf>
    <xf numFmtId="0" fontId="7" fillId="0" borderId="161" xfId="0" applyFont="1" applyBorder="1" applyAlignment="1">
      <alignment horizontal="center"/>
    </xf>
    <xf numFmtId="1" fontId="7" fillId="0" borderId="154" xfId="0" applyNumberFormat="1" applyFont="1" applyFill="1" applyBorder="1" applyAlignment="1">
      <alignment horizontal="center"/>
    </xf>
    <xf numFmtId="1" fontId="7" fillId="0" borderId="112" xfId="0" applyNumberFormat="1" applyFont="1" applyFill="1" applyBorder="1" applyAlignment="1">
      <alignment horizontal="center"/>
    </xf>
    <xf numFmtId="1" fontId="7" fillId="0" borderId="155" xfId="0" applyNumberFormat="1" applyFont="1" applyFill="1" applyBorder="1" applyAlignment="1">
      <alignment horizontal="center"/>
    </xf>
    <xf numFmtId="1" fontId="7" fillId="0" borderId="157" xfId="0" applyNumberFormat="1" applyFont="1" applyFill="1" applyBorder="1" applyAlignment="1">
      <alignment horizontal="center"/>
    </xf>
    <xf numFmtId="0" fontId="7" fillId="0" borderId="102" xfId="127" applyFont="1" applyBorder="1" applyAlignment="1">
      <alignment horizontal="center"/>
    </xf>
    <xf numFmtId="166" fontId="6" fillId="24" borderId="82" xfId="127" applyNumberFormat="1" applyFont="1" applyFill="1" applyBorder="1" applyAlignment="1"/>
    <xf numFmtId="166" fontId="6" fillId="24" borderId="19" xfId="136" applyNumberFormat="1" applyFont="1" applyFill="1" applyBorder="1" applyAlignment="1"/>
    <xf numFmtId="166" fontId="6" fillId="24" borderId="32" xfId="136" applyNumberFormat="1" applyFont="1" applyFill="1" applyBorder="1" applyAlignment="1"/>
    <xf numFmtId="0" fontId="6" fillId="0" borderId="131" xfId="0" applyFont="1" applyBorder="1" applyAlignment="1">
      <alignment horizontal="center"/>
    </xf>
    <xf numFmtId="166" fontId="6" fillId="24" borderId="18" xfId="136" applyNumberFormat="1" applyFont="1" applyFill="1" applyBorder="1" applyAlignment="1"/>
    <xf numFmtId="166" fontId="6" fillId="24" borderId="30" xfId="136" applyNumberFormat="1" applyFont="1" applyFill="1" applyBorder="1" applyAlignment="1"/>
    <xf numFmtId="0" fontId="0" fillId="0" borderId="9" xfId="0" applyFill="1" applyBorder="1" applyAlignment="1"/>
    <xf numFmtId="171" fontId="6" fillId="24" borderId="75" xfId="127" applyNumberFormat="1" applyFont="1" applyFill="1" applyBorder="1" applyAlignment="1">
      <alignment horizontal="right"/>
    </xf>
    <xf numFmtId="171" fontId="6" fillId="24" borderId="79" xfId="127" applyNumberFormat="1" applyFont="1" applyFill="1" applyBorder="1" applyAlignment="1">
      <alignment horizontal="right"/>
    </xf>
    <xf numFmtId="2" fontId="6" fillId="24" borderId="75" xfId="127" applyNumberFormat="1" applyFont="1" applyFill="1" applyBorder="1" applyAlignment="1">
      <alignment horizontal="right"/>
    </xf>
    <xf numFmtId="2" fontId="6" fillId="24" borderId="79" xfId="127" applyNumberFormat="1" applyFont="1" applyFill="1" applyBorder="1" applyAlignment="1">
      <alignment horizontal="right"/>
    </xf>
    <xf numFmtId="1" fontId="6" fillId="24" borderId="75" xfId="127" applyNumberFormat="1" applyFont="1" applyFill="1" applyBorder="1" applyAlignment="1">
      <alignment horizontal="right"/>
    </xf>
    <xf numFmtId="1" fontId="6" fillId="24" borderId="79" xfId="127" applyNumberFormat="1" applyFont="1" applyFill="1" applyBorder="1" applyAlignment="1">
      <alignment horizontal="right"/>
    </xf>
    <xf numFmtId="3" fontId="6" fillId="24" borderId="75" xfId="127" applyNumberFormat="1" applyFont="1" applyFill="1" applyBorder="1" applyAlignment="1">
      <alignment horizontal="right"/>
    </xf>
    <xf numFmtId="3" fontId="6" fillId="24" borderId="79" xfId="127" applyNumberFormat="1" applyFont="1" applyFill="1" applyBorder="1" applyAlignment="1">
      <alignment horizontal="right"/>
    </xf>
    <xf numFmtId="1" fontId="6" fillId="24" borderId="123" xfId="127" applyNumberFormat="1" applyFont="1" applyFill="1" applyBorder="1" applyAlignment="1">
      <alignment horizontal="right"/>
    </xf>
    <xf numFmtId="1" fontId="6" fillId="24" borderId="104" xfId="127" applyNumberFormat="1" applyFont="1" applyFill="1" applyBorder="1" applyAlignment="1">
      <alignment horizontal="right"/>
    </xf>
    <xf numFmtId="0" fontId="7" fillId="0" borderId="162" xfId="0" applyFont="1" applyFill="1" applyBorder="1" applyAlignment="1">
      <alignment horizontal="center"/>
    </xf>
    <xf numFmtId="0" fontId="7" fillId="0" borderId="163" xfId="0" applyFont="1" applyFill="1" applyBorder="1" applyAlignment="1">
      <alignment horizontal="center"/>
    </xf>
    <xf numFmtId="0" fontId="7" fillId="0" borderId="164" xfId="0" applyFont="1" applyFill="1" applyBorder="1" applyAlignment="1">
      <alignment horizontal="center"/>
    </xf>
    <xf numFmtId="0" fontId="7" fillId="0" borderId="165" xfId="0" applyFont="1" applyFill="1" applyBorder="1" applyAlignment="1">
      <alignment horizontal="center"/>
    </xf>
    <xf numFmtId="166" fontId="6" fillId="26" borderId="70" xfId="127" applyNumberFormat="1" applyFont="1" applyFill="1" applyBorder="1" applyAlignment="1">
      <alignment horizontal="center"/>
    </xf>
    <xf numFmtId="166" fontId="6" fillId="26" borderId="55" xfId="127" applyNumberFormat="1" applyFont="1" applyFill="1" applyBorder="1" applyAlignment="1">
      <alignment horizontal="center"/>
    </xf>
    <xf numFmtId="166" fontId="6" fillId="26" borderId="71" xfId="127" applyNumberFormat="1" applyFont="1" applyFill="1" applyBorder="1" applyAlignment="1">
      <alignment horizontal="center"/>
    </xf>
    <xf numFmtId="166" fontId="6" fillId="26" borderId="72" xfId="127" applyNumberFormat="1" applyFont="1" applyFill="1" applyBorder="1" applyAlignment="1">
      <alignment horizontal="center"/>
    </xf>
    <xf numFmtId="3" fontId="6" fillId="26" borderId="40" xfId="127" applyNumberFormat="1" applyFont="1" applyFill="1" applyBorder="1" applyAlignment="1">
      <alignment horizontal="center"/>
    </xf>
    <xf numFmtId="3" fontId="6" fillId="26" borderId="73" xfId="127" applyNumberFormat="1" applyFont="1" applyFill="1" applyBorder="1" applyAlignment="1">
      <alignment horizontal="center"/>
    </xf>
    <xf numFmtId="0" fontId="7" fillId="0" borderId="116" xfId="0" applyFont="1" applyFill="1" applyBorder="1" applyAlignment="1">
      <alignment horizontal="center"/>
    </xf>
    <xf numFmtId="2" fontId="7" fillId="0" borderId="156" xfId="127" applyNumberFormat="1" applyFont="1" applyBorder="1" applyAlignment="1">
      <alignment horizontal="center"/>
    </xf>
    <xf numFmtId="2" fontId="7" fillId="0" borderId="153" xfId="127" applyNumberFormat="1" applyFont="1" applyBorder="1" applyAlignment="1">
      <alignment horizontal="center"/>
    </xf>
    <xf numFmtId="170" fontId="6" fillId="0" borderId="75" xfId="127" applyNumberFormat="1" applyFont="1" applyFill="1" applyBorder="1" applyAlignment="1">
      <alignment horizontal="right"/>
    </xf>
    <xf numFmtId="170" fontId="6" fillId="0" borderId="79" xfId="127" applyNumberFormat="1" applyFont="1" applyFill="1" applyBorder="1" applyAlignment="1">
      <alignment horizontal="right"/>
    </xf>
    <xf numFmtId="0" fontId="0" fillId="59" borderId="158" xfId="0" applyFill="1" applyBorder="1" applyAlignment="1">
      <alignment horizontal="center"/>
    </xf>
    <xf numFmtId="166" fontId="6" fillId="59" borderId="96" xfId="127" applyNumberFormat="1" applyFont="1" applyFill="1" applyBorder="1" applyAlignment="1"/>
  </cellXfs>
  <cellStyles count="147">
    <cellStyle name="20% - Accent1 2" xfId="1"/>
    <cellStyle name="20% - Accent1 3" xfId="2"/>
    <cellStyle name="20% - Accent1 4" xfId="3"/>
    <cellStyle name="20% - Accent2 2" xfId="4"/>
    <cellStyle name="20% - Accent2 3" xfId="5"/>
    <cellStyle name="20% - Accent2 4" xfId="6"/>
    <cellStyle name="20% - Accent3 2" xfId="7"/>
    <cellStyle name="20% - Accent3 3" xfId="8"/>
    <cellStyle name="20% - Accent3 4" xfId="9"/>
    <cellStyle name="20% - Accent4 2" xfId="10"/>
    <cellStyle name="20% - Accent4 3" xfId="11"/>
    <cellStyle name="20% - Accent4 4" xfId="12"/>
    <cellStyle name="20% - Accent5 2" xfId="13"/>
    <cellStyle name="20% - Accent5 3" xfId="14"/>
    <cellStyle name="20% - Accent5 4" xfId="15"/>
    <cellStyle name="20% - Accent6 2" xfId="16"/>
    <cellStyle name="20% - Accent6 3" xfId="17"/>
    <cellStyle name="20% - Accent6 4" xfId="18"/>
    <cellStyle name="40% - Accent1 2" xfId="19"/>
    <cellStyle name="40% - Accent1 3" xfId="20"/>
    <cellStyle name="40% - Accent1 4" xfId="21"/>
    <cellStyle name="40% - Accent2 2" xfId="22"/>
    <cellStyle name="40% - Accent2 3" xfId="23"/>
    <cellStyle name="40% - Accent2 4" xfId="24"/>
    <cellStyle name="40% - Accent3 2" xfId="25"/>
    <cellStyle name="40% - Accent3 3" xfId="26"/>
    <cellStyle name="40% - Accent3 4" xfId="27"/>
    <cellStyle name="40% - Accent4 2" xfId="28"/>
    <cellStyle name="40% - Accent4 3" xfId="29"/>
    <cellStyle name="40% - Accent4 4" xfId="30"/>
    <cellStyle name="40% - Accent5 2" xfId="31"/>
    <cellStyle name="40% - Accent5 3" xfId="32"/>
    <cellStyle name="40% - Accent5 4" xfId="33"/>
    <cellStyle name="40% - Accent6 2" xfId="34"/>
    <cellStyle name="40% - Accent6 3" xfId="35"/>
    <cellStyle name="40% - Accent6 4" xfId="36"/>
    <cellStyle name="60% - Accent1 2" xfId="37"/>
    <cellStyle name="60% - Accent1 3" xfId="38"/>
    <cellStyle name="60% - Accent1 4" xfId="39"/>
    <cellStyle name="60% - Accent2 2" xfId="40"/>
    <cellStyle name="60% - Accent2 3" xfId="41"/>
    <cellStyle name="60% - Accent2 4" xfId="42"/>
    <cellStyle name="60% - Accent3 2" xfId="43"/>
    <cellStyle name="60% - Accent3 3" xfId="44"/>
    <cellStyle name="60% - Accent3 4" xfId="45"/>
    <cellStyle name="60% - Accent4 2" xfId="46"/>
    <cellStyle name="60% - Accent4 3" xfId="47"/>
    <cellStyle name="60% - Accent4 4" xfId="48"/>
    <cellStyle name="60% - Accent5 2" xfId="49"/>
    <cellStyle name="60% - Accent5 3" xfId="50"/>
    <cellStyle name="60% - Accent5 4" xfId="51"/>
    <cellStyle name="60% - Accent6 2" xfId="52"/>
    <cellStyle name="60% - Accent6 3" xfId="53"/>
    <cellStyle name="60% - Accent6 4" xfId="54"/>
    <cellStyle name="Accent1 2" xfId="55"/>
    <cellStyle name="Accent1 3" xfId="56"/>
    <cellStyle name="Accent1 4" xfId="57"/>
    <cellStyle name="Accent2 2" xfId="58"/>
    <cellStyle name="Accent2 3" xfId="59"/>
    <cellStyle name="Accent2 4" xfId="60"/>
    <cellStyle name="Accent3 2" xfId="61"/>
    <cellStyle name="Accent3 3" xfId="62"/>
    <cellStyle name="Accent3 4" xfId="63"/>
    <cellStyle name="Accent4 2" xfId="64"/>
    <cellStyle name="Accent4 3" xfId="65"/>
    <cellStyle name="Accent4 4" xfId="66"/>
    <cellStyle name="Accent5 2" xfId="67"/>
    <cellStyle name="Accent5 3" xfId="68"/>
    <cellStyle name="Accent5 4" xfId="69"/>
    <cellStyle name="Accent6 2" xfId="70"/>
    <cellStyle name="Accent6 3" xfId="71"/>
    <cellStyle name="Accent6 4" xfId="72"/>
    <cellStyle name="Bad 2" xfId="73"/>
    <cellStyle name="Bad 3" xfId="74"/>
    <cellStyle name="Bad 4" xfId="75"/>
    <cellStyle name="Calculation 2" xfId="76"/>
    <cellStyle name="Calculation 3" xfId="77"/>
    <cellStyle name="Calculation 4" xfId="78"/>
    <cellStyle name="Check Cell 2" xfId="79"/>
    <cellStyle name="Check Cell 3" xfId="80"/>
    <cellStyle name="Check Cell 4" xfId="81"/>
    <cellStyle name="Comma" xfId="82" builtinId="3"/>
    <cellStyle name="Comma 2" xfId="83"/>
    <cellStyle name="Comma 2 2" xfId="84"/>
    <cellStyle name="Comma0" xfId="85"/>
    <cellStyle name="Currency" xfId="86" builtinId="4"/>
    <cellStyle name="Currency0" xfId="87"/>
    <cellStyle name="Date" xfId="88"/>
    <cellStyle name="Explanatory Text 2" xfId="89"/>
    <cellStyle name="Explanatory Text 3" xfId="90"/>
    <cellStyle name="Explanatory Text 4" xfId="91"/>
    <cellStyle name="Fixed" xfId="92"/>
    <cellStyle name="Good 2" xfId="93"/>
    <cellStyle name="Good 3" xfId="94"/>
    <cellStyle name="Good 4" xfId="95"/>
    <cellStyle name="Heading 1" xfId="96" builtinId="16" customBuiltin="1"/>
    <cellStyle name="Heading 1 2" xfId="97"/>
    <cellStyle name="Heading 1 3" xfId="98"/>
    <cellStyle name="Heading 1 4" xfId="99"/>
    <cellStyle name="Heading 2" xfId="100" builtinId="17" customBuiltin="1"/>
    <cellStyle name="Heading 2 2" xfId="101"/>
    <cellStyle name="Heading 2 3" xfId="102"/>
    <cellStyle name="Heading 2 4" xfId="103"/>
    <cellStyle name="Heading 3 2" xfId="104"/>
    <cellStyle name="Heading 3 3" xfId="105"/>
    <cellStyle name="Heading 3 4" xfId="106"/>
    <cellStyle name="Heading 4 2" xfId="107"/>
    <cellStyle name="Heading 4 3" xfId="108"/>
    <cellStyle name="Heading 4 4" xfId="109"/>
    <cellStyle name="HEADING1" xfId="110"/>
    <cellStyle name="HEADING2" xfId="111"/>
    <cellStyle name="Input 2" xfId="112"/>
    <cellStyle name="Input 3" xfId="113"/>
    <cellStyle name="Input 4" xfId="114"/>
    <cellStyle name="Linked Cell 2" xfId="115"/>
    <cellStyle name="Linked Cell 3" xfId="116"/>
    <cellStyle name="Linked Cell 4" xfId="117"/>
    <cellStyle name="Neutral 2" xfId="118"/>
    <cellStyle name="Neutral 3" xfId="119"/>
    <cellStyle name="Neutral 4" xfId="120"/>
    <cellStyle name="Normal" xfId="0" builtinId="0"/>
    <cellStyle name="Normal 2" xfId="121"/>
    <cellStyle name="Normal 2 2" xfId="122"/>
    <cellStyle name="Normal 3" xfId="123"/>
    <cellStyle name="Normal 3 2" xfId="124"/>
    <cellStyle name="Normal 4" xfId="125"/>
    <cellStyle name="Normal 5" xfId="126"/>
    <cellStyle name="Normal_Accounting" xfId="127"/>
    <cellStyle name="Note 2" xfId="128"/>
    <cellStyle name="Note 3" xfId="129"/>
    <cellStyle name="Note 4" xfId="130"/>
    <cellStyle name="Output 2" xfId="131"/>
    <cellStyle name="Output 3" xfId="132"/>
    <cellStyle name="Output 4" xfId="133"/>
    <cellStyle name="Percent" xfId="134" builtinId="5"/>
    <cellStyle name="Percent 2" xfId="135"/>
    <cellStyle name="Percent_Accounting" xfId="136"/>
    <cellStyle name="Title 2" xfId="137"/>
    <cellStyle name="Title 3" xfId="138"/>
    <cellStyle name="Title 4" xfId="139"/>
    <cellStyle name="Total" xfId="140" builtinId="25" customBuiltin="1"/>
    <cellStyle name="Total 2" xfId="141"/>
    <cellStyle name="Total 3" xfId="142"/>
    <cellStyle name="Total 4" xfId="143"/>
    <cellStyle name="Warning Text 2" xfId="144"/>
    <cellStyle name="Warning Text 3" xfId="145"/>
    <cellStyle name="Warning Text 4" xfId="14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9"/>
  <sheetViews>
    <sheetView view="pageBreakPreview" zoomScaleNormal="85" zoomScaleSheetLayoutView="100" workbookViewId="0">
      <pane xSplit="4" topLeftCell="M1" activePane="topRight" state="frozen"/>
      <selection activeCell="AF81" sqref="AF81"/>
      <selection pane="topRight" activeCell="AF81" sqref="AF81"/>
    </sheetView>
  </sheetViews>
  <sheetFormatPr defaultColWidth="10.28515625" defaultRowHeight="12.75" x14ac:dyDescent="0.2"/>
  <cols>
    <col min="1" max="1" width="1.7109375" customWidth="1"/>
    <col min="2" max="2" width="33" customWidth="1"/>
    <col min="3" max="3" width="7.7109375" hidden="1" customWidth="1"/>
    <col min="4" max="4" width="10.7109375" hidden="1" customWidth="1"/>
    <col min="5" max="5" width="7.7109375" hidden="1" customWidth="1"/>
    <col min="6" max="6" width="10.7109375" hidden="1" customWidth="1"/>
    <col min="7" max="7" width="7.7109375" style="115" hidden="1" customWidth="1"/>
    <col min="8" max="8" width="11.28515625" style="115" hidden="1" customWidth="1"/>
    <col min="9" max="9" width="7.7109375" style="115" hidden="1" customWidth="1"/>
    <col min="10" max="10" width="10.7109375" style="115" hidden="1" customWidth="1"/>
    <col min="11" max="11" width="7.7109375" hidden="1" customWidth="1"/>
    <col min="12" max="12" width="11.28515625" hidden="1" customWidth="1"/>
    <col min="13" max="13" width="7.7109375" hidden="1" customWidth="1"/>
    <col min="14" max="14" width="10.7109375" hidden="1" customWidth="1"/>
    <col min="15" max="15" width="7.7109375" customWidth="1"/>
    <col min="16" max="16" width="10.7109375" customWidth="1"/>
    <col min="17" max="17" width="7.7109375" customWidth="1"/>
    <col min="18" max="18" width="10.7109375" customWidth="1"/>
    <col min="19" max="19" width="7.7109375" customWidth="1"/>
    <col min="20" max="20" width="10.7109375" customWidth="1"/>
    <col min="21" max="21" width="7.7109375" customWidth="1"/>
    <col min="22" max="22" width="10.7109375" customWidth="1"/>
    <col min="23" max="23" width="7.7109375" customWidth="1"/>
    <col min="24" max="24" width="10.7109375" customWidth="1"/>
    <col min="25" max="25" width="7.7109375" customWidth="1"/>
    <col min="26" max="26" width="10.7109375" customWidth="1"/>
    <col min="27" max="27" width="1.85546875" customWidth="1"/>
    <col min="28" max="28" width="7.7109375" customWidth="1"/>
    <col min="29" max="29" width="10.7109375" customWidth="1"/>
    <col min="30" max="30" width="2.42578125" customWidth="1"/>
  </cols>
  <sheetData>
    <row r="1" spans="1:31" ht="18.75" customHeight="1" x14ac:dyDescent="0.25">
      <c r="A1" s="1183" t="s">
        <v>294</v>
      </c>
      <c r="B1" s="1183"/>
      <c r="C1" s="1183"/>
      <c r="D1" s="1183"/>
      <c r="E1" s="1183"/>
      <c r="F1" s="1183"/>
      <c r="G1" s="1183"/>
      <c r="H1" s="1183"/>
      <c r="I1" s="1181"/>
      <c r="J1" s="1182"/>
      <c r="K1" s="1182"/>
      <c r="L1" s="1182"/>
      <c r="M1" s="1182"/>
      <c r="N1" s="1182"/>
      <c r="O1" s="1182"/>
      <c r="P1" s="1182"/>
      <c r="Q1" s="1182"/>
      <c r="R1" s="1182"/>
      <c r="S1" s="1182"/>
      <c r="T1" s="1182"/>
      <c r="U1" s="1182"/>
      <c r="V1" s="1182"/>
      <c r="W1" s="1182"/>
      <c r="X1" s="1182"/>
      <c r="Y1" s="1182"/>
      <c r="Z1" s="1182"/>
      <c r="AA1" s="1182"/>
      <c r="AB1" s="1182"/>
      <c r="AC1" s="1182"/>
    </row>
    <row r="2" spans="1:31" ht="12" customHeight="1" x14ac:dyDescent="0.2">
      <c r="A2" s="1"/>
      <c r="B2" s="3"/>
      <c r="C2" s="3"/>
      <c r="D2" s="3"/>
      <c r="E2" s="3"/>
      <c r="F2" s="3"/>
      <c r="G2" s="117"/>
      <c r="H2" s="117"/>
      <c r="I2" s="117"/>
      <c r="J2" s="117"/>
    </row>
    <row r="3" spans="1:31" ht="12" customHeight="1" x14ac:dyDescent="0.2">
      <c r="A3" s="2" t="s">
        <v>43</v>
      </c>
      <c r="B3" s="117"/>
      <c r="C3" s="3"/>
      <c r="D3" s="3"/>
      <c r="E3" s="3"/>
      <c r="F3" s="3"/>
      <c r="G3" s="117"/>
      <c r="H3" s="117"/>
      <c r="I3" s="117"/>
      <c r="J3" s="117"/>
    </row>
    <row r="4" spans="1:31" ht="12" customHeight="1" x14ac:dyDescent="0.2">
      <c r="A4" s="1"/>
      <c r="B4" s="117"/>
      <c r="C4" s="3"/>
      <c r="D4" s="3"/>
      <c r="E4" s="3"/>
      <c r="F4" s="3"/>
      <c r="G4" s="117"/>
      <c r="H4" s="117"/>
      <c r="I4" s="117"/>
      <c r="J4" s="117"/>
      <c r="T4" s="617"/>
      <c r="V4" s="617"/>
      <c r="X4" s="617"/>
      <c r="Z4" s="617"/>
    </row>
    <row r="5" spans="1:31" ht="12" customHeight="1" x14ac:dyDescent="0.2">
      <c r="A5" s="2" t="s">
        <v>77</v>
      </c>
      <c r="B5" s="117"/>
      <c r="C5" s="3"/>
      <c r="D5" s="3"/>
      <c r="E5" s="3"/>
      <c r="F5" s="3"/>
      <c r="G5" s="117"/>
      <c r="H5" s="117"/>
      <c r="I5" s="117"/>
      <c r="J5" s="117"/>
    </row>
    <row r="6" spans="1:31" ht="12" customHeight="1" thickBot="1" x14ac:dyDescent="0.25">
      <c r="A6" s="2"/>
      <c r="B6" s="117"/>
      <c r="C6" s="3"/>
      <c r="D6" s="3"/>
      <c r="E6" s="3"/>
      <c r="F6" s="3"/>
      <c r="G6" s="117"/>
      <c r="H6" s="117"/>
      <c r="I6" s="117"/>
      <c r="J6" s="117"/>
    </row>
    <row r="7" spans="1:31" ht="12" customHeight="1" thickTop="1" thickBot="1" x14ac:dyDescent="0.25">
      <c r="A7" s="1"/>
      <c r="B7" s="119"/>
      <c r="C7" s="29" t="s">
        <v>49</v>
      </c>
      <c r="D7" s="51"/>
      <c r="E7" s="29" t="s">
        <v>50</v>
      </c>
      <c r="F7" s="7"/>
      <c r="G7" s="302" t="s">
        <v>141</v>
      </c>
      <c r="H7" s="121"/>
      <c r="I7" s="1968" t="s">
        <v>152</v>
      </c>
      <c r="J7" s="1968"/>
      <c r="K7" s="1994" t="s">
        <v>154</v>
      </c>
      <c r="L7" s="1968"/>
      <c r="M7" s="1994" t="s">
        <v>171</v>
      </c>
      <c r="N7" s="1980"/>
      <c r="O7" s="1968" t="s">
        <v>227</v>
      </c>
      <c r="P7" s="1980"/>
      <c r="Q7" s="1968" t="s">
        <v>237</v>
      </c>
      <c r="R7" s="1980"/>
      <c r="S7" s="1968" t="s">
        <v>272</v>
      </c>
      <c r="T7" s="1980"/>
      <c r="U7" s="1968" t="s">
        <v>274</v>
      </c>
      <c r="V7" s="1980"/>
      <c r="W7" s="1968" t="s">
        <v>280</v>
      </c>
      <c r="X7" s="1980"/>
      <c r="Y7" s="1968" t="s">
        <v>290</v>
      </c>
      <c r="Z7" s="1969"/>
      <c r="AB7" s="2003" t="s">
        <v>213</v>
      </c>
      <c r="AC7" s="2004"/>
    </row>
    <row r="8" spans="1:31" ht="12" customHeight="1" x14ac:dyDescent="0.2">
      <c r="A8" s="1"/>
      <c r="B8" s="122"/>
      <c r="C8" s="46" t="s">
        <v>1</v>
      </c>
      <c r="D8" s="48" t="s">
        <v>2</v>
      </c>
      <c r="E8" s="46" t="s">
        <v>1</v>
      </c>
      <c r="F8" s="26" t="s">
        <v>2</v>
      </c>
      <c r="G8" s="304" t="s">
        <v>1</v>
      </c>
      <c r="H8" s="123" t="s">
        <v>2</v>
      </c>
      <c r="I8" s="127" t="s">
        <v>1</v>
      </c>
      <c r="J8" s="301" t="s">
        <v>2</v>
      </c>
      <c r="K8" s="304" t="s">
        <v>1</v>
      </c>
      <c r="L8" s="301" t="s">
        <v>2</v>
      </c>
      <c r="M8" s="304" t="s">
        <v>1</v>
      </c>
      <c r="N8" s="123" t="s">
        <v>2</v>
      </c>
      <c r="O8" s="127" t="s">
        <v>1</v>
      </c>
      <c r="P8" s="123" t="s">
        <v>2</v>
      </c>
      <c r="Q8" s="127" t="s">
        <v>1</v>
      </c>
      <c r="R8" s="123" t="s">
        <v>2</v>
      </c>
      <c r="S8" s="127" t="s">
        <v>1</v>
      </c>
      <c r="T8" s="123" t="s">
        <v>2</v>
      </c>
      <c r="U8" s="127" t="s">
        <v>1</v>
      </c>
      <c r="V8" s="123" t="s">
        <v>2</v>
      </c>
      <c r="W8" s="127" t="s">
        <v>1</v>
      </c>
      <c r="X8" s="123" t="s">
        <v>2</v>
      </c>
      <c r="Y8" s="127" t="s">
        <v>1</v>
      </c>
      <c r="Z8" s="128" t="s">
        <v>2</v>
      </c>
      <c r="AB8" s="921" t="s">
        <v>214</v>
      </c>
      <c r="AC8" s="922" t="s">
        <v>215</v>
      </c>
    </row>
    <row r="9" spans="1:31" s="115" customFormat="1" ht="12" customHeight="1" thickBot="1" x14ac:dyDescent="0.25">
      <c r="A9" s="116"/>
      <c r="B9" s="122"/>
      <c r="C9" s="411" t="s">
        <v>3</v>
      </c>
      <c r="D9" s="412" t="s">
        <v>4</v>
      </c>
      <c r="E9" s="411" t="s">
        <v>3</v>
      </c>
      <c r="F9" s="449" t="s">
        <v>4</v>
      </c>
      <c r="G9" s="317" t="s">
        <v>3</v>
      </c>
      <c r="H9" s="412" t="s">
        <v>4</v>
      </c>
      <c r="I9" s="411" t="s">
        <v>3</v>
      </c>
      <c r="J9" s="449" t="s">
        <v>4</v>
      </c>
      <c r="K9" s="317" t="s">
        <v>3</v>
      </c>
      <c r="L9" s="449" t="s">
        <v>4</v>
      </c>
      <c r="M9" s="317" t="s">
        <v>3</v>
      </c>
      <c r="N9" s="412" t="s">
        <v>4</v>
      </c>
      <c r="O9" s="411" t="s">
        <v>3</v>
      </c>
      <c r="P9" s="412" t="s">
        <v>4</v>
      </c>
      <c r="Q9" s="411" t="s">
        <v>3</v>
      </c>
      <c r="R9" s="412" t="s">
        <v>4</v>
      </c>
      <c r="S9" s="411" t="s">
        <v>3</v>
      </c>
      <c r="T9" s="412" t="s">
        <v>4</v>
      </c>
      <c r="U9" s="411" t="s">
        <v>3</v>
      </c>
      <c r="V9" s="412" t="s">
        <v>4</v>
      </c>
      <c r="W9" s="411" t="s">
        <v>3</v>
      </c>
      <c r="X9" s="412" t="s">
        <v>4</v>
      </c>
      <c r="Y9" s="411" t="s">
        <v>3</v>
      </c>
      <c r="Z9" s="289" t="s">
        <v>4</v>
      </c>
      <c r="AB9" s="923" t="s">
        <v>3</v>
      </c>
      <c r="AC9" s="924" t="s">
        <v>4</v>
      </c>
    </row>
    <row r="10" spans="1:31" s="787" customFormat="1" ht="12" customHeight="1" x14ac:dyDescent="0.2">
      <c r="A10" s="786"/>
      <c r="B10" s="788" t="s">
        <v>5</v>
      </c>
      <c r="C10" s="646"/>
      <c r="D10" s="647"/>
      <c r="E10" s="646"/>
      <c r="F10" s="697"/>
      <c r="G10" s="676"/>
      <c r="H10" s="647"/>
      <c r="I10" s="646"/>
      <c r="J10" s="648"/>
      <c r="K10" s="676"/>
      <c r="L10" s="648"/>
      <c r="M10" s="676"/>
      <c r="N10" s="647"/>
      <c r="O10" s="646"/>
      <c r="P10" s="647"/>
      <c r="Q10" s="646"/>
      <c r="R10" s="647"/>
      <c r="S10" s="646"/>
      <c r="T10" s="647"/>
      <c r="U10" s="646"/>
      <c r="V10" s="647"/>
      <c r="W10" s="646"/>
      <c r="X10" s="647"/>
      <c r="Y10" s="646"/>
      <c r="Z10" s="721"/>
      <c r="AB10" s="925"/>
      <c r="AC10" s="581"/>
    </row>
    <row r="11" spans="1:31" s="787" customFormat="1" ht="12" customHeight="1" x14ac:dyDescent="0.2">
      <c r="A11" s="786"/>
      <c r="B11" s="789" t="s">
        <v>58</v>
      </c>
      <c r="C11" s="649"/>
      <c r="D11" s="647"/>
      <c r="E11" s="646"/>
      <c r="F11" s="648"/>
      <c r="G11" s="649"/>
      <c r="H11" s="647"/>
      <c r="I11" s="650"/>
      <c r="J11" s="651"/>
      <c r="K11" s="649"/>
      <c r="L11" s="651"/>
      <c r="M11" s="649"/>
      <c r="N11" s="647"/>
      <c r="O11" s="650"/>
      <c r="P11" s="1255"/>
      <c r="Q11" s="650"/>
      <c r="R11" s="1255"/>
      <c r="S11" s="650"/>
      <c r="T11" s="1255"/>
      <c r="U11" s="650"/>
      <c r="V11" s="1255"/>
      <c r="W11" s="650"/>
      <c r="X11" s="1255"/>
      <c r="Y11" s="650"/>
      <c r="Z11" s="653"/>
      <c r="AB11" s="926"/>
      <c r="AC11" s="927"/>
    </row>
    <row r="12" spans="1:31" s="787" customFormat="1" ht="11.25" customHeight="1" x14ac:dyDescent="0.2">
      <c r="A12" s="786"/>
      <c r="B12" s="654" t="s">
        <v>221</v>
      </c>
      <c r="C12" s="646">
        <v>12</v>
      </c>
      <c r="D12" s="647">
        <v>3</v>
      </c>
      <c r="E12" s="646">
        <f>7+1</f>
        <v>8</v>
      </c>
      <c r="F12" s="648">
        <v>4</v>
      </c>
      <c r="G12" s="649">
        <v>11</v>
      </c>
      <c r="H12" s="647">
        <v>6</v>
      </c>
      <c r="I12" s="650">
        <v>14</v>
      </c>
      <c r="J12" s="651">
        <v>5</v>
      </c>
      <c r="K12" s="649">
        <v>23</v>
      </c>
      <c r="L12" s="651">
        <v>7</v>
      </c>
      <c r="M12" s="649">
        <v>20</v>
      </c>
      <c r="N12" s="647">
        <v>6</v>
      </c>
      <c r="O12" s="650">
        <v>23</v>
      </c>
      <c r="P12" s="1255">
        <v>9</v>
      </c>
      <c r="Q12" s="650">
        <v>20</v>
      </c>
      <c r="R12" s="1255">
        <v>5</v>
      </c>
      <c r="S12" s="650">
        <v>14</v>
      </c>
      <c r="T12" s="1255">
        <v>7</v>
      </c>
      <c r="U12" s="650">
        <v>18</v>
      </c>
      <c r="V12" s="1255">
        <v>5</v>
      </c>
      <c r="W12" s="650">
        <v>13</v>
      </c>
      <c r="X12" s="1255">
        <v>10</v>
      </c>
      <c r="Y12" s="650">
        <v>10</v>
      </c>
      <c r="Z12" s="1665"/>
      <c r="AB12" s="926">
        <f>AVERAGE(W12,U12,S12,Q12,Y12)</f>
        <v>15</v>
      </c>
      <c r="AC12" s="928">
        <f>AVERAGE(X12,V12,T12,R12,P12)</f>
        <v>7.2</v>
      </c>
    </row>
    <row r="13" spans="1:31" s="787" customFormat="1" ht="12" customHeight="1" x14ac:dyDescent="0.2">
      <c r="A13" s="786"/>
      <c r="B13" s="789" t="s">
        <v>225</v>
      </c>
      <c r="C13" s="646"/>
      <c r="D13" s="647"/>
      <c r="E13" s="646"/>
      <c r="F13" s="648"/>
      <c r="G13" s="649"/>
      <c r="H13" s="647"/>
      <c r="I13" s="650"/>
      <c r="J13" s="651"/>
      <c r="K13" s="649"/>
      <c r="L13" s="651"/>
      <c r="M13" s="649"/>
      <c r="N13" s="647"/>
      <c r="O13" s="650"/>
      <c r="P13" s="1255"/>
      <c r="Q13" s="650"/>
      <c r="R13" s="1255"/>
      <c r="S13" s="650"/>
      <c r="T13" s="1255"/>
      <c r="U13" s="650"/>
      <c r="V13" s="1255"/>
      <c r="W13" s="650"/>
      <c r="X13" s="1255"/>
      <c r="Y13" s="650"/>
      <c r="Z13" s="1665"/>
      <c r="AB13" s="926"/>
      <c r="AC13" s="928"/>
    </row>
    <row r="14" spans="1:31" s="787" customFormat="1" ht="12" customHeight="1" x14ac:dyDescent="0.2">
      <c r="A14" s="786"/>
      <c r="B14" s="654" t="s">
        <v>221</v>
      </c>
      <c r="C14" s="646">
        <v>78</v>
      </c>
      <c r="D14" s="647">
        <v>40</v>
      </c>
      <c r="E14" s="646">
        <f>82+7</f>
        <v>89</v>
      </c>
      <c r="F14" s="648">
        <f>47+4</f>
        <v>51</v>
      </c>
      <c r="G14" s="649">
        <v>116</v>
      </c>
      <c r="H14" s="647">
        <f>41+3</f>
        <v>44</v>
      </c>
      <c r="I14" s="650">
        <v>115</v>
      </c>
      <c r="J14" s="651">
        <f>43+1</f>
        <v>44</v>
      </c>
      <c r="K14" s="649">
        <v>135</v>
      </c>
      <c r="L14" s="651">
        <f>44+2</f>
        <v>46</v>
      </c>
      <c r="M14" s="649">
        <v>379</v>
      </c>
      <c r="N14" s="647">
        <v>53</v>
      </c>
      <c r="O14" s="650">
        <v>380</v>
      </c>
      <c r="P14" s="1255">
        <f>44+1</f>
        <v>45</v>
      </c>
      <c r="Q14" s="650">
        <f>615+1</f>
        <v>616</v>
      </c>
      <c r="R14" s="1255">
        <v>52</v>
      </c>
      <c r="S14" s="650">
        <v>626</v>
      </c>
      <c r="T14" s="1255">
        <v>70</v>
      </c>
      <c r="U14" s="650">
        <v>488</v>
      </c>
      <c r="V14" s="1255">
        <v>74</v>
      </c>
      <c r="W14" s="650">
        <v>351</v>
      </c>
      <c r="X14" s="1255">
        <v>61</v>
      </c>
      <c r="Y14" s="650">
        <v>293</v>
      </c>
      <c r="Z14" s="1665"/>
      <c r="AB14" s="926">
        <f>AVERAGE(W14,U14,S14,Q14,Y14)</f>
        <v>474.8</v>
      </c>
      <c r="AC14" s="928">
        <f>AVERAGE(X14,V14,T14,R14,P14)</f>
        <v>60.4</v>
      </c>
    </row>
    <row r="15" spans="1:31" s="787" customFormat="1" ht="12" customHeight="1" x14ac:dyDescent="0.2">
      <c r="A15" s="786"/>
      <c r="B15" s="645" t="s">
        <v>162</v>
      </c>
      <c r="C15" s="646"/>
      <c r="D15" s="647"/>
      <c r="E15" s="646"/>
      <c r="F15" s="648"/>
      <c r="G15" s="649"/>
      <c r="H15" s="647"/>
      <c r="I15" s="650"/>
      <c r="J15" s="651"/>
      <c r="K15" s="649"/>
      <c r="L15" s="651"/>
      <c r="M15" s="649"/>
      <c r="N15" s="647"/>
      <c r="O15" s="650"/>
      <c r="P15" s="1255"/>
      <c r="Q15" s="650"/>
      <c r="R15" s="1255"/>
      <c r="S15" s="650"/>
      <c r="T15" s="1255"/>
      <c r="U15" s="650"/>
      <c r="V15" s="1255"/>
      <c r="W15" s="650"/>
      <c r="X15" s="1255"/>
      <c r="Y15" s="650"/>
      <c r="Z15" s="1665"/>
      <c r="AB15" s="926"/>
      <c r="AC15" s="928"/>
    </row>
    <row r="16" spans="1:31" s="787" customFormat="1" ht="13.5" customHeight="1" x14ac:dyDescent="0.2">
      <c r="A16" s="786"/>
      <c r="B16" s="654" t="s">
        <v>221</v>
      </c>
      <c r="C16" s="646">
        <v>8</v>
      </c>
      <c r="D16" s="647">
        <v>2</v>
      </c>
      <c r="E16" s="646">
        <f>5+5</f>
        <v>10</v>
      </c>
      <c r="F16" s="648">
        <f>1+1</f>
        <v>2</v>
      </c>
      <c r="G16" s="649">
        <v>16</v>
      </c>
      <c r="H16" s="647">
        <v>2</v>
      </c>
      <c r="I16" s="650">
        <v>17</v>
      </c>
      <c r="J16" s="651">
        <f>2+1</f>
        <v>3</v>
      </c>
      <c r="K16" s="649">
        <v>14</v>
      </c>
      <c r="L16" s="651">
        <f>2+1</f>
        <v>3</v>
      </c>
      <c r="M16" s="649">
        <v>14</v>
      </c>
      <c r="N16" s="647">
        <v>2</v>
      </c>
      <c r="O16" s="650">
        <v>14</v>
      </c>
      <c r="P16" s="1255">
        <v>2</v>
      </c>
      <c r="Q16" s="650">
        <v>17</v>
      </c>
      <c r="R16" s="1255">
        <v>2</v>
      </c>
      <c r="S16" s="650">
        <v>19</v>
      </c>
      <c r="T16" s="1255">
        <v>1</v>
      </c>
      <c r="U16" s="650">
        <v>19</v>
      </c>
      <c r="V16" s="1255">
        <v>2</v>
      </c>
      <c r="W16" s="650">
        <v>16</v>
      </c>
      <c r="X16" s="1255">
        <v>3</v>
      </c>
      <c r="Y16" s="650">
        <v>23</v>
      </c>
      <c r="Z16" s="1665"/>
      <c r="AB16" s="926">
        <f>AVERAGE(W16,U16,S16,Q16,Y16)</f>
        <v>18.8</v>
      </c>
      <c r="AC16" s="928">
        <f>AVERAGE(X16,V16,T16,R16,P16)</f>
        <v>2</v>
      </c>
      <c r="AE16" s="787" t="s">
        <v>29</v>
      </c>
    </row>
    <row r="17" spans="1:29" s="787" customFormat="1" ht="12" customHeight="1" x14ac:dyDescent="0.2">
      <c r="A17" s="786"/>
      <c r="B17" s="645" t="s">
        <v>150</v>
      </c>
      <c r="C17" s="646"/>
      <c r="D17" s="647"/>
      <c r="E17" s="646"/>
      <c r="F17" s="648"/>
      <c r="G17" s="649"/>
      <c r="H17" s="647"/>
      <c r="I17" s="650"/>
      <c r="J17" s="651"/>
      <c r="K17" s="649"/>
      <c r="L17" s="651"/>
      <c r="M17" s="649"/>
      <c r="N17" s="647"/>
      <c r="O17" s="650"/>
      <c r="P17" s="1255"/>
      <c r="Q17" s="650"/>
      <c r="R17" s="1255"/>
      <c r="S17" s="650"/>
      <c r="T17" s="1255"/>
      <c r="U17" s="650"/>
      <c r="V17" s="1255"/>
      <c r="W17" s="650"/>
      <c r="X17" s="1255"/>
      <c r="Y17" s="650"/>
      <c r="Z17" s="1665"/>
      <c r="AB17" s="926"/>
      <c r="AC17" s="928"/>
    </row>
    <row r="18" spans="1:29" s="787" customFormat="1" ht="12" customHeight="1" x14ac:dyDescent="0.2">
      <c r="A18" s="786"/>
      <c r="B18" s="654" t="s">
        <v>221</v>
      </c>
      <c r="C18" s="646">
        <v>43</v>
      </c>
      <c r="D18" s="647">
        <v>4</v>
      </c>
      <c r="E18" s="646">
        <f>4+52</f>
        <v>56</v>
      </c>
      <c r="F18" s="648">
        <v>0</v>
      </c>
      <c r="G18" s="649">
        <v>83</v>
      </c>
      <c r="H18" s="647">
        <v>0</v>
      </c>
      <c r="I18" s="650">
        <v>116</v>
      </c>
      <c r="J18" s="736" t="s">
        <v>25</v>
      </c>
      <c r="K18" s="649">
        <v>102</v>
      </c>
      <c r="L18" s="736" t="s">
        <v>25</v>
      </c>
      <c r="M18" s="649">
        <v>66</v>
      </c>
      <c r="N18" s="658" t="s">
        <v>25</v>
      </c>
      <c r="O18" s="650">
        <v>90</v>
      </c>
      <c r="P18" s="658" t="s">
        <v>25</v>
      </c>
      <c r="Q18" s="650">
        <f>52+10</f>
        <v>62</v>
      </c>
      <c r="R18" s="658" t="s">
        <v>25</v>
      </c>
      <c r="S18" s="650">
        <v>40</v>
      </c>
      <c r="T18" s="658" t="s">
        <v>25</v>
      </c>
      <c r="U18" s="650">
        <v>94</v>
      </c>
      <c r="V18" s="658" t="s">
        <v>25</v>
      </c>
      <c r="W18" s="650">
        <v>122</v>
      </c>
      <c r="X18" s="658" t="s">
        <v>25</v>
      </c>
      <c r="Y18" s="650">
        <v>120</v>
      </c>
      <c r="Z18" s="1666"/>
      <c r="AA18" s="1567"/>
      <c r="AB18" s="926">
        <f>AVERAGE(W18,U18,S18,Q18,Y18)</f>
        <v>87.6</v>
      </c>
      <c r="AC18" s="1007"/>
    </row>
    <row r="19" spans="1:29" s="787" customFormat="1" ht="12" hidden="1" customHeight="1" x14ac:dyDescent="0.2">
      <c r="A19" s="786"/>
      <c r="B19" s="645" t="s">
        <v>226</v>
      </c>
      <c r="C19" s="646"/>
      <c r="D19" s="647"/>
      <c r="E19" s="646"/>
      <c r="F19" s="648"/>
      <c r="G19" s="649"/>
      <c r="H19" s="647"/>
      <c r="I19" s="650"/>
      <c r="J19" s="651"/>
      <c r="K19" s="649"/>
      <c r="L19" s="651"/>
      <c r="M19" s="649"/>
      <c r="N19" s="647"/>
      <c r="O19" s="650"/>
      <c r="P19" s="1255"/>
      <c r="Q19" s="650"/>
      <c r="R19" s="1255"/>
      <c r="S19" s="650"/>
      <c r="T19" s="1255"/>
      <c r="U19" s="650"/>
      <c r="V19" s="1255"/>
      <c r="W19" s="650"/>
      <c r="X19" s="1255"/>
      <c r="Y19" s="650"/>
      <c r="Z19" s="1665"/>
      <c r="AB19" s="926" t="e">
        <f>AVERAGE(W19,U19,S19,Q19,Y19)</f>
        <v>#DIV/0!</v>
      </c>
      <c r="AC19" s="928"/>
    </row>
    <row r="20" spans="1:29" s="787" customFormat="1" ht="12" hidden="1" customHeight="1" x14ac:dyDescent="0.2">
      <c r="A20" s="786"/>
      <c r="B20" s="654" t="s">
        <v>222</v>
      </c>
      <c r="C20" s="646">
        <v>0</v>
      </c>
      <c r="D20" s="647">
        <v>2</v>
      </c>
      <c r="E20" s="646">
        <v>1</v>
      </c>
      <c r="F20" s="648">
        <v>0</v>
      </c>
      <c r="G20" s="649">
        <v>0</v>
      </c>
      <c r="H20" s="647">
        <v>1</v>
      </c>
      <c r="I20" s="650">
        <v>0</v>
      </c>
      <c r="J20" s="651">
        <v>0</v>
      </c>
      <c r="K20" s="649">
        <v>0</v>
      </c>
      <c r="L20" s="651">
        <v>0</v>
      </c>
      <c r="M20" s="649">
        <v>0</v>
      </c>
      <c r="N20" s="647">
        <v>0</v>
      </c>
      <c r="O20" s="650">
        <v>0</v>
      </c>
      <c r="P20" s="1255">
        <v>0</v>
      </c>
      <c r="Q20" s="650">
        <v>3</v>
      </c>
      <c r="R20" s="1255">
        <v>0</v>
      </c>
      <c r="S20" s="650">
        <v>0</v>
      </c>
      <c r="T20" s="1255"/>
      <c r="U20" s="650">
        <v>0</v>
      </c>
      <c r="V20" s="1255"/>
      <c r="W20" s="650"/>
      <c r="X20" s="1255"/>
      <c r="Y20" s="650"/>
      <c r="Z20" s="1665"/>
      <c r="AB20" s="926">
        <f>AVERAGE(W20,U20,S20,Q20,Y20)</f>
        <v>1</v>
      </c>
      <c r="AC20" s="928"/>
    </row>
    <row r="21" spans="1:29" s="787" customFormat="1" ht="12" customHeight="1" x14ac:dyDescent="0.2">
      <c r="A21" s="786"/>
      <c r="B21" s="645" t="s">
        <v>161</v>
      </c>
      <c r="C21" s="646"/>
      <c r="D21" s="647"/>
      <c r="E21" s="646"/>
      <c r="F21" s="648"/>
      <c r="G21" s="649"/>
      <c r="H21" s="647"/>
      <c r="I21" s="650"/>
      <c r="J21" s="651"/>
      <c r="K21" s="649"/>
      <c r="L21" s="651"/>
      <c r="M21" s="649"/>
      <c r="N21" s="647"/>
      <c r="O21" s="650"/>
      <c r="P21" s="1255"/>
      <c r="Q21" s="650"/>
      <c r="R21" s="1255"/>
      <c r="S21" s="650"/>
      <c r="T21" s="1255"/>
      <c r="U21" s="650"/>
      <c r="V21" s="1255"/>
      <c r="W21" s="650"/>
      <c r="X21" s="1255"/>
      <c r="Y21" s="650"/>
      <c r="Z21" s="1665"/>
      <c r="AB21" s="926"/>
      <c r="AC21" s="928"/>
    </row>
    <row r="22" spans="1:29" s="787" customFormat="1" ht="12" customHeight="1" x14ac:dyDescent="0.2">
      <c r="A22" s="786"/>
      <c r="B22" s="654" t="s">
        <v>37</v>
      </c>
      <c r="C22" s="646">
        <v>25</v>
      </c>
      <c r="D22" s="658" t="s">
        <v>25</v>
      </c>
      <c r="E22" s="646">
        <f>22+4</f>
        <v>26</v>
      </c>
      <c r="F22" s="658" t="s">
        <v>25</v>
      </c>
      <c r="G22" s="649">
        <v>34</v>
      </c>
      <c r="H22" s="658" t="s">
        <v>25</v>
      </c>
      <c r="I22" s="650">
        <v>53</v>
      </c>
      <c r="J22" s="736" t="s">
        <v>25</v>
      </c>
      <c r="K22" s="649">
        <v>45</v>
      </c>
      <c r="L22" s="736" t="s">
        <v>25</v>
      </c>
      <c r="M22" s="649">
        <v>37</v>
      </c>
      <c r="N22" s="658" t="s">
        <v>25</v>
      </c>
      <c r="O22" s="650">
        <v>56</v>
      </c>
      <c r="P22" s="658" t="s">
        <v>25</v>
      </c>
      <c r="Q22" s="650">
        <v>32</v>
      </c>
      <c r="R22" s="658" t="s">
        <v>25</v>
      </c>
      <c r="S22" s="650">
        <v>21</v>
      </c>
      <c r="T22" s="658" t="s">
        <v>25</v>
      </c>
      <c r="U22" s="650">
        <v>97</v>
      </c>
      <c r="V22" s="658" t="s">
        <v>25</v>
      </c>
      <c r="W22" s="650">
        <v>140</v>
      </c>
      <c r="X22" s="658" t="s">
        <v>25</v>
      </c>
      <c r="Y22" s="650">
        <v>83</v>
      </c>
      <c r="Z22" s="1666"/>
      <c r="AB22" s="926">
        <f>AVERAGE(W22,U22,S22,Q22,Y22)</f>
        <v>74.599999999999994</v>
      </c>
      <c r="AC22" s="1007"/>
    </row>
    <row r="23" spans="1:29" s="787" customFormat="1" ht="12" customHeight="1" x14ac:dyDescent="0.2">
      <c r="A23" s="786"/>
      <c r="B23" s="790" t="s">
        <v>160</v>
      </c>
      <c r="C23" s="646"/>
      <c r="D23" s="647"/>
      <c r="E23" s="646"/>
      <c r="F23" s="648"/>
      <c r="G23" s="649"/>
      <c r="H23" s="647"/>
      <c r="I23" s="650"/>
      <c r="J23" s="648"/>
      <c r="K23" s="649"/>
      <c r="L23" s="648"/>
      <c r="M23" s="649"/>
      <c r="N23" s="647"/>
      <c r="O23" s="650"/>
      <c r="P23" s="647"/>
      <c r="Q23" s="650"/>
      <c r="R23" s="647"/>
      <c r="S23" s="650"/>
      <c r="T23" s="647"/>
      <c r="U23" s="650"/>
      <c r="V23" s="647"/>
      <c r="W23" s="650"/>
      <c r="X23" s="647"/>
      <c r="Y23" s="650"/>
      <c r="Z23" s="1667"/>
      <c r="AB23" s="926"/>
      <c r="AC23" s="928"/>
    </row>
    <row r="24" spans="1:29" s="787" customFormat="1" ht="12" customHeight="1" x14ac:dyDescent="0.2">
      <c r="A24" s="786"/>
      <c r="B24" s="793" t="s">
        <v>81</v>
      </c>
      <c r="C24" s="646">
        <v>1</v>
      </c>
      <c r="D24" s="647">
        <v>1</v>
      </c>
      <c r="E24" s="646">
        <v>1</v>
      </c>
      <c r="F24" s="648">
        <v>1</v>
      </c>
      <c r="G24" s="649">
        <v>0</v>
      </c>
      <c r="H24" s="647">
        <v>0</v>
      </c>
      <c r="I24" s="650">
        <v>1</v>
      </c>
      <c r="J24" s="648">
        <v>0</v>
      </c>
      <c r="K24" s="649">
        <v>0</v>
      </c>
      <c r="L24" s="648">
        <v>0</v>
      </c>
      <c r="M24" s="649">
        <v>0</v>
      </c>
      <c r="N24" s="647">
        <v>0</v>
      </c>
      <c r="O24" s="650">
        <v>0</v>
      </c>
      <c r="P24" s="647">
        <v>0</v>
      </c>
      <c r="Q24" s="650">
        <v>0</v>
      </c>
      <c r="R24" s="647">
        <v>0</v>
      </c>
      <c r="S24" s="650">
        <v>0</v>
      </c>
      <c r="T24" s="647">
        <v>0</v>
      </c>
      <c r="U24" s="650">
        <v>0</v>
      </c>
      <c r="V24" s="647">
        <v>0</v>
      </c>
      <c r="W24" s="650">
        <v>0</v>
      </c>
      <c r="X24" s="647">
        <v>0</v>
      </c>
      <c r="Y24" s="650">
        <v>0</v>
      </c>
      <c r="Z24" s="1667"/>
      <c r="AB24" s="926">
        <f>AVERAGE(W24,U24,S24,Q24,Y24)</f>
        <v>0</v>
      </c>
      <c r="AC24" s="928">
        <f>AVERAGE(X24,V24,T24,R24,P24)</f>
        <v>0</v>
      </c>
    </row>
    <row r="25" spans="1:29" s="787" customFormat="1" ht="12" customHeight="1" x14ac:dyDescent="0.2">
      <c r="A25" s="786"/>
      <c r="B25" s="645" t="s">
        <v>26</v>
      </c>
      <c r="C25" s="646"/>
      <c r="D25" s="658"/>
      <c r="E25" s="646"/>
      <c r="F25" s="658"/>
      <c r="G25" s="649"/>
      <c r="H25" s="647"/>
      <c r="I25" s="650"/>
      <c r="J25" s="648"/>
      <c r="K25" s="649"/>
      <c r="L25" s="648"/>
      <c r="M25" s="649"/>
      <c r="N25" s="647"/>
      <c r="O25" s="650"/>
      <c r="P25" s="647"/>
      <c r="Q25" s="650"/>
      <c r="R25" s="647"/>
      <c r="S25" s="650"/>
      <c r="T25" s="647"/>
      <c r="U25" s="650"/>
      <c r="V25" s="647"/>
      <c r="W25" s="650"/>
      <c r="X25" s="647"/>
      <c r="Y25" s="650"/>
      <c r="Z25" s="1667"/>
      <c r="AB25" s="926"/>
      <c r="AC25" s="928"/>
    </row>
    <row r="26" spans="1:29" s="787" customFormat="1" ht="12" customHeight="1" x14ac:dyDescent="0.2">
      <c r="A26" s="786"/>
      <c r="B26" s="654" t="s">
        <v>39</v>
      </c>
      <c r="C26" s="646">
        <v>6</v>
      </c>
      <c r="D26" s="658" t="s">
        <v>25</v>
      </c>
      <c r="E26" s="646">
        <v>6</v>
      </c>
      <c r="F26" s="658" t="s">
        <v>25</v>
      </c>
      <c r="G26" s="649">
        <v>6</v>
      </c>
      <c r="H26" s="792" t="s">
        <v>25</v>
      </c>
      <c r="I26" s="650">
        <v>6</v>
      </c>
      <c r="J26" s="791" t="s">
        <v>25</v>
      </c>
      <c r="K26" s="649">
        <v>3</v>
      </c>
      <c r="L26" s="791" t="s">
        <v>25</v>
      </c>
      <c r="M26" s="649">
        <v>4</v>
      </c>
      <c r="N26" s="792" t="s">
        <v>25</v>
      </c>
      <c r="O26" s="650">
        <v>5</v>
      </c>
      <c r="P26" s="659">
        <v>2</v>
      </c>
      <c r="Q26" s="664">
        <v>3</v>
      </c>
      <c r="R26" s="659">
        <v>0</v>
      </c>
      <c r="S26" s="664">
        <v>6</v>
      </c>
      <c r="T26" s="659">
        <v>4</v>
      </c>
      <c r="U26" s="664">
        <v>1</v>
      </c>
      <c r="V26" s="659">
        <v>0</v>
      </c>
      <c r="W26" s="664">
        <v>2</v>
      </c>
      <c r="X26" s="659">
        <v>0</v>
      </c>
      <c r="Y26" s="650">
        <v>5</v>
      </c>
      <c r="Z26" s="1668"/>
      <c r="AB26" s="926">
        <f>AVERAGE(W26,U26,S26,Q26,Y26)</f>
        <v>3.4</v>
      </c>
      <c r="AC26" s="928">
        <f>AVERAGE(X26,V26,T26,R26,P26)</f>
        <v>1.2</v>
      </c>
    </row>
    <row r="27" spans="1:29" s="787" customFormat="1" ht="12" customHeight="1" x14ac:dyDescent="0.2">
      <c r="A27" s="786"/>
      <c r="B27" s="645" t="s">
        <v>260</v>
      </c>
      <c r="C27" s="646"/>
      <c r="D27" s="658"/>
      <c r="E27" s="646"/>
      <c r="F27" s="658"/>
      <c r="G27" s="649"/>
      <c r="H27" s="647"/>
      <c r="I27" s="650"/>
      <c r="J27" s="648"/>
      <c r="K27" s="649"/>
      <c r="L27" s="648"/>
      <c r="M27" s="649"/>
      <c r="N27" s="647"/>
      <c r="O27" s="650"/>
      <c r="P27" s="659"/>
      <c r="Q27" s="664"/>
      <c r="R27" s="659"/>
      <c r="S27" s="664"/>
      <c r="T27" s="659"/>
      <c r="U27" s="664"/>
      <c r="V27" s="659"/>
      <c r="W27" s="664"/>
      <c r="X27" s="659"/>
      <c r="Y27" s="650"/>
      <c r="Z27" s="1667"/>
      <c r="AB27" s="926"/>
      <c r="AC27" s="928"/>
    </row>
    <row r="28" spans="1:29" s="787" customFormat="1" ht="12" customHeight="1" x14ac:dyDescent="0.2">
      <c r="A28" s="786"/>
      <c r="B28" s="654" t="s">
        <v>39</v>
      </c>
      <c r="C28" s="646">
        <v>74</v>
      </c>
      <c r="D28" s="658" t="s">
        <v>25</v>
      </c>
      <c r="E28" s="646">
        <v>62</v>
      </c>
      <c r="F28" s="658" t="s">
        <v>25</v>
      </c>
      <c r="G28" s="649">
        <v>71</v>
      </c>
      <c r="H28" s="792" t="s">
        <v>25</v>
      </c>
      <c r="I28" s="650">
        <v>78</v>
      </c>
      <c r="J28" s="791" t="s">
        <v>25</v>
      </c>
      <c r="K28" s="649">
        <v>71</v>
      </c>
      <c r="L28" s="791" t="s">
        <v>25</v>
      </c>
      <c r="M28" s="649">
        <v>61</v>
      </c>
      <c r="N28" s="792" t="s">
        <v>25</v>
      </c>
      <c r="O28" s="650">
        <v>67</v>
      </c>
      <c r="P28" s="659">
        <v>28</v>
      </c>
      <c r="Q28" s="664">
        <v>59</v>
      </c>
      <c r="R28" s="659">
        <v>24</v>
      </c>
      <c r="S28" s="664">
        <v>61</v>
      </c>
      <c r="T28" s="659">
        <v>20</v>
      </c>
      <c r="U28" s="664">
        <v>48</v>
      </c>
      <c r="V28" s="659">
        <v>18</v>
      </c>
      <c r="W28" s="664">
        <v>43</v>
      </c>
      <c r="X28" s="659">
        <v>13</v>
      </c>
      <c r="Y28" s="650">
        <v>46</v>
      </c>
      <c r="Z28" s="1668"/>
      <c r="AB28" s="926">
        <f>AVERAGE(W28,U28,S28,Q28,Y28)</f>
        <v>51.4</v>
      </c>
      <c r="AC28" s="928">
        <f>AVERAGE(X28,V28,T28,R28,P28)</f>
        <v>20.6</v>
      </c>
    </row>
    <row r="29" spans="1:29" s="787" customFormat="1" ht="12" customHeight="1" x14ac:dyDescent="0.2">
      <c r="A29" s="786"/>
      <c r="B29" s="645" t="s">
        <v>28</v>
      </c>
      <c r="C29" s="646"/>
      <c r="D29" s="647"/>
      <c r="E29" s="646"/>
      <c r="F29" s="648"/>
      <c r="G29" s="649"/>
      <c r="H29" s="647"/>
      <c r="I29" s="650"/>
      <c r="J29" s="651"/>
      <c r="K29" s="649"/>
      <c r="L29" s="651"/>
      <c r="M29" s="649"/>
      <c r="N29" s="647"/>
      <c r="O29" s="650"/>
      <c r="P29" s="1255"/>
      <c r="Q29" s="650"/>
      <c r="R29" s="1255"/>
      <c r="S29" s="650"/>
      <c r="T29" s="1255">
        <v>0</v>
      </c>
      <c r="U29" s="650"/>
      <c r="V29" s="1255"/>
      <c r="W29" s="650"/>
      <c r="X29" s="1255"/>
      <c r="Y29" s="650"/>
      <c r="Z29" s="1665"/>
      <c r="AB29" s="926"/>
      <c r="AC29" s="928"/>
    </row>
    <row r="30" spans="1:29" s="787" customFormat="1" ht="12" customHeight="1" x14ac:dyDescent="0.2">
      <c r="A30" s="786"/>
      <c r="B30" s="654" t="s">
        <v>221</v>
      </c>
      <c r="C30" s="646">
        <v>21</v>
      </c>
      <c r="D30" s="647">
        <f>7+1</f>
        <v>8</v>
      </c>
      <c r="E30" s="646">
        <v>24</v>
      </c>
      <c r="F30" s="648">
        <f>6+1</f>
        <v>7</v>
      </c>
      <c r="G30" s="649">
        <v>17</v>
      </c>
      <c r="H30" s="647">
        <v>7</v>
      </c>
      <c r="I30" s="650">
        <v>17</v>
      </c>
      <c r="J30" s="651">
        <f>4+1</f>
        <v>5</v>
      </c>
      <c r="K30" s="649">
        <v>16</v>
      </c>
      <c r="L30" s="651">
        <f>5+1</f>
        <v>6</v>
      </c>
      <c r="M30" s="649">
        <v>17</v>
      </c>
      <c r="N30" s="647">
        <v>12</v>
      </c>
      <c r="O30" s="650">
        <v>16</v>
      </c>
      <c r="P30" s="1255">
        <v>8</v>
      </c>
      <c r="Q30" s="650">
        <v>9</v>
      </c>
      <c r="R30" s="1255">
        <v>2</v>
      </c>
      <c r="S30" s="650">
        <v>11</v>
      </c>
      <c r="T30" s="1255">
        <v>3</v>
      </c>
      <c r="U30" s="650">
        <v>7</v>
      </c>
      <c r="V30" s="1255">
        <v>4</v>
      </c>
      <c r="W30" s="650">
        <v>9</v>
      </c>
      <c r="X30" s="1255">
        <v>2</v>
      </c>
      <c r="Y30" s="650">
        <v>10</v>
      </c>
      <c r="Z30" s="1665"/>
      <c r="AB30" s="926">
        <f>AVERAGE(W30,U30,S30,Q30,Y30)</f>
        <v>9.1999999999999993</v>
      </c>
      <c r="AC30" s="928">
        <f>AVERAGE(X30,V30,T30,R30,P30)</f>
        <v>3.8</v>
      </c>
    </row>
    <row r="31" spans="1:29" s="787" customFormat="1" ht="12" customHeight="1" x14ac:dyDescent="0.2">
      <c r="A31" s="786"/>
      <c r="B31" s="645" t="s">
        <v>59</v>
      </c>
      <c r="C31" s="646"/>
      <c r="D31" s="647"/>
      <c r="E31" s="646"/>
      <c r="F31" s="648"/>
      <c r="G31" s="649"/>
      <c r="H31" s="647"/>
      <c r="I31" s="650"/>
      <c r="J31" s="651"/>
      <c r="K31" s="649"/>
      <c r="L31" s="651"/>
      <c r="M31" s="649"/>
      <c r="N31" s="647"/>
      <c r="O31" s="650"/>
      <c r="P31" s="1255"/>
      <c r="Q31" s="650"/>
      <c r="R31" s="1255"/>
      <c r="S31" s="650"/>
      <c r="T31" s="1255"/>
      <c r="U31" s="650"/>
      <c r="V31" s="1255"/>
      <c r="W31" s="650"/>
      <c r="X31" s="1255"/>
      <c r="Y31" s="650"/>
      <c r="Z31" s="1665"/>
      <c r="AB31" s="926"/>
      <c r="AC31" s="928"/>
    </row>
    <row r="32" spans="1:29" s="787" customFormat="1" ht="12" customHeight="1" x14ac:dyDescent="0.2">
      <c r="A32" s="786"/>
      <c r="B32" s="654" t="s">
        <v>221</v>
      </c>
      <c r="C32" s="646">
        <v>364</v>
      </c>
      <c r="D32" s="647">
        <v>115</v>
      </c>
      <c r="E32" s="646">
        <f>350+3</f>
        <v>353</v>
      </c>
      <c r="F32" s="648">
        <f>139+2</f>
        <v>141</v>
      </c>
      <c r="G32" s="649">
        <v>393</v>
      </c>
      <c r="H32" s="647">
        <v>126</v>
      </c>
      <c r="I32" s="650">
        <v>382</v>
      </c>
      <c r="J32" s="651">
        <f>90+49+1</f>
        <v>140</v>
      </c>
      <c r="K32" s="649">
        <v>395</v>
      </c>
      <c r="L32" s="651">
        <f>117+1</f>
        <v>118</v>
      </c>
      <c r="M32" s="649">
        <v>407</v>
      </c>
      <c r="N32" s="647">
        <v>170</v>
      </c>
      <c r="O32" s="650">
        <v>376</v>
      </c>
      <c r="P32" s="1255">
        <f>151+1</f>
        <v>152</v>
      </c>
      <c r="Q32" s="650">
        <v>337</v>
      </c>
      <c r="R32" s="1255">
        <v>146</v>
      </c>
      <c r="S32" s="650">
        <v>324</v>
      </c>
      <c r="T32" s="1255">
        <v>139</v>
      </c>
      <c r="U32" s="650">
        <f>318+2</f>
        <v>320</v>
      </c>
      <c r="V32" s="1255">
        <v>147</v>
      </c>
      <c r="W32" s="650">
        <v>318</v>
      </c>
      <c r="X32" s="1255">
        <v>125</v>
      </c>
      <c r="Y32" s="650">
        <v>296</v>
      </c>
      <c r="Z32" s="1665"/>
      <c r="AB32" s="926">
        <f>AVERAGE(W32,U32,S32,Q32,Y32)</f>
        <v>319</v>
      </c>
      <c r="AC32" s="928">
        <f>AVERAGE(X32,V32,T32,R32,P32)</f>
        <v>141.80000000000001</v>
      </c>
    </row>
    <row r="33" spans="1:29" s="787" customFormat="1" ht="12" customHeight="1" x14ac:dyDescent="0.2">
      <c r="A33" s="786"/>
      <c r="B33" s="645" t="s">
        <v>45</v>
      </c>
      <c r="C33" s="646"/>
      <c r="D33" s="647"/>
      <c r="E33" s="646"/>
      <c r="F33" s="648"/>
      <c r="G33" s="649"/>
      <c r="H33" s="647"/>
      <c r="I33" s="650"/>
      <c r="J33" s="697"/>
      <c r="K33" s="649"/>
      <c r="L33" s="697"/>
      <c r="M33" s="649"/>
      <c r="N33" s="696"/>
      <c r="O33" s="650"/>
      <c r="P33" s="696"/>
      <c r="Q33" s="650"/>
      <c r="R33" s="696"/>
      <c r="S33" s="650"/>
      <c r="T33" s="696"/>
      <c r="U33" s="650"/>
      <c r="V33" s="696"/>
      <c r="W33" s="650"/>
      <c r="X33" s="696"/>
      <c r="Y33" s="650"/>
      <c r="Z33" s="1669"/>
      <c r="AB33" s="926"/>
      <c r="AC33" s="928"/>
    </row>
    <row r="34" spans="1:29" s="787" customFormat="1" ht="12" customHeight="1" x14ac:dyDescent="0.2">
      <c r="A34" s="786"/>
      <c r="B34" s="654" t="s">
        <v>37</v>
      </c>
      <c r="C34" s="646">
        <v>18</v>
      </c>
      <c r="D34" s="658" t="s">
        <v>25</v>
      </c>
      <c r="E34" s="646">
        <f>3+29</f>
        <v>32</v>
      </c>
      <c r="F34" s="658" t="s">
        <v>25</v>
      </c>
      <c r="G34" s="649">
        <v>73</v>
      </c>
      <c r="H34" s="792" t="s">
        <v>25</v>
      </c>
      <c r="I34" s="650">
        <f>29+22+14+18+18</f>
        <v>101</v>
      </c>
      <c r="J34" s="791" t="s">
        <v>25</v>
      </c>
      <c r="K34" s="649">
        <v>109</v>
      </c>
      <c r="L34" s="791" t="s">
        <v>25</v>
      </c>
      <c r="M34" s="649">
        <v>107</v>
      </c>
      <c r="N34" s="792" t="s">
        <v>25</v>
      </c>
      <c r="O34" s="650">
        <v>119</v>
      </c>
      <c r="P34" s="792" t="s">
        <v>25</v>
      </c>
      <c r="Q34" s="650">
        <f>77+1</f>
        <v>78</v>
      </c>
      <c r="R34" s="792" t="s">
        <v>25</v>
      </c>
      <c r="S34" s="650">
        <v>53</v>
      </c>
      <c r="T34" s="792" t="s">
        <v>25</v>
      </c>
      <c r="U34" s="650">
        <v>120</v>
      </c>
      <c r="V34" s="792" t="s">
        <v>25</v>
      </c>
      <c r="W34" s="650">
        <v>131</v>
      </c>
      <c r="X34" s="792" t="s">
        <v>25</v>
      </c>
      <c r="Y34" s="650">
        <v>112</v>
      </c>
      <c r="Z34" s="1668"/>
      <c r="AB34" s="926">
        <f>AVERAGE(W34,U34,S34,Q34,Y34)</f>
        <v>98.8</v>
      </c>
      <c r="AC34" s="1007"/>
    </row>
    <row r="35" spans="1:29" s="787" customFormat="1" ht="12" customHeight="1" x14ac:dyDescent="0.2">
      <c r="A35" s="786"/>
      <c r="B35" s="645" t="s">
        <v>46</v>
      </c>
      <c r="C35" s="646"/>
      <c r="D35" s="647"/>
      <c r="E35" s="646"/>
      <c r="F35" s="648"/>
      <c r="G35" s="649"/>
      <c r="H35" s="647"/>
      <c r="I35" s="650"/>
      <c r="J35" s="648"/>
      <c r="K35" s="649"/>
      <c r="L35" s="648"/>
      <c r="M35" s="649"/>
      <c r="N35" s="647"/>
      <c r="O35" s="650"/>
      <c r="P35" s="647"/>
      <c r="Q35" s="650"/>
      <c r="R35" s="647"/>
      <c r="S35" s="650"/>
      <c r="T35" s="647"/>
      <c r="U35" s="650"/>
      <c r="V35" s="647"/>
      <c r="W35" s="650"/>
      <c r="X35" s="647"/>
      <c r="Y35" s="650"/>
      <c r="Z35" s="1667"/>
      <c r="AB35" s="926"/>
      <c r="AC35" s="928"/>
    </row>
    <row r="36" spans="1:29" s="787" customFormat="1" ht="12" customHeight="1" x14ac:dyDescent="0.2">
      <c r="A36" s="786"/>
      <c r="B36" s="654" t="s">
        <v>37</v>
      </c>
      <c r="C36" s="777">
        <v>125</v>
      </c>
      <c r="D36" s="659">
        <v>0</v>
      </c>
      <c r="E36" s="777">
        <v>153</v>
      </c>
      <c r="F36" s="726">
        <v>0</v>
      </c>
      <c r="G36" s="662">
        <v>331</v>
      </c>
      <c r="H36" s="659">
        <v>0</v>
      </c>
      <c r="I36" s="650">
        <f>52+80+84+72+119</f>
        <v>407</v>
      </c>
      <c r="J36" s="736" t="s">
        <v>25</v>
      </c>
      <c r="K36" s="649">
        <v>401</v>
      </c>
      <c r="L36" s="736" t="s">
        <v>25</v>
      </c>
      <c r="M36" s="649">
        <v>346</v>
      </c>
      <c r="N36" s="658" t="s">
        <v>25</v>
      </c>
      <c r="O36" s="650">
        <v>388</v>
      </c>
      <c r="P36" s="658" t="s">
        <v>25</v>
      </c>
      <c r="Q36" s="650">
        <v>356</v>
      </c>
      <c r="R36" s="658" t="s">
        <v>25</v>
      </c>
      <c r="S36" s="650">
        <v>401</v>
      </c>
      <c r="T36" s="658" t="s">
        <v>25</v>
      </c>
      <c r="U36" s="650">
        <v>530</v>
      </c>
      <c r="V36" s="792" t="s">
        <v>25</v>
      </c>
      <c r="W36" s="650">
        <v>532</v>
      </c>
      <c r="X36" s="792" t="s">
        <v>25</v>
      </c>
      <c r="Y36" s="650">
        <v>491</v>
      </c>
      <c r="Z36" s="1670"/>
      <c r="AA36" s="920"/>
      <c r="AB36" s="926">
        <f>AVERAGE(W36,U36,S36,Q36,Y36)</f>
        <v>462</v>
      </c>
      <c r="AC36" s="1007"/>
    </row>
    <row r="37" spans="1:29" s="787" customFormat="1" ht="12" customHeight="1" x14ac:dyDescent="0.2">
      <c r="A37" s="786"/>
      <c r="B37" s="794" t="s">
        <v>261</v>
      </c>
      <c r="C37" s="646"/>
      <c r="D37" s="647"/>
      <c r="E37" s="646"/>
      <c r="F37" s="648"/>
      <c r="G37" s="649"/>
      <c r="H37" s="647"/>
      <c r="I37" s="650"/>
      <c r="J37" s="648"/>
      <c r="K37" s="649"/>
      <c r="L37" s="648"/>
      <c r="M37" s="649"/>
      <c r="N37" s="696"/>
      <c r="O37" s="650"/>
      <c r="P37" s="647"/>
      <c r="Q37" s="650"/>
      <c r="R37" s="647"/>
      <c r="S37" s="650"/>
      <c r="T37" s="647"/>
      <c r="U37" s="650"/>
      <c r="V37" s="647"/>
      <c r="W37" s="650"/>
      <c r="X37" s="647"/>
      <c r="Y37" s="650"/>
      <c r="Z37" s="1667"/>
      <c r="AB37" s="926"/>
      <c r="AC37" s="928"/>
    </row>
    <row r="38" spans="1:29" s="787" customFormat="1" ht="12" customHeight="1" x14ac:dyDescent="0.2">
      <c r="A38" s="786"/>
      <c r="B38" s="654" t="s">
        <v>37</v>
      </c>
      <c r="C38" s="646">
        <v>17</v>
      </c>
      <c r="D38" s="658" t="s">
        <v>25</v>
      </c>
      <c r="E38" s="646">
        <f>1+15</f>
        <v>16</v>
      </c>
      <c r="F38" s="658" t="s">
        <v>25</v>
      </c>
      <c r="G38" s="649">
        <v>38</v>
      </c>
      <c r="H38" s="792" t="s">
        <v>25</v>
      </c>
      <c r="I38" s="650">
        <v>50</v>
      </c>
      <c r="J38" s="791" t="s">
        <v>25</v>
      </c>
      <c r="K38" s="649">
        <v>48</v>
      </c>
      <c r="L38" s="791" t="s">
        <v>25</v>
      </c>
      <c r="M38" s="649">
        <v>40</v>
      </c>
      <c r="N38" s="792" t="s">
        <v>25</v>
      </c>
      <c r="O38" s="650">
        <v>41</v>
      </c>
      <c r="P38" s="792" t="s">
        <v>25</v>
      </c>
      <c r="Q38" s="650">
        <v>35</v>
      </c>
      <c r="R38" s="792" t="s">
        <v>25</v>
      </c>
      <c r="S38" s="650">
        <v>16</v>
      </c>
      <c r="T38" s="792" t="s">
        <v>25</v>
      </c>
      <c r="U38" s="650">
        <v>37</v>
      </c>
      <c r="V38" s="792" t="s">
        <v>25</v>
      </c>
      <c r="W38" s="650">
        <v>43</v>
      </c>
      <c r="X38" s="792" t="s">
        <v>25</v>
      </c>
      <c r="Y38" s="650">
        <v>51</v>
      </c>
      <c r="Z38" s="1668"/>
      <c r="AB38" s="926">
        <f>AVERAGE(W38,U38,S38,Q38,Y38)</f>
        <v>36.4</v>
      </c>
      <c r="AC38" s="1007"/>
    </row>
    <row r="39" spans="1:29" s="787" customFormat="1" ht="12" customHeight="1" x14ac:dyDescent="0.2">
      <c r="A39" s="786"/>
      <c r="B39" s="645" t="s">
        <v>241</v>
      </c>
      <c r="C39" s="646"/>
      <c r="D39" s="658"/>
      <c r="E39" s="646"/>
      <c r="F39" s="658"/>
      <c r="G39" s="649"/>
      <c r="H39" s="647"/>
      <c r="I39" s="650"/>
      <c r="J39" s="648"/>
      <c r="K39" s="649"/>
      <c r="L39" s="648"/>
      <c r="M39" s="649"/>
      <c r="N39" s="647"/>
      <c r="O39" s="650"/>
      <c r="P39" s="647"/>
      <c r="Q39" s="650"/>
      <c r="R39" s="647"/>
      <c r="S39" s="650"/>
      <c r="T39" s="647"/>
      <c r="U39" s="650"/>
      <c r="V39" s="647"/>
      <c r="W39" s="650"/>
      <c r="X39" s="647"/>
      <c r="Y39" s="650"/>
      <c r="Z39" s="1667"/>
      <c r="AB39" s="926"/>
      <c r="AC39" s="928"/>
    </row>
    <row r="40" spans="1:29" s="787" customFormat="1" ht="12" customHeight="1" x14ac:dyDescent="0.2">
      <c r="A40" s="786"/>
      <c r="B40" s="654" t="s">
        <v>37</v>
      </c>
      <c r="C40" s="646">
        <v>10</v>
      </c>
      <c r="D40" s="658" t="s">
        <v>25</v>
      </c>
      <c r="E40" s="646">
        <f>10+5</f>
        <v>15</v>
      </c>
      <c r="F40" s="658" t="s">
        <v>25</v>
      </c>
      <c r="G40" s="649">
        <v>50</v>
      </c>
      <c r="H40" s="792" t="s">
        <v>25</v>
      </c>
      <c r="I40" s="650">
        <f>40+4+12+8+10</f>
        <v>74</v>
      </c>
      <c r="J40" s="791" t="s">
        <v>25</v>
      </c>
      <c r="K40" s="649">
        <v>74</v>
      </c>
      <c r="L40" s="791" t="s">
        <v>25</v>
      </c>
      <c r="M40" s="649">
        <v>84</v>
      </c>
      <c r="N40" s="792" t="s">
        <v>25</v>
      </c>
      <c r="O40" s="650">
        <v>79</v>
      </c>
      <c r="P40" s="792" t="s">
        <v>25</v>
      </c>
      <c r="Q40" s="650">
        <v>51</v>
      </c>
      <c r="R40" s="792" t="s">
        <v>25</v>
      </c>
      <c r="S40" s="650">
        <v>22</v>
      </c>
      <c r="T40" s="792" t="s">
        <v>25</v>
      </c>
      <c r="U40" s="650">
        <v>67</v>
      </c>
      <c r="V40" s="792" t="s">
        <v>25</v>
      </c>
      <c r="W40" s="650">
        <v>87</v>
      </c>
      <c r="X40" s="792" t="s">
        <v>25</v>
      </c>
      <c r="Y40" s="650">
        <v>90</v>
      </c>
      <c r="Z40" s="1668"/>
      <c r="AB40" s="926">
        <f>AVERAGE(W40,U40,S40,Q40,Y40)</f>
        <v>63.4</v>
      </c>
      <c r="AC40" s="1007"/>
    </row>
    <row r="41" spans="1:29" s="787" customFormat="1" ht="12" customHeight="1" x14ac:dyDescent="0.2">
      <c r="A41" s="786"/>
      <c r="B41" s="645" t="s">
        <v>242</v>
      </c>
      <c r="C41" s="646"/>
      <c r="D41" s="658"/>
      <c r="E41" s="646"/>
      <c r="F41" s="658"/>
      <c r="G41" s="649"/>
      <c r="H41" s="647"/>
      <c r="I41" s="650"/>
      <c r="J41" s="648"/>
      <c r="K41" s="649"/>
      <c r="L41" s="648"/>
      <c r="M41" s="649"/>
      <c r="N41" s="647"/>
      <c r="O41" s="650"/>
      <c r="P41" s="647"/>
      <c r="Q41" s="650"/>
      <c r="R41" s="647"/>
      <c r="S41" s="650"/>
      <c r="T41" s="647"/>
      <c r="U41" s="650"/>
      <c r="V41" s="647"/>
      <c r="W41" s="650"/>
      <c r="X41" s="647"/>
      <c r="Y41" s="650"/>
      <c r="Z41" s="1667"/>
      <c r="AB41" s="926"/>
      <c r="AC41" s="928"/>
    </row>
    <row r="42" spans="1:29" s="787" customFormat="1" ht="12" customHeight="1" x14ac:dyDescent="0.2">
      <c r="A42" s="786"/>
      <c r="B42" s="654" t="s">
        <v>37</v>
      </c>
      <c r="C42" s="646">
        <v>31</v>
      </c>
      <c r="D42" s="658" t="s">
        <v>25</v>
      </c>
      <c r="E42" s="646">
        <f>31+29</f>
        <v>60</v>
      </c>
      <c r="F42" s="658" t="s">
        <v>25</v>
      </c>
      <c r="G42" s="649">
        <v>153</v>
      </c>
      <c r="H42" s="792" t="s">
        <v>25</v>
      </c>
      <c r="I42" s="650">
        <f>121+7+14+14+28</f>
        <v>184</v>
      </c>
      <c r="J42" s="791" t="s">
        <v>25</v>
      </c>
      <c r="K42" s="649">
        <v>157</v>
      </c>
      <c r="L42" s="791" t="s">
        <v>25</v>
      </c>
      <c r="M42" s="649">
        <v>169</v>
      </c>
      <c r="N42" s="792" t="s">
        <v>25</v>
      </c>
      <c r="O42" s="650">
        <v>213</v>
      </c>
      <c r="P42" s="792" t="s">
        <v>25</v>
      </c>
      <c r="Q42" s="650">
        <v>208</v>
      </c>
      <c r="R42" s="792" t="s">
        <v>25</v>
      </c>
      <c r="S42" s="650">
        <v>74</v>
      </c>
      <c r="T42" s="792" t="s">
        <v>25</v>
      </c>
      <c r="U42" s="650">
        <v>238</v>
      </c>
      <c r="V42" s="792" t="s">
        <v>25</v>
      </c>
      <c r="W42" s="650">
        <v>244</v>
      </c>
      <c r="X42" s="792" t="s">
        <v>25</v>
      </c>
      <c r="Y42" s="650">
        <v>216</v>
      </c>
      <c r="Z42" s="1668"/>
      <c r="AB42" s="926">
        <f>AVERAGE(W42,U42,S42,Q42,Y42)</f>
        <v>196</v>
      </c>
      <c r="AC42" s="1007"/>
    </row>
    <row r="43" spans="1:29" s="787" customFormat="1" ht="12" customHeight="1" x14ac:dyDescent="0.2">
      <c r="A43" s="786"/>
      <c r="B43" s="645" t="s">
        <v>262</v>
      </c>
      <c r="C43" s="646"/>
      <c r="D43" s="658"/>
      <c r="E43" s="646"/>
      <c r="F43" s="658"/>
      <c r="G43" s="649"/>
      <c r="H43" s="647"/>
      <c r="I43" s="650"/>
      <c r="J43" s="648"/>
      <c r="K43" s="649"/>
      <c r="L43" s="648"/>
      <c r="M43" s="649"/>
      <c r="N43" s="647"/>
      <c r="O43" s="650"/>
      <c r="P43" s="647"/>
      <c r="Q43" s="650"/>
      <c r="R43" s="647"/>
      <c r="S43" s="650"/>
      <c r="T43" s="647"/>
      <c r="U43" s="650"/>
      <c r="V43" s="647"/>
      <c r="W43" s="650"/>
      <c r="X43" s="647"/>
      <c r="Y43" s="650"/>
      <c r="Z43" s="1667"/>
      <c r="AB43" s="926"/>
      <c r="AC43" s="928"/>
    </row>
    <row r="44" spans="1:29" s="787" customFormat="1" ht="12.75" customHeight="1" x14ac:dyDescent="0.2">
      <c r="A44" s="786"/>
      <c r="B44" s="654" t="s">
        <v>37</v>
      </c>
      <c r="C44" s="650">
        <v>0</v>
      </c>
      <c r="D44" s="658" t="s">
        <v>25</v>
      </c>
      <c r="E44" s="650">
        <v>0</v>
      </c>
      <c r="F44" s="658" t="s">
        <v>25</v>
      </c>
      <c r="G44" s="649">
        <v>3</v>
      </c>
      <c r="H44" s="658" t="s">
        <v>25</v>
      </c>
      <c r="I44" s="649">
        <v>1</v>
      </c>
      <c r="J44" s="736" t="s">
        <v>25</v>
      </c>
      <c r="K44" s="649">
        <v>1</v>
      </c>
      <c r="L44" s="658" t="s">
        <v>25</v>
      </c>
      <c r="M44" s="649">
        <v>2</v>
      </c>
      <c r="N44" s="658" t="s">
        <v>25</v>
      </c>
      <c r="O44" s="650">
        <v>1</v>
      </c>
      <c r="P44" s="658" t="s">
        <v>25</v>
      </c>
      <c r="Q44" s="650">
        <v>0</v>
      </c>
      <c r="R44" s="658" t="s">
        <v>25</v>
      </c>
      <c r="S44" s="650">
        <v>0</v>
      </c>
      <c r="T44" s="658" t="s">
        <v>25</v>
      </c>
      <c r="U44" s="650">
        <v>0</v>
      </c>
      <c r="V44" s="658" t="s">
        <v>25</v>
      </c>
      <c r="W44" s="650">
        <v>1</v>
      </c>
      <c r="X44" s="792" t="s">
        <v>25</v>
      </c>
      <c r="Y44" s="650">
        <v>0</v>
      </c>
      <c r="Z44" s="1666"/>
      <c r="AB44" s="926">
        <f>AVERAGE(W44,U44,S44,Q44,Y44)</f>
        <v>0.2</v>
      </c>
      <c r="AC44" s="1007"/>
    </row>
    <row r="45" spans="1:29" s="617" customFormat="1" ht="12" customHeight="1" x14ac:dyDescent="0.2">
      <c r="A45" s="780"/>
      <c r="B45" s="790" t="s">
        <v>263</v>
      </c>
      <c r="C45" s="646"/>
      <c r="D45" s="647"/>
      <c r="E45" s="646"/>
      <c r="F45" s="648"/>
      <c r="G45" s="676"/>
      <c r="H45" s="647"/>
      <c r="I45" s="646"/>
      <c r="J45" s="648"/>
      <c r="K45" s="676"/>
      <c r="L45" s="648"/>
      <c r="M45" s="676"/>
      <c r="N45" s="647"/>
      <c r="O45" s="646"/>
      <c r="P45" s="647"/>
      <c r="Q45" s="646"/>
      <c r="R45" s="647"/>
      <c r="S45" s="646"/>
      <c r="T45" s="647"/>
      <c r="U45" s="646"/>
      <c r="V45" s="647"/>
      <c r="W45" s="646"/>
      <c r="X45" s="647"/>
      <c r="Y45" s="646"/>
      <c r="Z45" s="1667"/>
      <c r="AB45" s="926"/>
      <c r="AC45" s="928"/>
    </row>
    <row r="46" spans="1:29" s="617" customFormat="1" ht="12" customHeight="1" x14ac:dyDescent="0.2">
      <c r="A46" s="780"/>
      <c r="B46" s="654" t="s">
        <v>37</v>
      </c>
      <c r="C46" s="646">
        <v>9</v>
      </c>
      <c r="D46" s="658" t="s">
        <v>25</v>
      </c>
      <c r="E46" s="646">
        <f>2+5</f>
        <v>7</v>
      </c>
      <c r="F46" s="658" t="s">
        <v>25</v>
      </c>
      <c r="G46" s="649">
        <v>21</v>
      </c>
      <c r="H46" s="792" t="s">
        <v>25</v>
      </c>
      <c r="I46" s="650">
        <v>29</v>
      </c>
      <c r="J46" s="791" t="s">
        <v>25</v>
      </c>
      <c r="K46" s="649">
        <v>21</v>
      </c>
      <c r="L46" s="791" t="s">
        <v>25</v>
      </c>
      <c r="M46" s="649">
        <v>24</v>
      </c>
      <c r="N46" s="792" t="s">
        <v>25</v>
      </c>
      <c r="O46" s="650">
        <v>32</v>
      </c>
      <c r="P46" s="792" t="s">
        <v>25</v>
      </c>
      <c r="Q46" s="650">
        <v>31</v>
      </c>
      <c r="R46" s="792" t="s">
        <v>25</v>
      </c>
      <c r="S46" s="650">
        <v>26</v>
      </c>
      <c r="T46" s="792" t="s">
        <v>25</v>
      </c>
      <c r="U46" s="650">
        <v>72</v>
      </c>
      <c r="V46" s="792" t="s">
        <v>25</v>
      </c>
      <c r="W46" s="650">
        <v>86</v>
      </c>
      <c r="X46" s="792" t="s">
        <v>25</v>
      </c>
      <c r="Y46" s="650">
        <v>87</v>
      </c>
      <c r="Z46" s="1668"/>
      <c r="AB46" s="926">
        <f>AVERAGE(W46,U46,S46,Q46,Y46)</f>
        <v>60.4</v>
      </c>
      <c r="AC46" s="1007"/>
    </row>
    <row r="47" spans="1:29" s="617" customFormat="1" ht="12" customHeight="1" x14ac:dyDescent="0.2">
      <c r="A47" s="780"/>
      <c r="B47" s="645" t="s">
        <v>243</v>
      </c>
      <c r="C47" s="646"/>
      <c r="D47" s="658"/>
      <c r="E47" s="646"/>
      <c r="F47" s="658"/>
      <c r="G47" s="649"/>
      <c r="H47" s="647"/>
      <c r="I47" s="650"/>
      <c r="J47" s="791"/>
      <c r="K47" s="649"/>
      <c r="L47" s="791"/>
      <c r="M47" s="649"/>
      <c r="N47" s="792"/>
      <c r="O47" s="650"/>
      <c r="P47" s="792"/>
      <c r="Q47" s="650"/>
      <c r="R47" s="792"/>
      <c r="S47" s="650"/>
      <c r="T47" s="792"/>
      <c r="U47" s="650"/>
      <c r="V47" s="792"/>
      <c r="W47" s="650"/>
      <c r="X47" s="647"/>
      <c r="Y47" s="650"/>
      <c r="Z47" s="1668"/>
      <c r="AB47" s="926"/>
      <c r="AC47" s="928"/>
    </row>
    <row r="48" spans="1:29" s="617" customFormat="1" ht="12" customHeight="1" x14ac:dyDescent="0.2">
      <c r="A48" s="780"/>
      <c r="B48" s="654" t="s">
        <v>37</v>
      </c>
      <c r="C48" s="646">
        <v>0</v>
      </c>
      <c r="D48" s="658" t="s">
        <v>25</v>
      </c>
      <c r="E48" s="646">
        <v>1</v>
      </c>
      <c r="F48" s="658" t="s">
        <v>25</v>
      </c>
      <c r="G48" s="649">
        <v>1</v>
      </c>
      <c r="H48" s="795" t="s">
        <v>25</v>
      </c>
      <c r="I48" s="650">
        <v>0</v>
      </c>
      <c r="J48" s="791" t="s">
        <v>25</v>
      </c>
      <c r="K48" s="649">
        <v>2</v>
      </c>
      <c r="L48" s="791" t="s">
        <v>25</v>
      </c>
      <c r="M48" s="649">
        <v>1</v>
      </c>
      <c r="N48" s="792" t="s">
        <v>25</v>
      </c>
      <c r="O48" s="650">
        <v>3</v>
      </c>
      <c r="P48" s="792" t="s">
        <v>25</v>
      </c>
      <c r="Q48" s="650">
        <v>1</v>
      </c>
      <c r="R48" s="792" t="s">
        <v>25</v>
      </c>
      <c r="S48" s="650">
        <v>1</v>
      </c>
      <c r="T48" s="792" t="s">
        <v>25</v>
      </c>
      <c r="U48" s="650">
        <v>5</v>
      </c>
      <c r="V48" s="792" t="s">
        <v>25</v>
      </c>
      <c r="W48" s="650">
        <v>3</v>
      </c>
      <c r="X48" s="792" t="s">
        <v>25</v>
      </c>
      <c r="Y48" s="650">
        <v>4</v>
      </c>
      <c r="Z48" s="1668"/>
      <c r="AB48" s="926">
        <f>AVERAGE(W48,U48,S48,Q48,Y48)</f>
        <v>2.8</v>
      </c>
      <c r="AC48" s="1007"/>
    </row>
    <row r="49" spans="1:29" s="617" customFormat="1" ht="12" customHeight="1" x14ac:dyDescent="0.2">
      <c r="A49" s="780"/>
      <c r="B49" s="645" t="s">
        <v>244</v>
      </c>
      <c r="C49" s="646"/>
      <c r="D49" s="658"/>
      <c r="E49" s="646"/>
      <c r="F49" s="658"/>
      <c r="G49" s="649"/>
      <c r="H49" s="696"/>
      <c r="I49" s="650"/>
      <c r="J49" s="736"/>
      <c r="K49" s="649"/>
      <c r="L49" s="736"/>
      <c r="M49" s="649"/>
      <c r="N49" s="658"/>
      <c r="O49" s="650"/>
      <c r="P49" s="658"/>
      <c r="Q49" s="650"/>
      <c r="R49" s="658"/>
      <c r="S49" s="650"/>
      <c r="T49" s="658"/>
      <c r="U49" s="650"/>
      <c r="V49" s="658"/>
      <c r="W49" s="650"/>
      <c r="X49" s="647"/>
      <c r="Y49" s="650"/>
      <c r="Z49" s="1666"/>
      <c r="AB49" s="926"/>
      <c r="AC49" s="928"/>
    </row>
    <row r="50" spans="1:29" s="617" customFormat="1" ht="12" customHeight="1" x14ac:dyDescent="0.2">
      <c r="A50" s="780"/>
      <c r="B50" s="654" t="s">
        <v>37</v>
      </c>
      <c r="C50" s="646">
        <v>809</v>
      </c>
      <c r="D50" s="658" t="s">
        <v>25</v>
      </c>
      <c r="E50" s="646">
        <v>769</v>
      </c>
      <c r="F50" s="658" t="s">
        <v>25</v>
      </c>
      <c r="G50" s="649">
        <v>334</v>
      </c>
      <c r="H50" s="658" t="s">
        <v>25</v>
      </c>
      <c r="I50" s="650">
        <f>55</f>
        <v>55</v>
      </c>
      <c r="J50" s="791" t="s">
        <v>25</v>
      </c>
      <c r="K50" s="649">
        <f>74</f>
        <v>74</v>
      </c>
      <c r="L50" s="791" t="s">
        <v>25</v>
      </c>
      <c r="M50" s="649">
        <v>391</v>
      </c>
      <c r="N50" s="792" t="s">
        <v>25</v>
      </c>
      <c r="O50" s="650">
        <v>13</v>
      </c>
      <c r="P50" s="792" t="s">
        <v>25</v>
      </c>
      <c r="Q50" s="650">
        <f>2+1</f>
        <v>3</v>
      </c>
      <c r="R50" s="792" t="s">
        <v>25</v>
      </c>
      <c r="S50" s="650">
        <v>2</v>
      </c>
      <c r="T50" s="792" t="s">
        <v>25</v>
      </c>
      <c r="U50" s="650">
        <v>0</v>
      </c>
      <c r="V50" s="792" t="s">
        <v>25</v>
      </c>
      <c r="W50" s="650">
        <v>1</v>
      </c>
      <c r="X50" s="792" t="s">
        <v>25</v>
      </c>
      <c r="Y50" s="650">
        <v>0</v>
      </c>
      <c r="Z50" s="1668"/>
      <c r="AB50" s="926">
        <f>AVERAGE(W50,U50,S50,Q50,Y50)</f>
        <v>1.2</v>
      </c>
      <c r="AC50" s="1007"/>
    </row>
    <row r="51" spans="1:29" s="617" customFormat="1" ht="12" customHeight="1" x14ac:dyDescent="0.2">
      <c r="A51" s="780"/>
      <c r="B51" s="645" t="s">
        <v>245</v>
      </c>
      <c r="C51" s="646"/>
      <c r="D51" s="658"/>
      <c r="E51" s="646"/>
      <c r="F51" s="658"/>
      <c r="G51" s="649"/>
      <c r="H51" s="792"/>
      <c r="I51" s="650"/>
      <c r="J51" s="791"/>
      <c r="K51" s="649"/>
      <c r="L51" s="791"/>
      <c r="M51" s="649"/>
      <c r="N51" s="792"/>
      <c r="O51" s="650"/>
      <c r="P51" s="792"/>
      <c r="Q51" s="650"/>
      <c r="R51" s="792"/>
      <c r="S51" s="650"/>
      <c r="T51" s="792"/>
      <c r="U51" s="650"/>
      <c r="V51" s="792"/>
      <c r="W51" s="650"/>
      <c r="X51" s="647"/>
      <c r="Y51" s="650"/>
      <c r="Z51" s="1668"/>
      <c r="AB51" s="926"/>
      <c r="AC51" s="928"/>
    </row>
    <row r="52" spans="1:29" s="617" customFormat="1" ht="12" customHeight="1" x14ac:dyDescent="0.2">
      <c r="A52" s="780"/>
      <c r="B52" s="654" t="s">
        <v>37</v>
      </c>
      <c r="C52" s="655"/>
      <c r="D52" s="797"/>
      <c r="E52" s="655"/>
      <c r="F52" s="797"/>
      <c r="G52" s="819"/>
      <c r="H52" s="822"/>
      <c r="I52" s="650">
        <v>29</v>
      </c>
      <c r="J52" s="791" t="s">
        <v>25</v>
      </c>
      <c r="K52" s="649">
        <v>19</v>
      </c>
      <c r="L52" s="791" t="s">
        <v>25</v>
      </c>
      <c r="M52" s="649">
        <v>15</v>
      </c>
      <c r="N52" s="792" t="s">
        <v>25</v>
      </c>
      <c r="O52" s="650">
        <v>31</v>
      </c>
      <c r="P52" s="792" t="s">
        <v>25</v>
      </c>
      <c r="Q52" s="650">
        <v>23</v>
      </c>
      <c r="R52" s="792" t="s">
        <v>25</v>
      </c>
      <c r="S52" s="650">
        <v>17</v>
      </c>
      <c r="T52" s="792" t="s">
        <v>25</v>
      </c>
      <c r="U52" s="650">
        <v>35</v>
      </c>
      <c r="V52" s="792" t="s">
        <v>25</v>
      </c>
      <c r="W52" s="650">
        <v>38</v>
      </c>
      <c r="X52" s="792" t="s">
        <v>25</v>
      </c>
      <c r="Y52" s="650">
        <v>31</v>
      </c>
      <c r="Z52" s="1668"/>
      <c r="AB52" s="926">
        <f>AVERAGE(W52,U52,S52,Q52,Y52)</f>
        <v>28.8</v>
      </c>
      <c r="AC52" s="1007"/>
    </row>
    <row r="53" spans="1:29" s="617" customFormat="1" ht="12" customHeight="1" x14ac:dyDescent="0.2">
      <c r="A53" s="780"/>
      <c r="B53" s="645" t="s">
        <v>246</v>
      </c>
      <c r="C53" s="655"/>
      <c r="D53" s="797"/>
      <c r="E53" s="655"/>
      <c r="F53" s="797"/>
      <c r="G53" s="819"/>
      <c r="H53" s="822"/>
      <c r="I53" s="650"/>
      <c r="J53" s="791"/>
      <c r="K53" s="649"/>
      <c r="L53" s="791"/>
      <c r="M53" s="649"/>
      <c r="N53" s="792"/>
      <c r="O53" s="650"/>
      <c r="P53" s="792"/>
      <c r="Q53" s="650"/>
      <c r="R53" s="792"/>
      <c r="S53" s="650"/>
      <c r="T53" s="792"/>
      <c r="U53" s="650"/>
      <c r="V53" s="792"/>
      <c r="W53" s="650"/>
      <c r="X53" s="647"/>
      <c r="Y53" s="650"/>
      <c r="Z53" s="1668"/>
      <c r="AB53" s="926"/>
      <c r="AC53" s="928"/>
    </row>
    <row r="54" spans="1:29" s="617" customFormat="1" ht="12" customHeight="1" x14ac:dyDescent="0.2">
      <c r="A54" s="780"/>
      <c r="B54" s="654" t="s">
        <v>37</v>
      </c>
      <c r="C54" s="655"/>
      <c r="D54" s="797"/>
      <c r="E54" s="655"/>
      <c r="F54" s="797"/>
      <c r="G54" s="819"/>
      <c r="H54" s="822"/>
      <c r="I54" s="650">
        <v>69</v>
      </c>
      <c r="J54" s="791" t="s">
        <v>25</v>
      </c>
      <c r="K54" s="649">
        <v>58</v>
      </c>
      <c r="L54" s="791" t="s">
        <v>25</v>
      </c>
      <c r="M54" s="649">
        <v>63</v>
      </c>
      <c r="N54" s="792" t="s">
        <v>25</v>
      </c>
      <c r="O54" s="650">
        <v>83</v>
      </c>
      <c r="P54" s="792" t="s">
        <v>25</v>
      </c>
      <c r="Q54" s="650">
        <v>75</v>
      </c>
      <c r="R54" s="792" t="s">
        <v>25</v>
      </c>
      <c r="S54" s="650">
        <v>59</v>
      </c>
      <c r="T54" s="792" t="s">
        <v>25</v>
      </c>
      <c r="U54" s="650">
        <v>106</v>
      </c>
      <c r="V54" s="792" t="s">
        <v>25</v>
      </c>
      <c r="W54" s="650">
        <v>112</v>
      </c>
      <c r="X54" s="792" t="s">
        <v>25</v>
      </c>
      <c r="Y54" s="650">
        <v>115</v>
      </c>
      <c r="Z54" s="1668"/>
      <c r="AB54" s="926">
        <f>AVERAGE(W54,U54,S54,Q54,Y54)</f>
        <v>93.4</v>
      </c>
      <c r="AC54" s="1007"/>
    </row>
    <row r="55" spans="1:29" s="617" customFormat="1" ht="12" customHeight="1" x14ac:dyDescent="0.2">
      <c r="A55" s="780"/>
      <c r="B55" s="645" t="s">
        <v>264</v>
      </c>
      <c r="C55" s="646"/>
      <c r="D55" s="658"/>
      <c r="E55" s="646"/>
      <c r="F55" s="658"/>
      <c r="G55" s="649"/>
      <c r="H55" s="647"/>
      <c r="I55" s="650"/>
      <c r="J55" s="791"/>
      <c r="K55" s="649"/>
      <c r="L55" s="791"/>
      <c r="M55" s="649"/>
      <c r="N55" s="792"/>
      <c r="O55" s="650"/>
      <c r="P55" s="792"/>
      <c r="Q55" s="650"/>
      <c r="R55" s="792"/>
      <c r="S55" s="650"/>
      <c r="T55" s="792"/>
      <c r="U55" s="650"/>
      <c r="V55" s="792"/>
      <c r="W55" s="650"/>
      <c r="X55" s="792"/>
      <c r="Y55" s="650"/>
      <c r="Z55" s="1668"/>
      <c r="AB55" s="926"/>
      <c r="AC55" s="928"/>
    </row>
    <row r="56" spans="1:29" s="617" customFormat="1" ht="12" customHeight="1" x14ac:dyDescent="0.2">
      <c r="A56" s="780"/>
      <c r="B56" s="654" t="s">
        <v>37</v>
      </c>
      <c r="C56" s="646">
        <v>44</v>
      </c>
      <c r="D56" s="658" t="s">
        <v>25</v>
      </c>
      <c r="E56" s="646">
        <f>3+68</f>
        <v>71</v>
      </c>
      <c r="F56" s="658" t="s">
        <v>25</v>
      </c>
      <c r="G56" s="649">
        <v>126</v>
      </c>
      <c r="H56" s="658" t="s">
        <v>25</v>
      </c>
      <c r="I56" s="650">
        <v>130</v>
      </c>
      <c r="J56" s="791" t="s">
        <v>25</v>
      </c>
      <c r="K56" s="649">
        <v>131</v>
      </c>
      <c r="L56" s="791" t="s">
        <v>25</v>
      </c>
      <c r="M56" s="649">
        <v>118</v>
      </c>
      <c r="N56" s="792" t="s">
        <v>25</v>
      </c>
      <c r="O56" s="650">
        <v>141</v>
      </c>
      <c r="P56" s="792" t="s">
        <v>25</v>
      </c>
      <c r="Q56" s="650">
        <v>132</v>
      </c>
      <c r="R56" s="792" t="s">
        <v>25</v>
      </c>
      <c r="S56" s="650">
        <v>134</v>
      </c>
      <c r="T56" s="792" t="s">
        <v>25</v>
      </c>
      <c r="U56" s="650">
        <v>193</v>
      </c>
      <c r="V56" s="792" t="s">
        <v>25</v>
      </c>
      <c r="W56" s="650">
        <v>245</v>
      </c>
      <c r="X56" s="792" t="s">
        <v>25</v>
      </c>
      <c r="Y56" s="650">
        <v>196</v>
      </c>
      <c r="Z56" s="1668"/>
      <c r="AB56" s="926">
        <f>AVERAGE(W56,U56,S56,Q56,Y56)</f>
        <v>180</v>
      </c>
      <c r="AC56" s="1007"/>
    </row>
    <row r="57" spans="1:29" s="617" customFormat="1" ht="12" customHeight="1" x14ac:dyDescent="0.2">
      <c r="A57" s="780"/>
      <c r="B57" s="645" t="s">
        <v>60</v>
      </c>
      <c r="C57" s="646"/>
      <c r="D57" s="658"/>
      <c r="E57" s="646"/>
      <c r="F57" s="658"/>
      <c r="G57" s="649"/>
      <c r="H57" s="647"/>
      <c r="I57" s="650"/>
      <c r="J57" s="791"/>
      <c r="K57" s="649"/>
      <c r="L57" s="791"/>
      <c r="M57" s="649"/>
      <c r="N57" s="792"/>
      <c r="O57" s="650"/>
      <c r="P57" s="792"/>
      <c r="Q57" s="650"/>
      <c r="R57" s="792"/>
      <c r="S57" s="650"/>
      <c r="T57" s="792"/>
      <c r="U57" s="650"/>
      <c r="V57" s="792"/>
      <c r="W57" s="650"/>
      <c r="X57" s="647"/>
      <c r="Y57" s="650"/>
      <c r="Z57" s="1668"/>
      <c r="AB57" s="926"/>
      <c r="AC57" s="928"/>
    </row>
    <row r="58" spans="1:29" s="617" customFormat="1" ht="12" customHeight="1" x14ac:dyDescent="0.2">
      <c r="A58" s="780"/>
      <c r="B58" s="654" t="s">
        <v>37</v>
      </c>
      <c r="C58" s="646">
        <v>282</v>
      </c>
      <c r="D58" s="658" t="s">
        <v>25</v>
      </c>
      <c r="E58" s="646">
        <v>287</v>
      </c>
      <c r="F58" s="658" t="s">
        <v>25</v>
      </c>
      <c r="G58" s="649">
        <v>281</v>
      </c>
      <c r="H58" s="792" t="s">
        <v>25</v>
      </c>
      <c r="I58" s="650">
        <f>56+55+40+114+13</f>
        <v>278</v>
      </c>
      <c r="J58" s="791" t="s">
        <v>25</v>
      </c>
      <c r="K58" s="649">
        <v>269</v>
      </c>
      <c r="L58" s="791" t="s">
        <v>25</v>
      </c>
      <c r="M58" s="649">
        <v>205</v>
      </c>
      <c r="N58" s="792" t="s">
        <v>25</v>
      </c>
      <c r="O58" s="650">
        <v>239</v>
      </c>
      <c r="P58" s="792" t="s">
        <v>25</v>
      </c>
      <c r="Q58" s="650">
        <v>257</v>
      </c>
      <c r="R58" s="792" t="s">
        <v>25</v>
      </c>
      <c r="S58" s="650">
        <v>272</v>
      </c>
      <c r="T58" s="792" t="s">
        <v>25</v>
      </c>
      <c r="U58" s="650">
        <v>327</v>
      </c>
      <c r="V58" s="792" t="s">
        <v>25</v>
      </c>
      <c r="W58" s="650">
        <v>333</v>
      </c>
      <c r="X58" s="792" t="s">
        <v>25</v>
      </c>
      <c r="Y58" s="650">
        <v>288</v>
      </c>
      <c r="Z58" s="1668"/>
      <c r="AB58" s="926">
        <f>AVERAGE(W58,U58,S58,Q58,Y58)</f>
        <v>295.39999999999998</v>
      </c>
      <c r="AC58" s="1007"/>
    </row>
    <row r="59" spans="1:29" s="617" customFormat="1" ht="12" customHeight="1" x14ac:dyDescent="0.2">
      <c r="A59" s="780"/>
      <c r="B59" s="790" t="s">
        <v>265</v>
      </c>
      <c r="C59" s="646"/>
      <c r="D59" s="792"/>
      <c r="E59" s="646"/>
      <c r="F59" s="792"/>
      <c r="G59" s="649"/>
      <c r="H59" s="647"/>
      <c r="I59" s="650"/>
      <c r="J59" s="791"/>
      <c r="K59" s="649"/>
      <c r="L59" s="791"/>
      <c r="M59" s="649"/>
      <c r="N59" s="792"/>
      <c r="O59" s="650"/>
      <c r="P59" s="792"/>
      <c r="Q59" s="650"/>
      <c r="R59" s="792"/>
      <c r="S59" s="650"/>
      <c r="T59" s="792"/>
      <c r="U59" s="650"/>
      <c r="V59" s="792"/>
      <c r="W59" s="650"/>
      <c r="X59" s="792"/>
      <c r="Y59" s="650"/>
      <c r="Z59" s="1668"/>
      <c r="AB59" s="926"/>
      <c r="AC59" s="928"/>
    </row>
    <row r="60" spans="1:29" s="617" customFormat="1" ht="12" customHeight="1" x14ac:dyDescent="0.2">
      <c r="A60" s="780"/>
      <c r="B60" s="793" t="s">
        <v>80</v>
      </c>
      <c r="C60" s="777">
        <v>0</v>
      </c>
      <c r="D60" s="659">
        <v>0</v>
      </c>
      <c r="E60" s="777">
        <v>0</v>
      </c>
      <c r="F60" s="659">
        <v>0</v>
      </c>
      <c r="G60" s="662">
        <v>0</v>
      </c>
      <c r="H60" s="659">
        <v>0</v>
      </c>
      <c r="I60" s="664">
        <v>0</v>
      </c>
      <c r="J60" s="726">
        <v>0</v>
      </c>
      <c r="K60" s="662">
        <v>0</v>
      </c>
      <c r="L60" s="726">
        <v>0</v>
      </c>
      <c r="M60" s="662">
        <v>0</v>
      </c>
      <c r="N60" s="659">
        <v>0</v>
      </c>
      <c r="O60" s="664">
        <v>0</v>
      </c>
      <c r="P60" s="659">
        <v>0</v>
      </c>
      <c r="Q60" s="664">
        <v>0</v>
      </c>
      <c r="R60" s="659">
        <v>0</v>
      </c>
      <c r="S60" s="664">
        <v>0</v>
      </c>
      <c r="T60" s="659">
        <v>0</v>
      </c>
      <c r="U60" s="664">
        <v>0</v>
      </c>
      <c r="V60" s="659">
        <v>0</v>
      </c>
      <c r="W60" s="664">
        <v>2</v>
      </c>
      <c r="X60" s="659">
        <v>0</v>
      </c>
      <c r="Y60" s="664">
        <v>2</v>
      </c>
      <c r="Z60" s="1671"/>
      <c r="AB60" s="926">
        <f>AVERAGE(W60,U60,S60,Q60,Y60)</f>
        <v>0.8</v>
      </c>
      <c r="AC60" s="1007">
        <f>AVERAGE(X60,V60,T60,R60,P60)</f>
        <v>0</v>
      </c>
    </row>
    <row r="61" spans="1:29" s="617" customFormat="1" ht="12" customHeight="1" x14ac:dyDescent="0.2">
      <c r="A61" s="780"/>
      <c r="B61" s="790" t="s">
        <v>235</v>
      </c>
      <c r="C61" s="646"/>
      <c r="D61" s="792"/>
      <c r="E61" s="646"/>
      <c r="F61" s="792"/>
      <c r="G61" s="649"/>
      <c r="H61" s="696"/>
      <c r="I61" s="650"/>
      <c r="J61" s="665"/>
      <c r="K61" s="662"/>
      <c r="L61" s="665"/>
      <c r="M61" s="649"/>
      <c r="N61" s="658"/>
      <c r="O61" s="650"/>
      <c r="P61" s="658"/>
      <c r="Q61" s="650"/>
      <c r="R61" s="658"/>
      <c r="S61" s="650"/>
      <c r="T61" s="658"/>
      <c r="U61" s="650"/>
      <c r="V61" s="658"/>
      <c r="W61" s="650" t="s">
        <v>157</v>
      </c>
      <c r="X61" s="658"/>
      <c r="Y61" s="650"/>
      <c r="Z61" s="1666"/>
      <c r="AB61" s="926"/>
      <c r="AC61" s="928"/>
    </row>
    <row r="62" spans="1:29" s="617" customFormat="1" ht="12" customHeight="1" x14ac:dyDescent="0.2">
      <c r="A62" s="780"/>
      <c r="B62" s="654" t="s">
        <v>37</v>
      </c>
      <c r="C62" s="650">
        <f>1387-2</f>
        <v>1385</v>
      </c>
      <c r="D62" s="658" t="s">
        <v>25</v>
      </c>
      <c r="E62" s="650">
        <f>1383-1</f>
        <v>1382</v>
      </c>
      <c r="F62" s="658" t="s">
        <v>25</v>
      </c>
      <c r="G62" s="649">
        <v>1282</v>
      </c>
      <c r="H62" s="658" t="s">
        <v>25</v>
      </c>
      <c r="I62" s="650">
        <v>1337</v>
      </c>
      <c r="J62" s="791" t="s">
        <v>25</v>
      </c>
      <c r="K62" s="662">
        <v>1302</v>
      </c>
      <c r="L62" s="791" t="s">
        <v>25</v>
      </c>
      <c r="M62" s="649">
        <v>1333</v>
      </c>
      <c r="N62" s="658" t="s">
        <v>25</v>
      </c>
      <c r="O62" s="650">
        <f>1205+40</f>
        <v>1245</v>
      </c>
      <c r="P62" s="792" t="s">
        <v>25</v>
      </c>
      <c r="Q62" s="650">
        <v>1196</v>
      </c>
      <c r="R62" s="792" t="s">
        <v>25</v>
      </c>
      <c r="S62" s="650">
        <v>1164</v>
      </c>
      <c r="T62" s="792" t="s">
        <v>25</v>
      </c>
      <c r="U62" s="650">
        <f>72+1087</f>
        <v>1159</v>
      </c>
      <c r="V62" s="792" t="s">
        <v>25</v>
      </c>
      <c r="W62" s="650">
        <f>163+98+1135</f>
        <v>1396</v>
      </c>
      <c r="X62" s="792" t="s">
        <v>25</v>
      </c>
      <c r="Y62" s="650">
        <f>981+63</f>
        <v>1044</v>
      </c>
      <c r="Z62" s="1668"/>
      <c r="AB62" s="926">
        <f>AVERAGE(W62,U62,S62,Q62,Y62)</f>
        <v>1191.8</v>
      </c>
      <c r="AC62" s="1007"/>
    </row>
    <row r="63" spans="1:29" s="617" customFormat="1" ht="12" customHeight="1" x14ac:dyDescent="0.2">
      <c r="A63" s="780"/>
      <c r="B63" s="752" t="s">
        <v>287</v>
      </c>
      <c r="D63" s="800"/>
      <c r="E63" s="799"/>
      <c r="F63" s="800"/>
      <c r="H63" s="798"/>
      <c r="I63" s="662"/>
      <c r="J63" s="665"/>
      <c r="K63" s="662"/>
      <c r="L63" s="665"/>
      <c r="M63" s="662"/>
      <c r="N63" s="658"/>
      <c r="O63" s="664"/>
      <c r="P63" s="658"/>
      <c r="Q63" s="664"/>
      <c r="R63" s="658"/>
      <c r="S63" s="664"/>
      <c r="T63" s="658"/>
      <c r="U63" s="664"/>
      <c r="V63" s="658"/>
      <c r="W63" s="664"/>
      <c r="X63" s="658"/>
      <c r="Y63" s="664"/>
      <c r="Z63" s="1666"/>
      <c r="AB63" s="926"/>
      <c r="AC63" s="928"/>
    </row>
    <row r="64" spans="1:29" s="617" customFormat="1" ht="12" customHeight="1" x14ac:dyDescent="0.2">
      <c r="A64" s="780"/>
      <c r="B64" s="796" t="s">
        <v>166</v>
      </c>
      <c r="C64" s="662">
        <v>27</v>
      </c>
      <c r="D64" s="680"/>
      <c r="E64" s="664">
        <v>24</v>
      </c>
      <c r="F64" s="697">
        <v>1</v>
      </c>
      <c r="G64" s="662">
        <v>22</v>
      </c>
      <c r="H64" s="696">
        <v>3</v>
      </c>
      <c r="I64" s="664">
        <v>16</v>
      </c>
      <c r="J64" s="666">
        <v>2</v>
      </c>
      <c r="K64" s="662">
        <v>15</v>
      </c>
      <c r="L64" s="666">
        <v>2</v>
      </c>
      <c r="M64" s="662">
        <v>13</v>
      </c>
      <c r="N64" s="663">
        <v>1</v>
      </c>
      <c r="O64" s="664">
        <v>8</v>
      </c>
      <c r="P64" s="1403">
        <v>6</v>
      </c>
      <c r="Q64" s="664">
        <f>3+1</f>
        <v>4</v>
      </c>
      <c r="R64" s="1403">
        <v>0</v>
      </c>
      <c r="S64" s="664">
        <v>0</v>
      </c>
      <c r="T64" s="1403">
        <v>11</v>
      </c>
      <c r="U64" s="664">
        <v>0</v>
      </c>
      <c r="V64" s="1403">
        <v>6</v>
      </c>
      <c r="W64" s="664">
        <v>0</v>
      </c>
      <c r="X64" s="663">
        <v>5</v>
      </c>
      <c r="Y64" s="664">
        <v>0</v>
      </c>
      <c r="Z64" s="1672"/>
      <c r="AB64" s="926">
        <f>AVERAGE(W64,U64,S64,Q64,Y64)</f>
        <v>0.8</v>
      </c>
      <c r="AC64" s="928">
        <f>AVERAGE(X64,V64,T64,R64,P64)</f>
        <v>5.6</v>
      </c>
    </row>
    <row r="65" spans="1:29" s="617" customFormat="1" ht="12" customHeight="1" x14ac:dyDescent="0.2">
      <c r="A65" s="780"/>
      <c r="B65" s="790" t="s">
        <v>266</v>
      </c>
      <c r="C65" s="664"/>
      <c r="D65" s="792"/>
      <c r="E65" s="664"/>
      <c r="F65" s="736"/>
      <c r="G65" s="662"/>
      <c r="H65" s="658"/>
      <c r="I65" s="664"/>
      <c r="J65" s="666"/>
      <c r="K65" s="662"/>
      <c r="L65" s="666"/>
      <c r="M65" s="662"/>
      <c r="N65" s="663"/>
      <c r="O65" s="664"/>
      <c r="P65" s="1403"/>
      <c r="Q65" s="664"/>
      <c r="R65" s="1403"/>
      <c r="S65" s="664"/>
      <c r="T65" s="1403"/>
      <c r="U65" s="664"/>
      <c r="V65" s="1403"/>
      <c r="W65" s="664"/>
      <c r="X65" s="663"/>
      <c r="Y65" s="664"/>
      <c r="Z65" s="1672"/>
      <c r="AB65" s="926"/>
      <c r="AC65" s="928"/>
    </row>
    <row r="66" spans="1:29" s="617" customFormat="1" ht="12" customHeight="1" x14ac:dyDescent="0.2">
      <c r="A66" s="780"/>
      <c r="B66" s="654" t="s">
        <v>37</v>
      </c>
      <c r="C66" s="664">
        <v>2</v>
      </c>
      <c r="D66" s="658" t="s">
        <v>25</v>
      </c>
      <c r="E66" s="664">
        <v>1</v>
      </c>
      <c r="F66" s="658" t="s">
        <v>25</v>
      </c>
      <c r="G66" s="664">
        <v>0</v>
      </c>
      <c r="H66" s="658" t="s">
        <v>25</v>
      </c>
      <c r="I66" s="664">
        <v>3</v>
      </c>
      <c r="J66" s="736" t="s">
        <v>25</v>
      </c>
      <c r="K66" s="662">
        <v>2</v>
      </c>
      <c r="L66" s="736" t="s">
        <v>25</v>
      </c>
      <c r="M66" s="662">
        <v>7</v>
      </c>
      <c r="N66" s="663" t="s">
        <v>25</v>
      </c>
      <c r="O66" s="664">
        <v>55</v>
      </c>
      <c r="P66" s="663" t="s">
        <v>25</v>
      </c>
      <c r="Q66" s="664">
        <v>17</v>
      </c>
      <c r="R66" s="663" t="s">
        <v>25</v>
      </c>
      <c r="S66" s="664">
        <f>49+6</f>
        <v>55</v>
      </c>
      <c r="T66" s="663" t="s">
        <v>25</v>
      </c>
      <c r="U66" s="664">
        <v>46</v>
      </c>
      <c r="V66" s="663" t="s">
        <v>25</v>
      </c>
      <c r="W66" s="664">
        <v>52</v>
      </c>
      <c r="X66" s="792" t="s">
        <v>25</v>
      </c>
      <c r="Y66" s="664">
        <v>30</v>
      </c>
      <c r="Z66" s="1646"/>
      <c r="AB66" s="926">
        <f>AVERAGE(W66,U66,S66,Q66,Y66)</f>
        <v>40</v>
      </c>
      <c r="AC66" s="1007"/>
    </row>
    <row r="67" spans="1:29" s="617" customFormat="1" ht="12" customHeight="1" x14ac:dyDescent="0.2">
      <c r="A67" s="780"/>
      <c r="B67" s="654" t="s">
        <v>178</v>
      </c>
      <c r="C67" s="820"/>
      <c r="D67" s="797"/>
      <c r="E67" s="820"/>
      <c r="F67" s="797"/>
      <c r="G67" s="820"/>
      <c r="H67" s="797"/>
      <c r="I67" s="820"/>
      <c r="J67" s="829"/>
      <c r="K67" s="821"/>
      <c r="L67" s="829"/>
      <c r="M67" s="662">
        <v>35</v>
      </c>
      <c r="N67" s="663" t="s">
        <v>25</v>
      </c>
      <c r="O67" s="664">
        <f>1+71</f>
        <v>72</v>
      </c>
      <c r="P67" s="663" t="s">
        <v>25</v>
      </c>
      <c r="Q67" s="664">
        <f>43+15</f>
        <v>58</v>
      </c>
      <c r="R67" s="663" t="s">
        <v>25</v>
      </c>
      <c r="S67" s="664">
        <v>28</v>
      </c>
      <c r="T67" s="663" t="s">
        <v>25</v>
      </c>
      <c r="U67" s="664">
        <v>46</v>
      </c>
      <c r="V67" s="663" t="s">
        <v>25</v>
      </c>
      <c r="W67" s="664">
        <v>85</v>
      </c>
      <c r="X67" s="792" t="s">
        <v>25</v>
      </c>
      <c r="Y67" s="664">
        <v>23</v>
      </c>
      <c r="Z67" s="1646"/>
      <c r="AB67" s="926">
        <f>AVERAGE(W67,U67,S67,Q67,Y67)</f>
        <v>48</v>
      </c>
      <c r="AC67" s="1007"/>
    </row>
    <row r="68" spans="1:29" hidden="1" x14ac:dyDescent="0.2"/>
    <row r="69" spans="1:29" hidden="1" x14ac:dyDescent="0.2"/>
    <row r="70" spans="1:29" s="617" customFormat="1" ht="12" customHeight="1" x14ac:dyDescent="0.2">
      <c r="A70" s="780"/>
      <c r="B70" s="645" t="s">
        <v>153</v>
      </c>
      <c r="C70" s="664"/>
      <c r="D70" s="658"/>
      <c r="E70" s="662"/>
      <c r="F70" s="658"/>
      <c r="G70" s="664"/>
      <c r="H70" s="658"/>
      <c r="I70" s="664"/>
      <c r="J70" s="663"/>
      <c r="K70" s="662"/>
      <c r="L70" s="665"/>
      <c r="M70" s="662"/>
      <c r="N70" s="658"/>
      <c r="O70" s="664"/>
      <c r="P70" s="658"/>
      <c r="Q70" s="664"/>
      <c r="R70" s="658"/>
      <c r="S70" s="664"/>
      <c r="T70" s="658"/>
      <c r="U70" s="664"/>
      <c r="V70" s="658"/>
      <c r="W70" s="664"/>
      <c r="X70" s="658"/>
      <c r="Y70" s="664"/>
      <c r="Z70" s="1666"/>
      <c r="AB70" s="926"/>
      <c r="AC70" s="928"/>
    </row>
    <row r="71" spans="1:29" s="617" customFormat="1" ht="12" customHeight="1" thickBot="1" x14ac:dyDescent="0.25">
      <c r="A71" s="780"/>
      <c r="B71" s="784" t="s">
        <v>81</v>
      </c>
      <c r="C71" s="717"/>
      <c r="D71" s="774"/>
      <c r="E71" s="715"/>
      <c r="F71" s="774"/>
      <c r="G71" s="717"/>
      <c r="H71" s="774"/>
      <c r="I71" s="762"/>
      <c r="J71" s="763"/>
      <c r="K71" s="1404"/>
      <c r="L71" s="769"/>
      <c r="M71" s="1404"/>
      <c r="N71" s="765"/>
      <c r="O71" s="762"/>
      <c r="P71" s="765"/>
      <c r="Q71" s="717">
        <v>0</v>
      </c>
      <c r="R71" s="716">
        <v>7</v>
      </c>
      <c r="S71" s="717">
        <v>0</v>
      </c>
      <c r="T71" s="716">
        <v>0</v>
      </c>
      <c r="U71" s="717">
        <v>0</v>
      </c>
      <c r="V71" s="716">
        <v>2</v>
      </c>
      <c r="W71" s="717">
        <v>0</v>
      </c>
      <c r="X71" s="716">
        <v>3</v>
      </c>
      <c r="Y71" s="717">
        <v>0</v>
      </c>
      <c r="Z71" s="1648"/>
      <c r="AB71" s="929">
        <f>AVERAGE(W71,U71,S71,Q71,Y71)</f>
        <v>0</v>
      </c>
      <c r="AC71" s="1441">
        <f>AVERAGE(X71,V71,T71,R71,P71)</f>
        <v>3</v>
      </c>
    </row>
    <row r="72" spans="1:29" ht="12" customHeight="1" thickTop="1" x14ac:dyDescent="0.2">
      <c r="B72" s="70" t="s">
        <v>216</v>
      </c>
      <c r="C72" s="133"/>
      <c r="D72" s="133"/>
      <c r="E72" s="133"/>
      <c r="F72" s="135"/>
      <c r="G72" s="133"/>
      <c r="H72" s="135"/>
      <c r="I72" s="133"/>
      <c r="J72" s="133"/>
      <c r="K72" s="133"/>
      <c r="L72" s="133"/>
      <c r="M72" s="133"/>
      <c r="N72" s="135"/>
      <c r="O72" s="133"/>
      <c r="P72" s="135"/>
      <c r="Q72" s="133"/>
      <c r="R72" s="135"/>
      <c r="S72" s="133"/>
      <c r="T72" s="133"/>
      <c r="U72" s="133"/>
      <c r="V72" s="1861"/>
      <c r="W72" s="133"/>
      <c r="X72" s="133"/>
      <c r="Y72" s="133"/>
      <c r="Z72" s="133"/>
    </row>
    <row r="73" spans="1:29" ht="12" customHeight="1" x14ac:dyDescent="0.2">
      <c r="A73" s="1"/>
      <c r="B73" s="70" t="s">
        <v>180</v>
      </c>
      <c r="C73" s="133"/>
      <c r="D73" s="135"/>
      <c r="E73" s="133"/>
      <c r="F73" s="135"/>
      <c r="G73" s="133"/>
      <c r="H73" s="135"/>
      <c r="I73" s="133"/>
      <c r="J73" s="135"/>
      <c r="K73" s="133"/>
      <c r="L73" s="135"/>
      <c r="M73" s="133"/>
      <c r="N73" s="135"/>
      <c r="O73" s="133"/>
      <c r="P73" s="135"/>
      <c r="Q73" s="133"/>
      <c r="R73" s="135"/>
      <c r="S73" s="133"/>
      <c r="T73" s="135"/>
      <c r="U73" s="133"/>
      <c r="V73" s="420"/>
      <c r="W73" s="133"/>
      <c r="X73" s="135"/>
      <c r="Y73" s="133"/>
      <c r="Z73" s="135"/>
    </row>
    <row r="74" spans="1:29" ht="12" customHeight="1" thickBot="1" x14ac:dyDescent="0.25">
      <c r="A74" s="1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422"/>
      <c r="W74" s="117"/>
      <c r="X74" s="117"/>
      <c r="Y74" s="117"/>
      <c r="Z74" s="117"/>
    </row>
    <row r="75" spans="1:29" ht="12" customHeight="1" thickTop="1" thickBot="1" x14ac:dyDescent="0.25">
      <c r="A75" s="1"/>
      <c r="B75" s="328"/>
      <c r="C75" s="1994" t="s">
        <v>49</v>
      </c>
      <c r="D75" s="1980"/>
      <c r="E75" s="1968" t="s">
        <v>50</v>
      </c>
      <c r="F75" s="1968"/>
      <c r="G75" s="1994" t="s">
        <v>141</v>
      </c>
      <c r="H75" s="1980"/>
      <c r="I75" s="1968" t="s">
        <v>152</v>
      </c>
      <c r="J75" s="1968"/>
      <c r="K75" s="1994" t="s">
        <v>154</v>
      </c>
      <c r="L75" s="1968"/>
      <c r="M75" s="1994" t="s">
        <v>171</v>
      </c>
      <c r="N75" s="1980"/>
      <c r="O75" s="1968" t="s">
        <v>227</v>
      </c>
      <c r="P75" s="1980"/>
      <c r="Q75" s="1968" t="s">
        <v>237</v>
      </c>
      <c r="R75" s="1980"/>
      <c r="S75" s="1968" t="s">
        <v>272</v>
      </c>
      <c r="T75" s="1980"/>
      <c r="U75" s="1968" t="s">
        <v>274</v>
      </c>
      <c r="V75" s="1980"/>
      <c r="W75" s="1968" t="s">
        <v>280</v>
      </c>
      <c r="X75" s="1980"/>
      <c r="Y75" s="1968" t="s">
        <v>290</v>
      </c>
      <c r="Z75" s="1969"/>
      <c r="AB75" s="2003" t="s">
        <v>213</v>
      </c>
      <c r="AC75" s="2004"/>
    </row>
    <row r="76" spans="1:29" ht="12" customHeight="1" x14ac:dyDescent="0.2">
      <c r="A76" s="1"/>
      <c r="B76" s="80" t="s">
        <v>7</v>
      </c>
      <c r="C76" s="239"/>
      <c r="D76" s="245"/>
      <c r="E76" s="138"/>
      <c r="F76" s="138"/>
      <c r="G76" s="243"/>
      <c r="H76" s="244"/>
      <c r="I76" s="138"/>
      <c r="J76" s="138"/>
      <c r="K76" s="243"/>
      <c r="L76" s="138"/>
      <c r="M76" s="243"/>
      <c r="N76" s="244"/>
      <c r="O76" s="138"/>
      <c r="P76" s="244"/>
      <c r="Q76" s="138"/>
      <c r="R76" s="244"/>
      <c r="S76" s="138"/>
      <c r="T76" s="244"/>
      <c r="U76" s="138"/>
      <c r="V76" s="244"/>
      <c r="W76" s="138"/>
      <c r="X76" s="244"/>
      <c r="Y76" s="138"/>
      <c r="Z76" s="140"/>
      <c r="AB76" s="831"/>
      <c r="AC76" s="930"/>
    </row>
    <row r="77" spans="1:29" ht="12" customHeight="1" x14ac:dyDescent="0.2">
      <c r="A77" s="1"/>
      <c r="B77" s="78" t="s">
        <v>8</v>
      </c>
      <c r="C77" s="239"/>
      <c r="D77" s="245"/>
      <c r="E77" s="139"/>
      <c r="F77" s="139"/>
      <c r="G77" s="239"/>
      <c r="H77" s="245"/>
      <c r="I77" s="139"/>
      <c r="J77" s="139"/>
      <c r="K77" s="239"/>
      <c r="L77" s="139"/>
      <c r="M77" s="239"/>
      <c r="N77" s="245"/>
      <c r="O77" s="139"/>
      <c r="P77" s="245"/>
      <c r="Q77" s="139"/>
      <c r="R77" s="245"/>
      <c r="S77" s="139"/>
      <c r="T77" s="245"/>
      <c r="U77" s="139"/>
      <c r="V77" s="245"/>
      <c r="W77" s="139"/>
      <c r="X77" s="245"/>
      <c r="Y77" s="139"/>
      <c r="Z77" s="141"/>
      <c r="AB77" s="831"/>
      <c r="AC77" s="930"/>
    </row>
    <row r="78" spans="1:29" ht="12" customHeight="1" x14ac:dyDescent="0.2">
      <c r="A78" s="1"/>
      <c r="B78" s="78" t="s">
        <v>9</v>
      </c>
      <c r="C78" s="239"/>
      <c r="D78" s="238">
        <v>4430</v>
      </c>
      <c r="E78" s="139"/>
      <c r="F78" s="183">
        <v>6839</v>
      </c>
      <c r="G78" s="239"/>
      <c r="H78" s="261">
        <f>5144+81+28+17+229+2394</f>
        <v>7893</v>
      </c>
      <c r="I78" s="139"/>
      <c r="J78" s="183">
        <f>8199+1086</f>
        <v>9285</v>
      </c>
      <c r="K78" s="239"/>
      <c r="L78" s="183">
        <f>8507+120+31+48+283</f>
        <v>8989</v>
      </c>
      <c r="M78" s="239"/>
      <c r="N78" s="261">
        <v>15117</v>
      </c>
      <c r="O78" s="139"/>
      <c r="P78" s="261">
        <v>18019</v>
      </c>
      <c r="Q78" s="139"/>
      <c r="R78" s="261">
        <f>12601+151+50+304+34</f>
        <v>13140</v>
      </c>
      <c r="S78" s="139"/>
      <c r="T78" s="261">
        <f>SUM(11036+549)</f>
        <v>11585</v>
      </c>
      <c r="U78" s="139"/>
      <c r="V78" s="261">
        <f>17813+565</f>
        <v>18378</v>
      </c>
      <c r="W78" s="139"/>
      <c r="X78" s="261">
        <v>15330</v>
      </c>
      <c r="Y78" s="139"/>
      <c r="Z78" s="1649"/>
      <c r="AB78" s="24"/>
      <c r="AC78" s="947">
        <f>AVERAGE(P78,X78,V78,T78,R78)</f>
        <v>15290.4</v>
      </c>
    </row>
    <row r="79" spans="1:29" ht="12" customHeight="1" x14ac:dyDescent="0.2">
      <c r="A79" s="1"/>
      <c r="B79" s="78" t="s">
        <v>10</v>
      </c>
      <c r="C79" s="239"/>
      <c r="D79" s="238">
        <v>667</v>
      </c>
      <c r="E79" s="139"/>
      <c r="F79" s="183">
        <v>1121</v>
      </c>
      <c r="G79" s="239"/>
      <c r="H79" s="261">
        <f>482+171+432+648</f>
        <v>1733</v>
      </c>
      <c r="I79" s="139"/>
      <c r="J79" s="183">
        <f>1025+363</f>
        <v>1388</v>
      </c>
      <c r="K79" s="239"/>
      <c r="L79" s="183">
        <f>414+258+429</f>
        <v>1101</v>
      </c>
      <c r="M79" s="239"/>
      <c r="N79" s="261">
        <v>1276</v>
      </c>
      <c r="O79" s="139"/>
      <c r="P79" s="261">
        <v>1130</v>
      </c>
      <c r="Q79" s="139"/>
      <c r="R79" s="261">
        <f>256+206+478</f>
        <v>940</v>
      </c>
      <c r="S79" s="139"/>
      <c r="T79" s="261">
        <f>SUM(300+622)</f>
        <v>922</v>
      </c>
      <c r="U79" s="139"/>
      <c r="V79" s="261">
        <f>222+538</f>
        <v>760</v>
      </c>
      <c r="W79" s="139"/>
      <c r="X79" s="261">
        <v>747</v>
      </c>
      <c r="Y79" s="139"/>
      <c r="Z79" s="1649"/>
      <c r="AB79" s="12"/>
      <c r="AC79" s="947">
        <f t="shared" ref="AC79:AC82" si="0">AVERAGE(P79,X79,V79,T79,R79)</f>
        <v>899.8</v>
      </c>
    </row>
    <row r="80" spans="1:29" ht="12" customHeight="1" x14ac:dyDescent="0.2">
      <c r="A80" s="1"/>
      <c r="B80" s="78" t="s">
        <v>11</v>
      </c>
      <c r="C80" s="239"/>
      <c r="D80" s="238">
        <v>39</v>
      </c>
      <c r="E80" s="139"/>
      <c r="F80" s="183">
        <v>39</v>
      </c>
      <c r="G80" s="239"/>
      <c r="H80" s="261">
        <v>42</v>
      </c>
      <c r="I80" s="139"/>
      <c r="J80" s="183">
        <v>39</v>
      </c>
      <c r="K80" s="239"/>
      <c r="L80" s="183">
        <v>174</v>
      </c>
      <c r="M80" s="239"/>
      <c r="N80" s="261">
        <v>107</v>
      </c>
      <c r="O80" s="139"/>
      <c r="P80" s="261">
        <v>144</v>
      </c>
      <c r="Q80" s="139"/>
      <c r="R80" s="261">
        <f>83+82</f>
        <v>165</v>
      </c>
      <c r="S80" s="139"/>
      <c r="T80" s="261">
        <v>84</v>
      </c>
      <c r="U80" s="139"/>
      <c r="V80" s="261">
        <v>129</v>
      </c>
      <c r="W80" s="139"/>
      <c r="X80" s="261">
        <v>84</v>
      </c>
      <c r="Y80" s="139"/>
      <c r="Z80" s="1649"/>
      <c r="AB80" s="12"/>
      <c r="AC80" s="947">
        <f t="shared" si="0"/>
        <v>121.2</v>
      </c>
    </row>
    <row r="81" spans="1:32" ht="12" customHeight="1" x14ac:dyDescent="0.2">
      <c r="A81" s="1"/>
      <c r="B81" s="78" t="s">
        <v>12</v>
      </c>
      <c r="C81" s="239"/>
      <c r="D81" s="240">
        <v>0</v>
      </c>
      <c r="E81" s="139"/>
      <c r="F81" s="241">
        <v>0</v>
      </c>
      <c r="G81" s="264"/>
      <c r="H81" s="413">
        <v>0</v>
      </c>
      <c r="I81" s="251"/>
      <c r="J81" s="450">
        <v>0</v>
      </c>
      <c r="K81" s="264"/>
      <c r="L81" s="450">
        <v>0</v>
      </c>
      <c r="M81" s="264"/>
      <c r="N81" s="413">
        <v>0</v>
      </c>
      <c r="O81" s="251"/>
      <c r="P81" s="413">
        <v>0</v>
      </c>
      <c r="Q81" s="251"/>
      <c r="R81" s="413">
        <v>0</v>
      </c>
      <c r="S81" s="251"/>
      <c r="T81" s="413">
        <v>0</v>
      </c>
      <c r="U81" s="251"/>
      <c r="V81" s="413">
        <v>0</v>
      </c>
      <c r="W81" s="251"/>
      <c r="X81" s="413">
        <v>0</v>
      </c>
      <c r="Y81" s="251"/>
      <c r="Z81" s="1673"/>
      <c r="AB81" s="12"/>
      <c r="AC81" s="947">
        <f t="shared" si="0"/>
        <v>0</v>
      </c>
    </row>
    <row r="82" spans="1:32" ht="12" customHeight="1" thickBot="1" x14ac:dyDescent="0.25">
      <c r="A82" s="1"/>
      <c r="B82" s="79" t="s">
        <v>13</v>
      </c>
      <c r="C82" s="246"/>
      <c r="D82" s="247">
        <f>SUM(D78:D81)</f>
        <v>5136</v>
      </c>
      <c r="E82" s="164"/>
      <c r="F82" s="242">
        <f>SUM(F78:F81)</f>
        <v>7999</v>
      </c>
      <c r="G82" s="246"/>
      <c r="H82" s="247">
        <f>SUM(H78:H81)</f>
        <v>9668</v>
      </c>
      <c r="I82" s="164"/>
      <c r="J82" s="242">
        <f>SUM(J78:J81)</f>
        <v>10712</v>
      </c>
      <c r="K82" s="246"/>
      <c r="L82" s="242">
        <f>SUM(L78:L81)</f>
        <v>10264</v>
      </c>
      <c r="M82" s="246"/>
      <c r="N82" s="247">
        <f>SUM(N78:N81)</f>
        <v>16500</v>
      </c>
      <c r="O82" s="164"/>
      <c r="P82" s="247">
        <f>SUM(P78:P81)</f>
        <v>19293</v>
      </c>
      <c r="Q82" s="164"/>
      <c r="R82" s="247">
        <f>SUM(R78:R81)</f>
        <v>14245</v>
      </c>
      <c r="S82" s="164"/>
      <c r="T82" s="247">
        <f>SUM(T78:T81)</f>
        <v>12591</v>
      </c>
      <c r="U82" s="164"/>
      <c r="V82" s="247">
        <f>SUM(V78:V81)</f>
        <v>19267</v>
      </c>
      <c r="W82" s="164"/>
      <c r="X82" s="247">
        <f>SUM(X78:X81)</f>
        <v>16161</v>
      </c>
      <c r="Y82" s="164"/>
      <c r="Z82" s="1651">
        <f>SUM(Z78:Z81)</f>
        <v>0</v>
      </c>
      <c r="AB82" s="946"/>
      <c r="AC82" s="1008">
        <f t="shared" si="0"/>
        <v>16311.4</v>
      </c>
    </row>
    <row r="83" spans="1:32" ht="12" customHeight="1" thickTop="1" thickBot="1" x14ac:dyDescent="0.25">
      <c r="A83" s="930"/>
      <c r="B83" s="931" t="s">
        <v>212</v>
      </c>
      <c r="C83" s="1992" t="s">
        <v>51</v>
      </c>
      <c r="D83" s="1997"/>
      <c r="E83" s="1992" t="s">
        <v>52</v>
      </c>
      <c r="F83" s="1997"/>
      <c r="G83" s="1989" t="s">
        <v>184</v>
      </c>
      <c r="H83" s="1981"/>
      <c r="I83" s="1989" t="s">
        <v>185</v>
      </c>
      <c r="J83" s="2005"/>
      <c r="K83" s="1989" t="s">
        <v>202</v>
      </c>
      <c r="L83" s="2005"/>
      <c r="M83" s="1991" t="s">
        <v>203</v>
      </c>
      <c r="N83" s="1981"/>
      <c r="O83" s="1970" t="s">
        <v>228</v>
      </c>
      <c r="P83" s="1981"/>
      <c r="Q83" s="1970" t="s">
        <v>238</v>
      </c>
      <c r="R83" s="1981"/>
      <c r="S83" s="1970" t="s">
        <v>273</v>
      </c>
      <c r="T83" s="1981"/>
      <c r="U83" s="1970" t="s">
        <v>275</v>
      </c>
      <c r="V83" s="1981"/>
      <c r="W83" s="1970" t="s">
        <v>281</v>
      </c>
      <c r="X83" s="1981"/>
      <c r="Y83" s="1970" t="s">
        <v>291</v>
      </c>
      <c r="Z83" s="1971"/>
      <c r="AA83" s="932"/>
      <c r="AB83" s="2009"/>
      <c r="AC83" s="2010"/>
      <c r="AD83" s="293"/>
      <c r="AE83" s="293"/>
      <c r="AF83" s="21"/>
    </row>
    <row r="84" spans="1:32" ht="12" customHeight="1" x14ac:dyDescent="0.2">
      <c r="A84" s="930"/>
      <c r="B84" s="933" t="s">
        <v>189</v>
      </c>
      <c r="C84" s="2016">
        <v>0</v>
      </c>
      <c r="D84" s="2017"/>
      <c r="E84" s="1995">
        <v>0.32100000000000001</v>
      </c>
      <c r="F84" s="1996"/>
      <c r="G84" s="1995">
        <v>0.154</v>
      </c>
      <c r="H84" s="1996"/>
      <c r="I84" s="1995">
        <v>0.21299999999999999</v>
      </c>
      <c r="J84" s="2006"/>
      <c r="K84" s="934"/>
      <c r="L84" s="935">
        <v>0.09</v>
      </c>
      <c r="M84" s="936"/>
      <c r="N84" s="1178">
        <v>0.372</v>
      </c>
      <c r="O84" s="1176"/>
      <c r="P84" s="1178">
        <v>9.9000000000000005E-2</v>
      </c>
      <c r="Q84" s="1271"/>
      <c r="R84" s="1178">
        <v>0.124</v>
      </c>
      <c r="S84" s="1271"/>
      <c r="T84" s="1178">
        <v>0.16</v>
      </c>
      <c r="U84" s="1271"/>
      <c r="V84" s="1178">
        <v>0.27900000000000003</v>
      </c>
      <c r="W84" s="1271"/>
      <c r="X84" s="1178">
        <v>0.28899999999999998</v>
      </c>
      <c r="Y84" s="1271"/>
      <c r="Z84" s="1479">
        <v>0.16700000000000001</v>
      </c>
      <c r="AA84" s="937"/>
      <c r="AB84" s="938"/>
      <c r="AC84" s="1048">
        <f>AVERAGE(Z84,X84,V84,T84,R84)</f>
        <v>0.20380000000000004</v>
      </c>
      <c r="AD84" s="293"/>
      <c r="AE84" s="293"/>
      <c r="AF84" s="21"/>
    </row>
    <row r="85" spans="1:32" ht="12" customHeight="1" x14ac:dyDescent="0.2">
      <c r="A85" s="930"/>
      <c r="B85" s="940" t="s">
        <v>190</v>
      </c>
      <c r="C85" s="2018">
        <v>0</v>
      </c>
      <c r="D85" s="2019"/>
      <c r="E85" s="2000">
        <v>0</v>
      </c>
      <c r="F85" s="2001"/>
      <c r="G85" s="2000">
        <v>0</v>
      </c>
      <c r="H85" s="2001"/>
      <c r="I85" s="2000">
        <v>0</v>
      </c>
      <c r="J85" s="2011"/>
      <c r="K85" s="941"/>
      <c r="L85" s="942">
        <v>0</v>
      </c>
      <c r="M85" s="941"/>
      <c r="N85" s="1179">
        <v>0</v>
      </c>
      <c r="O85" s="1177"/>
      <c r="P85" s="1179">
        <v>0</v>
      </c>
      <c r="Q85" s="1272"/>
      <c r="R85" s="1179">
        <v>0</v>
      </c>
      <c r="S85" s="1272"/>
      <c r="T85" s="1179">
        <v>0</v>
      </c>
      <c r="U85" s="1272"/>
      <c r="V85" s="1179">
        <v>0</v>
      </c>
      <c r="W85" s="1272"/>
      <c r="X85" s="1179">
        <v>0</v>
      </c>
      <c r="Y85" s="1272"/>
      <c r="Z85" s="1480">
        <v>0</v>
      </c>
      <c r="AA85" s="937"/>
      <c r="AB85" s="938"/>
      <c r="AC85" s="1048">
        <f t="shared" ref="AC85" si="1">AVERAGE(Z85,X85,V85,T85,R85)</f>
        <v>0</v>
      </c>
      <c r="AD85" s="293"/>
      <c r="AE85" s="293"/>
      <c r="AF85" s="21"/>
    </row>
    <row r="86" spans="1:32" ht="12.75" customHeight="1" thickBot="1" x14ac:dyDescent="0.25">
      <c r="A86" s="3"/>
      <c r="B86" s="943" t="s">
        <v>191</v>
      </c>
      <c r="C86" s="1998">
        <f>1-C84-C85</f>
        <v>1</v>
      </c>
      <c r="D86" s="1999"/>
      <c r="E86" s="1998">
        <f>1-E84-E85</f>
        <v>0.67900000000000005</v>
      </c>
      <c r="F86" s="1999"/>
      <c r="G86" s="1998">
        <f>1-G84-G85</f>
        <v>0.84599999999999997</v>
      </c>
      <c r="H86" s="1999"/>
      <c r="I86" s="1998">
        <f>1-I84-I85</f>
        <v>0.78700000000000003</v>
      </c>
      <c r="J86" s="1999"/>
      <c r="K86" s="1998">
        <f>1-L84-L85</f>
        <v>0.91</v>
      </c>
      <c r="L86" s="1999"/>
      <c r="M86" s="1998">
        <f>1-N84-N85</f>
        <v>0.628</v>
      </c>
      <c r="N86" s="1999"/>
      <c r="O86" s="2012">
        <f>1-P84-P85</f>
        <v>0.90100000000000002</v>
      </c>
      <c r="P86" s="1999"/>
      <c r="Q86" s="1972">
        <f>1-R84-R85</f>
        <v>0.876</v>
      </c>
      <c r="R86" s="1973"/>
      <c r="S86" s="1972">
        <f>1-T84-T85</f>
        <v>0.84</v>
      </c>
      <c r="T86" s="1973"/>
      <c r="U86" s="1972">
        <f>1-V84-V85</f>
        <v>0.72099999999999997</v>
      </c>
      <c r="V86" s="1973"/>
      <c r="W86" s="1972">
        <f>1-X84-X85</f>
        <v>0.71100000000000008</v>
      </c>
      <c r="X86" s="1973"/>
      <c r="Y86" s="1972">
        <f>1-Z84-Z85</f>
        <v>0.83299999999999996</v>
      </c>
      <c r="Z86" s="1973"/>
      <c r="AA86" s="937"/>
      <c r="AB86" s="2007">
        <f>1-AC84-AC85</f>
        <v>0.79620000000000002</v>
      </c>
      <c r="AC86" s="2008"/>
      <c r="AD86" s="1050"/>
      <c r="AE86" s="293"/>
      <c r="AF86" s="21"/>
    </row>
    <row r="87" spans="1:32" s="3" customFormat="1" thickTop="1" x14ac:dyDescent="0.2">
      <c r="B87" s="109"/>
      <c r="C87" s="145"/>
      <c r="D87" s="293"/>
      <c r="E87" s="145"/>
      <c r="F87" s="293"/>
      <c r="G87" s="145"/>
      <c r="H87" s="293"/>
      <c r="I87" s="145"/>
      <c r="J87" s="293"/>
      <c r="K87" s="145"/>
      <c r="L87" s="293"/>
      <c r="M87" s="145"/>
      <c r="N87" s="293"/>
      <c r="O87" s="145"/>
      <c r="P87" s="293"/>
      <c r="Q87" s="145"/>
      <c r="R87" s="293"/>
      <c r="S87" s="145"/>
      <c r="T87" s="293"/>
      <c r="U87" s="145"/>
      <c r="V87" s="147"/>
      <c r="W87" s="145"/>
      <c r="X87" s="293"/>
      <c r="Y87" s="145"/>
      <c r="Z87" s="293"/>
      <c r="AC87" s="578"/>
    </row>
    <row r="88" spans="1:32" s="3" customFormat="1" x14ac:dyDescent="0.2">
      <c r="A88" s="112" t="s">
        <v>68</v>
      </c>
      <c r="B88" s="9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</row>
    <row r="89" spans="1:32" s="3" customFormat="1" ht="13.5" thickBot="1" x14ac:dyDescent="0.25">
      <c r="A89" s="112"/>
      <c r="B89" s="9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583"/>
      <c r="W89" s="136"/>
      <c r="X89" s="136"/>
      <c r="Y89" s="136"/>
      <c r="Z89" s="136"/>
    </row>
    <row r="90" spans="1:32" s="3" customFormat="1" ht="14.25" thickTop="1" thickBot="1" x14ac:dyDescent="0.25">
      <c r="A90" s="2"/>
      <c r="B90" s="329" t="s">
        <v>69</v>
      </c>
      <c r="C90" s="2002" t="s">
        <v>49</v>
      </c>
      <c r="D90" s="1982"/>
      <c r="E90" s="1974" t="s">
        <v>50</v>
      </c>
      <c r="F90" s="1974"/>
      <c r="G90" s="2002" t="s">
        <v>141</v>
      </c>
      <c r="H90" s="1982"/>
      <c r="I90" s="1974" t="s">
        <v>152</v>
      </c>
      <c r="J90" s="1974"/>
      <c r="K90" s="2002" t="s">
        <v>154</v>
      </c>
      <c r="L90" s="1974"/>
      <c r="M90" s="2002" t="s">
        <v>171</v>
      </c>
      <c r="N90" s="1982"/>
      <c r="O90" s="1974" t="s">
        <v>227</v>
      </c>
      <c r="P90" s="1982"/>
      <c r="Q90" s="1974" t="s">
        <v>237</v>
      </c>
      <c r="R90" s="1982"/>
      <c r="S90" s="1974" t="s">
        <v>272</v>
      </c>
      <c r="T90" s="1982"/>
      <c r="U90" s="1974" t="s">
        <v>274</v>
      </c>
      <c r="V90" s="1982"/>
      <c r="W90" s="1974" t="s">
        <v>280</v>
      </c>
      <c r="X90" s="1982"/>
      <c r="Y90" s="1974" t="s">
        <v>290</v>
      </c>
      <c r="Z90" s="1975"/>
      <c r="AB90" s="2003" t="s">
        <v>213</v>
      </c>
      <c r="AC90" s="2004"/>
    </row>
    <row r="91" spans="1:32" s="3" customFormat="1" x14ac:dyDescent="0.2">
      <c r="A91" s="2"/>
      <c r="B91" s="330" t="s">
        <v>70</v>
      </c>
      <c r="C91" s="239"/>
      <c r="D91" s="245"/>
      <c r="E91" s="139"/>
      <c r="F91" s="139"/>
      <c r="G91" s="239"/>
      <c r="H91" s="245"/>
      <c r="I91" s="139"/>
      <c r="J91" s="139"/>
      <c r="K91" s="239"/>
      <c r="L91" s="139"/>
      <c r="M91" s="239"/>
      <c r="N91" s="245"/>
      <c r="O91" s="139"/>
      <c r="P91" s="245"/>
      <c r="Q91" s="139"/>
      <c r="R91" s="245"/>
      <c r="S91" s="139"/>
      <c r="T91" s="245"/>
      <c r="U91" s="139"/>
      <c r="V91" s="245"/>
      <c r="W91" s="139"/>
      <c r="X91" s="245"/>
      <c r="Y91" s="139"/>
      <c r="Z91" s="141"/>
      <c r="AB91" s="831"/>
      <c r="AC91" s="930"/>
      <c r="AE91" s="3" t="s">
        <v>29</v>
      </c>
    </row>
    <row r="92" spans="1:32" s="3" customFormat="1" x14ac:dyDescent="0.2">
      <c r="A92" s="2"/>
      <c r="B92" s="331" t="s">
        <v>71</v>
      </c>
      <c r="C92" s="243"/>
      <c r="D92" s="416">
        <f>1845930+794541+5374338+41900+41545</f>
        <v>8098254</v>
      </c>
      <c r="E92" s="138"/>
      <c r="F92" s="451">
        <f>2872037+5822057+44361+63627</f>
        <v>8802082</v>
      </c>
      <c r="G92" s="243"/>
      <c r="H92" s="416">
        <f>2908863+5967381+45027+44302</f>
        <v>8965573</v>
      </c>
      <c r="I92" s="138"/>
      <c r="J92" s="451">
        <f>2624336+6607547+46512+45871+'Amer Ethnic Stud'!J34+'Women''s Studies'!J36</f>
        <v>9659655</v>
      </c>
      <c r="K92" s="243"/>
      <c r="L92" s="451">
        <f>1811535+8460633+48781+48155+'Amer Ethnic Stud'!L34+'Women''s Studies'!L36</f>
        <v>10785266</v>
      </c>
      <c r="M92" s="243"/>
      <c r="N92" s="369">
        <f>1998331+7715268+48274+49931+'Amer Ethnic Stud'!N34+'Women''s Studies'!N36</f>
        <v>10430533</v>
      </c>
      <c r="O92" s="138"/>
      <c r="P92" s="416">
        <f>1862584+4945286+45749+49292+'Amer Ethnic Stud'!P34+'Women''s Studies'!P36</f>
        <v>7576607</v>
      </c>
      <c r="Q92" s="138"/>
      <c r="R92" s="416">
        <f>8677293+'Amer Ethnic Stud'!R34+'Women''s Studies'!R36</f>
        <v>9450774</v>
      </c>
      <c r="S92" s="138"/>
      <c r="T92" s="416">
        <f>10637231</f>
        <v>10637231</v>
      </c>
      <c r="U92" s="138"/>
      <c r="V92" s="416">
        <v>10988059</v>
      </c>
      <c r="W92" s="138"/>
      <c r="X92" s="416">
        <v>11351240</v>
      </c>
      <c r="Y92" s="138"/>
      <c r="Z92" s="294">
        <v>11866950</v>
      </c>
      <c r="AB92" s="24"/>
      <c r="AC92" s="947">
        <f>AVERAGE(Z92,X92,V92,T92,R92)</f>
        <v>10858850.800000001</v>
      </c>
    </row>
    <row r="93" spans="1:32" s="3" customFormat="1" x14ac:dyDescent="0.2">
      <c r="A93" s="2"/>
      <c r="B93" s="331" t="s">
        <v>247</v>
      </c>
      <c r="C93" s="243"/>
      <c r="D93" s="416"/>
      <c r="E93" s="138"/>
      <c r="F93" s="451"/>
      <c r="G93" s="243"/>
      <c r="H93" s="416"/>
      <c r="I93" s="138"/>
      <c r="J93" s="451"/>
      <c r="K93" s="243"/>
      <c r="L93" s="451"/>
      <c r="M93" s="243"/>
      <c r="N93" s="369"/>
      <c r="O93" s="138"/>
      <c r="P93" s="416"/>
      <c r="Q93" s="138"/>
      <c r="R93" s="416"/>
      <c r="S93" s="138"/>
      <c r="T93" s="416"/>
      <c r="U93" s="138"/>
      <c r="V93" s="416"/>
      <c r="W93" s="138"/>
      <c r="X93" s="416"/>
      <c r="Y93" s="138"/>
      <c r="Z93" s="294"/>
      <c r="AB93" s="24"/>
      <c r="AC93" s="947"/>
    </row>
    <row r="94" spans="1:32" s="3" customFormat="1" ht="26.25" customHeight="1" x14ac:dyDescent="0.2">
      <c r="A94" s="2"/>
      <c r="B94" s="332" t="s">
        <v>248</v>
      </c>
      <c r="C94" s="239"/>
      <c r="D94" s="369">
        <f>48538+158099+87051+2600</f>
        <v>296288</v>
      </c>
      <c r="E94" s="139"/>
      <c r="F94" s="347">
        <f>798983+102409+2600</f>
        <v>903992</v>
      </c>
      <c r="G94" s="239"/>
      <c r="H94" s="369">
        <f>803748+2688218+2600</f>
        <v>3494566</v>
      </c>
      <c r="I94" s="139"/>
      <c r="J94" s="347">
        <f>809635+2696656+2600+'Amer Ethnic Stud'!J36+'Women''s Studies'!J38</f>
        <v>3508891</v>
      </c>
      <c r="K94" s="239"/>
      <c r="L94" s="347">
        <f>2391662+814145+2600</f>
        <v>3208407</v>
      </c>
      <c r="M94" s="239"/>
      <c r="N94" s="369">
        <f>802036+2598431+2600+'Amer Ethnic Stud'!N36+'Women''s Studies'!N38</f>
        <v>3428299</v>
      </c>
      <c r="O94" s="139"/>
      <c r="P94" s="369">
        <f>936006+4548545+2600+'Amer Ethnic Stud'!P36+'Women''s Studies'!P38</f>
        <v>5512564</v>
      </c>
      <c r="Q94" s="139"/>
      <c r="R94" s="369">
        <v>5482539</v>
      </c>
      <c r="S94" s="139"/>
      <c r="T94" s="369">
        <f>3460136</f>
        <v>3460136</v>
      </c>
      <c r="U94" s="139"/>
      <c r="V94" s="369">
        <v>3453874</v>
      </c>
      <c r="W94" s="139"/>
      <c r="X94" s="369">
        <v>2528329</v>
      </c>
      <c r="Y94" s="139"/>
      <c r="Z94" s="282">
        <v>2509199</v>
      </c>
      <c r="AB94" s="12"/>
      <c r="AC94" s="947">
        <f>AVERAGE(Z94,X94,V94,T94,R94)</f>
        <v>3486815.4</v>
      </c>
    </row>
    <row r="95" spans="1:32" s="3" customFormat="1" x14ac:dyDescent="0.2">
      <c r="A95" s="2"/>
      <c r="B95" s="333" t="s">
        <v>72</v>
      </c>
      <c r="C95" s="262"/>
      <c r="D95" s="263">
        <f>SUM(D92:D94)</f>
        <v>8394542</v>
      </c>
      <c r="E95" s="250"/>
      <c r="F95" s="249">
        <f>SUM(F92:F94)</f>
        <v>9706074</v>
      </c>
      <c r="G95" s="262"/>
      <c r="H95" s="263">
        <f>SUM(H92:H94)</f>
        <v>12460139</v>
      </c>
      <c r="I95" s="250"/>
      <c r="J95" s="249">
        <f>SUM(J92:J94)</f>
        <v>13168546</v>
      </c>
      <c r="K95" s="262"/>
      <c r="L95" s="249">
        <f>SUM(L92:L94)</f>
        <v>13993673</v>
      </c>
      <c r="M95" s="262"/>
      <c r="N95" s="263">
        <f>SUM(N92:N94)</f>
        <v>13858832</v>
      </c>
      <c r="O95" s="250"/>
      <c r="P95" s="263">
        <f>SUM(P92:P94)</f>
        <v>13089171</v>
      </c>
      <c r="Q95" s="250"/>
      <c r="R95" s="263">
        <f>SUM(R92:R94)</f>
        <v>14933313</v>
      </c>
      <c r="S95" s="250"/>
      <c r="T95" s="263">
        <f>SUM(T92:T94)</f>
        <v>14097367</v>
      </c>
      <c r="U95" s="250"/>
      <c r="V95" s="263">
        <f>SUM(V92:V94)</f>
        <v>14441933</v>
      </c>
      <c r="W95" s="250"/>
      <c r="X95" s="263">
        <f>SUM(X92:X94)</f>
        <v>13879569</v>
      </c>
      <c r="Y95" s="250"/>
      <c r="Z95" s="149">
        <f>SUM(Z92:Z94)</f>
        <v>14376149</v>
      </c>
      <c r="AB95" s="12"/>
      <c r="AC95" s="1008">
        <f t="shared" ref="AC95" si="2">AVERAGE(V95,T95,R95,P95,X95)</f>
        <v>14088270.6</v>
      </c>
    </row>
    <row r="96" spans="1:32" s="3" customFormat="1" x14ac:dyDescent="0.2">
      <c r="A96" s="2"/>
      <c r="B96" s="330" t="s">
        <v>73</v>
      </c>
      <c r="C96" s="239"/>
      <c r="D96" s="369"/>
      <c r="E96" s="139"/>
      <c r="F96" s="347"/>
      <c r="G96" s="239"/>
      <c r="H96" s="369"/>
      <c r="I96" s="139"/>
      <c r="J96" s="347"/>
      <c r="K96" s="239"/>
      <c r="L96" s="347"/>
      <c r="M96" s="239"/>
      <c r="N96" s="369"/>
      <c r="O96" s="139"/>
      <c r="P96" s="369"/>
      <c r="Q96" s="139"/>
      <c r="R96" s="369"/>
      <c r="S96" s="139"/>
      <c r="T96" s="369"/>
      <c r="U96" s="139"/>
      <c r="V96" s="369"/>
      <c r="W96" s="139"/>
      <c r="X96" s="369"/>
      <c r="Y96" s="139"/>
      <c r="Z96" s="282"/>
      <c r="AB96" s="12"/>
      <c r="AC96" s="947"/>
    </row>
    <row r="97" spans="1:29" s="3" customFormat="1" x14ac:dyDescent="0.2">
      <c r="A97" s="2"/>
      <c r="B97" s="331" t="s">
        <v>71</v>
      </c>
      <c r="C97" s="239"/>
      <c r="D97" s="369"/>
      <c r="E97" s="139"/>
      <c r="F97" s="347"/>
      <c r="G97" s="239"/>
      <c r="H97" s="369"/>
      <c r="I97" s="139"/>
      <c r="J97" s="347"/>
      <c r="K97" s="239"/>
      <c r="L97" s="347"/>
      <c r="M97" s="239"/>
      <c r="N97" s="369">
        <v>6264</v>
      </c>
      <c r="O97" s="139"/>
      <c r="P97" s="369"/>
      <c r="Q97" s="139"/>
      <c r="R97" s="369"/>
      <c r="S97" s="139"/>
      <c r="T97" s="369"/>
      <c r="U97" s="139"/>
      <c r="V97" s="369"/>
      <c r="W97" s="139"/>
      <c r="X97" s="369"/>
      <c r="Y97" s="139"/>
      <c r="Z97" s="282"/>
      <c r="AB97" s="12"/>
      <c r="AC97" s="947"/>
    </row>
    <row r="98" spans="1:29" s="3" customFormat="1" x14ac:dyDescent="0.2">
      <c r="A98" s="2"/>
      <c r="B98" s="331" t="s">
        <v>247</v>
      </c>
      <c r="C98" s="239"/>
      <c r="D98" s="369"/>
      <c r="E98" s="139"/>
      <c r="F98" s="347"/>
      <c r="G98" s="239"/>
      <c r="H98" s="369"/>
      <c r="I98" s="139"/>
      <c r="J98" s="347"/>
      <c r="K98" s="239"/>
      <c r="L98" s="347"/>
      <c r="M98" s="239"/>
      <c r="N98" s="369"/>
      <c r="O98" s="139"/>
      <c r="P98" s="369"/>
      <c r="Q98" s="139"/>
      <c r="R98" s="369"/>
      <c r="S98" s="139"/>
      <c r="T98" s="369"/>
      <c r="U98" s="139"/>
      <c r="V98" s="369"/>
      <c r="W98" s="139"/>
      <c r="X98" s="369"/>
      <c r="Y98" s="139"/>
      <c r="Z98" s="282"/>
      <c r="AB98" s="12"/>
      <c r="AC98" s="947"/>
    </row>
    <row r="99" spans="1:29" s="3" customFormat="1" ht="36" x14ac:dyDescent="0.2">
      <c r="A99" s="2"/>
      <c r="B99" s="332" t="s">
        <v>248</v>
      </c>
      <c r="C99" s="239"/>
      <c r="D99" s="263">
        <f>SUM(D96:D97)</f>
        <v>0</v>
      </c>
      <c r="E99" s="139"/>
      <c r="F99" s="347">
        <v>0</v>
      </c>
      <c r="G99" s="239"/>
      <c r="H99" s="369">
        <v>2028344</v>
      </c>
      <c r="I99" s="139"/>
      <c r="J99" s="347">
        <f>2033324+'Amer Ethnic Stud'!J41+'Women''s Studies'!J43</f>
        <v>2033324</v>
      </c>
      <c r="K99" s="239"/>
      <c r="L99" s="347">
        <f>2032112+'Amer Ethnic Stud'!L41+'Women''s Studies'!L43</f>
        <v>2032112</v>
      </c>
      <c r="M99" s="239"/>
      <c r="N99" s="369">
        <v>2030728</v>
      </c>
      <c r="O99" s="139"/>
      <c r="P99" s="369">
        <v>2028298</v>
      </c>
      <c r="Q99" s="139"/>
      <c r="R99" s="369">
        <v>2032672</v>
      </c>
      <c r="S99" s="139"/>
      <c r="T99" s="369">
        <v>2031684</v>
      </c>
      <c r="U99" s="139"/>
      <c r="V99" s="369">
        <v>2030938</v>
      </c>
      <c r="W99" s="139"/>
      <c r="X99" s="369">
        <v>2025714</v>
      </c>
      <c r="Y99" s="139"/>
      <c r="Z99" s="282">
        <v>2023888</v>
      </c>
      <c r="AB99" s="12"/>
      <c r="AC99" s="947">
        <f>AVERAGE(Z99,X99,V99,T99,R99)</f>
        <v>2028979.2</v>
      </c>
    </row>
    <row r="100" spans="1:29" s="3" customFormat="1" x14ac:dyDescent="0.2">
      <c r="A100" s="2"/>
      <c r="B100" s="333" t="s">
        <v>74</v>
      </c>
      <c r="C100" s="262"/>
      <c r="D100" s="263">
        <f>SUM(D97:D99)</f>
        <v>0</v>
      </c>
      <c r="E100" s="90"/>
      <c r="F100" s="207">
        <f>SUM(F97:F99)</f>
        <v>0</v>
      </c>
      <c r="G100" s="262"/>
      <c r="H100" s="263">
        <f>SUM(H97:H99)</f>
        <v>2028344</v>
      </c>
      <c r="I100" s="250"/>
      <c r="J100" s="249">
        <f>SUM(J97:J99)</f>
        <v>2033324</v>
      </c>
      <c r="K100" s="262"/>
      <c r="L100" s="249">
        <f>SUM(L97:L99)</f>
        <v>2032112</v>
      </c>
      <c r="M100" s="262"/>
      <c r="N100" s="263">
        <f>SUM(N97:N99)</f>
        <v>2036992</v>
      </c>
      <c r="O100" s="250"/>
      <c r="P100" s="263">
        <f>SUM(P97:P99)</f>
        <v>2028298</v>
      </c>
      <c r="Q100" s="250"/>
      <c r="R100" s="263">
        <f>SUM(R97:R99)</f>
        <v>2032672</v>
      </c>
      <c r="S100" s="250"/>
      <c r="T100" s="263">
        <f>SUM(T97:T99)</f>
        <v>2031684</v>
      </c>
      <c r="U100" s="250"/>
      <c r="V100" s="263">
        <f>SUM(V97:V99)</f>
        <v>2030938</v>
      </c>
      <c r="W100" s="250"/>
      <c r="X100" s="263">
        <f>SUM(X97:X99)</f>
        <v>2025714</v>
      </c>
      <c r="Y100" s="250"/>
      <c r="Z100" s="249">
        <f>SUM(Z97:Z99)</f>
        <v>2023888</v>
      </c>
      <c r="AA100" s="955"/>
      <c r="AB100" s="12"/>
      <c r="AC100" s="1008">
        <f t="shared" ref="AC100" si="3">AVERAGE(V100,T100,R100,P100,X100)</f>
        <v>2029861.2</v>
      </c>
    </row>
    <row r="101" spans="1:29" s="3" customFormat="1" ht="13.5" thickBot="1" x14ac:dyDescent="0.25">
      <c r="A101" s="2"/>
      <c r="B101" s="334" t="s">
        <v>75</v>
      </c>
      <c r="C101" s="239"/>
      <c r="D101" s="263">
        <f>SUM(D95,D100)</f>
        <v>8394542</v>
      </c>
      <c r="E101" s="31"/>
      <c r="F101" s="207">
        <f>SUM(F95,F100)</f>
        <v>9706074</v>
      </c>
      <c r="G101" s="239"/>
      <c r="H101" s="263">
        <f>SUM(H95,H100)</f>
        <v>14488483</v>
      </c>
      <c r="I101" s="139"/>
      <c r="J101" s="249">
        <f>SUM(J95,J100)</f>
        <v>15201870</v>
      </c>
      <c r="K101" s="239"/>
      <c r="L101" s="249">
        <f>SUM(L95,L100)</f>
        <v>16025785</v>
      </c>
      <c r="M101" s="239"/>
      <c r="N101" s="263">
        <f>SUM(N95,N100)</f>
        <v>15895824</v>
      </c>
      <c r="O101" s="139"/>
      <c r="P101" s="263">
        <f>SUM(P95,P100)</f>
        <v>15117469</v>
      </c>
      <c r="Q101" s="139"/>
      <c r="R101" s="605">
        <f>SUM(R95,R100)</f>
        <v>16965985</v>
      </c>
      <c r="S101" s="139"/>
      <c r="T101" s="263">
        <f>SUM(T95,T100)</f>
        <v>16129051</v>
      </c>
      <c r="U101" s="139"/>
      <c r="V101" s="263">
        <f>SUM(V95,V100)</f>
        <v>16472871</v>
      </c>
      <c r="W101" s="139"/>
      <c r="X101" s="605">
        <f>SUM(X95,X100)</f>
        <v>15905283</v>
      </c>
      <c r="Y101" s="139"/>
      <c r="Z101" s="149">
        <f>SUM(Z95,Z100)</f>
        <v>16400037</v>
      </c>
      <c r="AB101" s="948"/>
      <c r="AC101" s="1008">
        <f>AVERAGE(V101,T101,R101,P101,X101)</f>
        <v>16118131.800000001</v>
      </c>
    </row>
    <row r="102" spans="1:29" s="3" customFormat="1" ht="12" x14ac:dyDescent="0.2">
      <c r="B102" s="81" t="s">
        <v>259</v>
      </c>
      <c r="C102" s="265"/>
      <c r="D102" s="248"/>
      <c r="E102" s="36"/>
      <c r="F102" s="36"/>
      <c r="G102" s="265"/>
      <c r="H102" s="248"/>
      <c r="I102" s="151"/>
      <c r="J102" s="151"/>
      <c r="K102" s="265"/>
      <c r="L102" s="151"/>
      <c r="M102" s="265"/>
      <c r="N102" s="248"/>
      <c r="O102" s="151"/>
      <c r="P102" s="248"/>
      <c r="Q102" s="151"/>
      <c r="R102" s="248"/>
      <c r="S102" s="151"/>
      <c r="T102" s="248"/>
      <c r="U102" s="151"/>
      <c r="V102" s="248"/>
      <c r="W102" s="151"/>
      <c r="X102" s="248"/>
      <c r="Y102" s="151"/>
      <c r="Z102" s="152"/>
      <c r="AB102" s="831"/>
      <c r="AC102" s="978"/>
    </row>
    <row r="103" spans="1:29" ht="12.75" customHeight="1" x14ac:dyDescent="0.2">
      <c r="A103" s="1"/>
      <c r="B103" s="335" t="s">
        <v>271</v>
      </c>
      <c r="C103" s="266"/>
      <c r="D103" s="460">
        <v>0</v>
      </c>
      <c r="E103" s="38"/>
      <c r="F103" s="458">
        <v>0</v>
      </c>
      <c r="G103" s="266"/>
      <c r="H103" s="458">
        <v>454356.3</v>
      </c>
      <c r="I103" s="432"/>
      <c r="J103" s="458">
        <f>369787.1+129860</f>
        <v>499647.1</v>
      </c>
      <c r="K103" s="432"/>
      <c r="L103" s="826">
        <f>155249+1097532</f>
        <v>1252781</v>
      </c>
      <c r="M103" s="266"/>
      <c r="N103" s="1140">
        <f>472786+47264+52557</f>
        <v>572607</v>
      </c>
      <c r="O103" s="153"/>
      <c r="P103" s="1140">
        <f>427989+50836+46106</f>
        <v>524931</v>
      </c>
      <c r="Q103" s="266"/>
      <c r="R103" s="1140">
        <f>383655+431944+50666+234825+53633-231879-429618</f>
        <v>493226</v>
      </c>
      <c r="S103" s="153"/>
      <c r="T103" s="1140">
        <f>513192+54521+69824</f>
        <v>637537</v>
      </c>
      <c r="U103" s="153"/>
      <c r="V103" s="1140">
        <f>556174+55561+52923</f>
        <v>664658</v>
      </c>
      <c r="W103" s="153"/>
      <c r="X103" s="1140">
        <f>336159.33+53294.1+57922.45</f>
        <v>447375.88</v>
      </c>
      <c r="Y103" s="153"/>
      <c r="Z103" s="1568"/>
      <c r="AB103" s="24"/>
      <c r="AC103" s="949">
        <f>AVERAGE(P103,X103,V103,T103,R103)</f>
        <v>553545.576</v>
      </c>
    </row>
    <row r="104" spans="1:29" ht="13.5" customHeight="1" thickBot="1" x14ac:dyDescent="0.25">
      <c r="A104" s="1"/>
      <c r="B104" s="336" t="s">
        <v>15</v>
      </c>
      <c r="C104" s="268"/>
      <c r="D104" s="467">
        <v>0</v>
      </c>
      <c r="E104" s="40"/>
      <c r="F104" s="516">
        <v>52473</v>
      </c>
      <c r="G104" s="268"/>
      <c r="H104" s="517">
        <v>43672</v>
      </c>
      <c r="I104" s="237"/>
      <c r="J104" s="516">
        <v>63455</v>
      </c>
      <c r="K104" s="596"/>
      <c r="L104" s="827">
        <f>21191+49411</f>
        <v>70602</v>
      </c>
      <c r="M104" s="268"/>
      <c r="N104" s="1152">
        <f>56436</f>
        <v>56436</v>
      </c>
      <c r="O104" s="154"/>
      <c r="P104" s="1152">
        <f>32766+80</f>
        <v>32846</v>
      </c>
      <c r="Q104" s="1437"/>
      <c r="R104" s="1152">
        <f>29107.25+1000</f>
        <v>30107.25</v>
      </c>
      <c r="S104" s="1437"/>
      <c r="T104" s="1152">
        <v>32867.19</v>
      </c>
      <c r="U104" s="1437"/>
      <c r="V104" s="1152">
        <v>50376</v>
      </c>
      <c r="W104" s="1437"/>
      <c r="X104" s="1152">
        <v>24158.31</v>
      </c>
      <c r="Y104" s="1437"/>
      <c r="Z104" s="1569"/>
      <c r="AB104" s="948"/>
      <c r="AC104" s="949">
        <f>AVERAGE(P104,X104,V104,T104,R104)</f>
        <v>34070.949999999997</v>
      </c>
    </row>
    <row r="105" spans="1:29" ht="12" customHeight="1" x14ac:dyDescent="0.2">
      <c r="A105" s="1"/>
      <c r="B105" s="77"/>
      <c r="C105" s="308" t="s">
        <v>133</v>
      </c>
      <c r="D105" s="417" t="s">
        <v>139</v>
      </c>
      <c r="E105" s="166" t="s">
        <v>133</v>
      </c>
      <c r="F105" s="84" t="s">
        <v>139</v>
      </c>
      <c r="G105" s="308" t="s">
        <v>133</v>
      </c>
      <c r="H105" s="417" t="s">
        <v>139</v>
      </c>
      <c r="I105" s="414" t="s">
        <v>133</v>
      </c>
      <c r="J105" s="352" t="s">
        <v>139</v>
      </c>
      <c r="K105" s="308" t="s">
        <v>133</v>
      </c>
      <c r="L105" s="352" t="s">
        <v>139</v>
      </c>
      <c r="M105" s="308" t="s">
        <v>133</v>
      </c>
      <c r="N105" s="417" t="s">
        <v>139</v>
      </c>
      <c r="O105" s="414" t="s">
        <v>133</v>
      </c>
      <c r="P105" s="417" t="s">
        <v>139</v>
      </c>
      <c r="Q105" s="414" t="s">
        <v>133</v>
      </c>
      <c r="R105" s="417" t="s">
        <v>139</v>
      </c>
      <c r="S105" s="414" t="s">
        <v>133</v>
      </c>
      <c r="T105" s="417" t="s">
        <v>139</v>
      </c>
      <c r="U105" s="414" t="s">
        <v>133</v>
      </c>
      <c r="V105" s="417" t="s">
        <v>139</v>
      </c>
      <c r="W105" s="414" t="s">
        <v>133</v>
      </c>
      <c r="X105" s="417" t="s">
        <v>139</v>
      </c>
      <c r="Y105" s="414" t="s">
        <v>133</v>
      </c>
      <c r="Z105" s="295" t="s">
        <v>139</v>
      </c>
      <c r="AB105" s="950" t="s">
        <v>133</v>
      </c>
      <c r="AC105" s="295" t="s">
        <v>139</v>
      </c>
    </row>
    <row r="106" spans="1:29" s="3" customFormat="1" ht="11.45" customHeight="1" x14ac:dyDescent="0.2">
      <c r="B106" s="80" t="s">
        <v>67</v>
      </c>
      <c r="C106" s="476">
        <v>0</v>
      </c>
      <c r="D106" s="1140">
        <v>1466928</v>
      </c>
      <c r="E106" s="108">
        <v>1</v>
      </c>
      <c r="F106" s="1141">
        <v>364851</v>
      </c>
      <c r="G106" s="476">
        <v>1</v>
      </c>
      <c r="H106" s="1140">
        <v>135154</v>
      </c>
      <c r="I106" s="477">
        <v>8</v>
      </c>
      <c r="J106" s="1141">
        <v>404033</v>
      </c>
      <c r="K106" s="476">
        <v>7</v>
      </c>
      <c r="L106" s="1123">
        <v>320777</v>
      </c>
      <c r="M106" s="476">
        <v>5</v>
      </c>
      <c r="N106" s="1140">
        <v>1325762</v>
      </c>
      <c r="O106" s="476">
        <v>4</v>
      </c>
      <c r="P106" s="1140">
        <v>5665364</v>
      </c>
      <c r="Q106" s="476">
        <v>2</v>
      </c>
      <c r="R106" s="1140">
        <f>281351</f>
        <v>281351</v>
      </c>
      <c r="S106" s="476">
        <v>1</v>
      </c>
      <c r="T106" s="1140">
        <v>443484</v>
      </c>
      <c r="U106" s="477">
        <v>4</v>
      </c>
      <c r="V106" s="1140">
        <v>1174946</v>
      </c>
      <c r="W106" s="477">
        <v>1</v>
      </c>
      <c r="X106" s="1140">
        <v>26532</v>
      </c>
      <c r="Y106" s="1769"/>
      <c r="Z106" s="1770"/>
      <c r="AA106" s="1124"/>
      <c r="AB106" s="108">
        <f>AVERAGE(O106,W106,U106,S106,Q106)</f>
        <v>2.4</v>
      </c>
      <c r="AC106" s="1120">
        <f>AVERAGE(P106,X106,V106,T106,R106)</f>
        <v>1518335.4</v>
      </c>
    </row>
    <row r="107" spans="1:29" s="3" customFormat="1" ht="11.45" customHeight="1" x14ac:dyDescent="0.2">
      <c r="B107" s="80"/>
      <c r="C107" s="551"/>
      <c r="D107" s="1127"/>
      <c r="E107" s="838"/>
      <c r="F107" s="1126"/>
      <c r="G107" s="551"/>
      <c r="H107" s="1127"/>
      <c r="I107" s="255"/>
      <c r="J107" s="1128"/>
      <c r="K107" s="551"/>
      <c r="L107" s="1129"/>
      <c r="M107" s="551"/>
      <c r="N107" s="1266"/>
      <c r="O107" s="551"/>
      <c r="P107" s="1266"/>
      <c r="Q107" s="551"/>
      <c r="R107" s="1266"/>
      <c r="S107" s="551"/>
      <c r="T107" s="1266"/>
      <c r="U107" s="255"/>
      <c r="V107" s="1127"/>
      <c r="W107" s="255"/>
      <c r="X107" s="1127"/>
      <c r="Y107" s="1771"/>
      <c r="Z107" s="1772"/>
      <c r="AA107" s="1124"/>
      <c r="AB107" s="1013"/>
      <c r="AC107" s="1120"/>
    </row>
    <row r="108" spans="1:29" s="3" customFormat="1" thickBot="1" x14ac:dyDescent="0.25">
      <c r="B108" s="167" t="s">
        <v>16</v>
      </c>
      <c r="C108" s="915">
        <v>1</v>
      </c>
      <c r="D108" s="1151">
        <v>6000</v>
      </c>
      <c r="E108" s="839">
        <v>1</v>
      </c>
      <c r="F108" s="322">
        <v>736954</v>
      </c>
      <c r="G108" s="552">
        <v>1</v>
      </c>
      <c r="H108" s="1152">
        <v>1200596</v>
      </c>
      <c r="I108" s="550">
        <v>5</v>
      </c>
      <c r="J108" s="453">
        <v>1531556</v>
      </c>
      <c r="K108" s="552">
        <v>3</v>
      </c>
      <c r="L108" s="453">
        <v>976305</v>
      </c>
      <c r="M108" s="552">
        <v>4</v>
      </c>
      <c r="N108" s="1152">
        <v>1668091</v>
      </c>
      <c r="O108" s="552">
        <v>0</v>
      </c>
      <c r="P108" s="1152">
        <v>0</v>
      </c>
      <c r="Q108" s="552">
        <v>1</v>
      </c>
      <c r="R108" s="1152">
        <f>15000</f>
        <v>15000</v>
      </c>
      <c r="S108" s="552">
        <v>0</v>
      </c>
      <c r="T108" s="1152">
        <v>0</v>
      </c>
      <c r="U108" s="552">
        <v>0</v>
      </c>
      <c r="V108" s="1152">
        <v>0</v>
      </c>
      <c r="W108" s="552">
        <v>1</v>
      </c>
      <c r="X108" s="1152">
        <v>200000</v>
      </c>
      <c r="Y108" s="1773"/>
      <c r="Z108" s="1774"/>
      <c r="AA108" s="1124"/>
      <c r="AB108" s="839">
        <f>AVERAGE(O108,W108,U108,S108,Q108)</f>
        <v>0.4</v>
      </c>
      <c r="AC108" s="1121">
        <f>AVERAGE(P108,X108,V108,T108,R108)</f>
        <v>43000</v>
      </c>
    </row>
    <row r="109" spans="1:29" s="3" customFormat="1" ht="12" x14ac:dyDescent="0.2">
      <c r="B109" s="81" t="s">
        <v>84</v>
      </c>
      <c r="C109" s="269"/>
      <c r="D109" s="276"/>
      <c r="E109" s="45"/>
      <c r="F109" s="323"/>
      <c r="G109" s="269"/>
      <c r="H109" s="419"/>
      <c r="I109" s="156"/>
      <c r="J109" s="307"/>
      <c r="K109" s="269"/>
      <c r="L109" s="307"/>
      <c r="M109" s="269"/>
      <c r="N109" s="419"/>
      <c r="O109" s="156"/>
      <c r="P109" s="419"/>
      <c r="Q109" s="156"/>
      <c r="R109" s="419"/>
      <c r="S109" s="156"/>
      <c r="T109" s="419"/>
      <c r="U109" s="156"/>
      <c r="V109" s="419"/>
      <c r="W109" s="156"/>
      <c r="X109" s="419"/>
      <c r="Y109" s="156"/>
      <c r="Z109" s="158"/>
      <c r="AA109" s="955"/>
      <c r="AB109" s="1014"/>
      <c r="AC109" s="1010"/>
    </row>
    <row r="110" spans="1:29" s="3" customFormat="1" ht="12" x14ac:dyDescent="0.2">
      <c r="B110" s="337" t="s">
        <v>35</v>
      </c>
      <c r="C110" s="271"/>
      <c r="D110" s="277"/>
      <c r="E110" s="97"/>
      <c r="F110" s="34"/>
      <c r="G110" s="271"/>
      <c r="H110" s="420"/>
      <c r="I110" s="157"/>
      <c r="J110" s="135"/>
      <c r="K110" s="271"/>
      <c r="L110" s="135"/>
      <c r="M110" s="271"/>
      <c r="N110" s="420"/>
      <c r="O110" s="157"/>
      <c r="P110" s="420"/>
      <c r="Q110" s="157"/>
      <c r="R110" s="420"/>
      <c r="S110" s="157"/>
      <c r="T110" s="420"/>
      <c r="U110" s="157"/>
      <c r="V110" s="420"/>
      <c r="W110" s="157"/>
      <c r="X110" s="420"/>
      <c r="Y110" s="157"/>
      <c r="Z110" s="287"/>
      <c r="AA110" s="955"/>
      <c r="AB110" s="720"/>
      <c r="AC110" s="1011"/>
    </row>
    <row r="111" spans="1:29" s="3" customFormat="1" ht="12" x14ac:dyDescent="0.2">
      <c r="B111" s="338" t="s">
        <v>85</v>
      </c>
      <c r="C111" s="272"/>
      <c r="D111" s="273">
        <f>8180+10015+147940+374857+44129</f>
        <v>585121</v>
      </c>
      <c r="E111" s="35"/>
      <c r="F111" s="66">
        <f>665+8000+411325+11705</f>
        <v>431695</v>
      </c>
      <c r="G111" s="272"/>
      <c r="H111" s="498">
        <f>500917+2122+11060+80430</f>
        <v>594529</v>
      </c>
      <c r="I111" s="254"/>
      <c r="J111" s="854">
        <v>411051</v>
      </c>
      <c r="K111" s="539"/>
      <c r="L111" s="612">
        <v>756871</v>
      </c>
      <c r="M111" s="539"/>
      <c r="N111" s="543">
        <v>413309</v>
      </c>
      <c r="O111" s="612"/>
      <c r="P111" s="543">
        <v>467445</v>
      </c>
      <c r="Q111" s="612"/>
      <c r="R111" s="543">
        <f>570320-80-5765</f>
        <v>564475</v>
      </c>
      <c r="S111" s="612"/>
      <c r="T111" s="543">
        <f>503314.53+84818.09+0+6935</f>
        <v>595067.62</v>
      </c>
      <c r="U111" s="612"/>
      <c r="V111" s="543">
        <f>5983+925+696955.89+90700.21</f>
        <v>794564.1</v>
      </c>
      <c r="W111" s="612"/>
      <c r="X111" s="543">
        <f>51440+573602.86+704446.39</f>
        <v>1329489.25</v>
      </c>
      <c r="Y111" s="612"/>
      <c r="Z111" s="1570"/>
      <c r="AA111" s="955"/>
      <c r="AB111" s="1013"/>
      <c r="AC111" s="949">
        <f>AVERAGE(P111,X111,V111,T111,R111)</f>
        <v>750208.19400000002</v>
      </c>
    </row>
    <row r="112" spans="1:29" s="3" customFormat="1" thickBot="1" x14ac:dyDescent="0.25">
      <c r="B112" s="339" t="s">
        <v>86</v>
      </c>
      <c r="C112" s="274"/>
      <c r="D112" s="611">
        <v>346952.93</v>
      </c>
      <c r="E112" s="37"/>
      <c r="F112" s="324">
        <f>369387.55+762145</f>
        <v>1131532.55</v>
      </c>
      <c r="G112" s="274"/>
      <c r="H112" s="613">
        <f>393391.02+846987.49</f>
        <v>1240378.51</v>
      </c>
      <c r="I112" s="436"/>
      <c r="J112" s="614">
        <f>982434.74+441177.57</f>
        <v>1423612.31</v>
      </c>
      <c r="K112" s="1535"/>
      <c r="L112" s="614">
        <f>979653.9+429271.82</f>
        <v>1408925.72</v>
      </c>
      <c r="M112" s="1535"/>
      <c r="N112" s="613">
        <v>330851.44</v>
      </c>
      <c r="O112" s="1536"/>
      <c r="P112" s="613">
        <v>344237</v>
      </c>
      <c r="Q112" s="1536"/>
      <c r="R112" s="613">
        <v>385305</v>
      </c>
      <c r="S112" s="1536"/>
      <c r="T112" s="613">
        <v>357081.35</v>
      </c>
      <c r="U112" s="1536"/>
      <c r="V112" s="613">
        <v>375485.11</v>
      </c>
      <c r="W112" s="1536"/>
      <c r="X112" s="613">
        <v>420438.74</v>
      </c>
      <c r="Y112" s="1536"/>
      <c r="Z112" s="1571"/>
      <c r="AA112" s="955"/>
      <c r="AB112" s="1015"/>
      <c r="AC112" s="1011">
        <f t="shared" ref="AC112" si="4">AVERAGE(P112,X112,V112,T112,R112)</f>
        <v>376509.44000000006</v>
      </c>
    </row>
    <row r="113" spans="1:29" ht="12" customHeight="1" thickTop="1" x14ac:dyDescent="0.2">
      <c r="A113" s="1"/>
      <c r="B113" s="96"/>
      <c r="C113" s="157"/>
      <c r="D113" s="159"/>
      <c r="E113" s="97"/>
      <c r="F113" s="34"/>
      <c r="G113" s="157"/>
      <c r="H113" s="135"/>
      <c r="I113" s="157"/>
      <c r="J113" s="135"/>
      <c r="K113" s="157"/>
      <c r="L113" s="135"/>
      <c r="M113" s="157"/>
      <c r="N113" s="135"/>
      <c r="O113" s="157"/>
      <c r="P113" s="135"/>
      <c r="Q113" s="157"/>
      <c r="R113" s="135"/>
      <c r="S113" s="157"/>
      <c r="T113" s="135"/>
      <c r="U113" s="157"/>
      <c r="V113" s="135"/>
      <c r="W113" s="157"/>
      <c r="X113" s="135"/>
      <c r="Y113" s="157"/>
      <c r="Z113" s="135"/>
      <c r="AC113" s="1012"/>
    </row>
    <row r="114" spans="1:29" ht="12" customHeight="1" x14ac:dyDescent="0.2">
      <c r="A114" s="2" t="s">
        <v>76</v>
      </c>
      <c r="B114" s="96"/>
      <c r="C114" s="157"/>
      <c r="D114" s="159"/>
      <c r="E114" s="97"/>
      <c r="F114" s="34"/>
      <c r="G114" s="157"/>
      <c r="H114" s="135"/>
      <c r="I114" s="157"/>
      <c r="J114" s="135"/>
      <c r="K114" s="157"/>
      <c r="L114" s="135"/>
      <c r="M114" s="157"/>
      <c r="N114" s="135"/>
      <c r="O114" s="157"/>
      <c r="P114" s="135"/>
      <c r="Q114" s="157"/>
      <c r="R114" s="135"/>
      <c r="S114" s="157"/>
      <c r="T114" s="135"/>
      <c r="U114" s="157"/>
      <c r="V114" s="135"/>
      <c r="W114" s="157"/>
      <c r="X114" s="135"/>
      <c r="Y114" s="157"/>
      <c r="Z114" s="135"/>
      <c r="AC114" t="s">
        <v>29</v>
      </c>
    </row>
    <row r="115" spans="1:29" ht="12" customHeight="1" thickBot="1" x14ac:dyDescent="0.25">
      <c r="A115" s="1"/>
      <c r="B115" s="96"/>
      <c r="C115" s="97"/>
      <c r="D115" s="98"/>
      <c r="E115" s="97"/>
      <c r="F115" s="34"/>
      <c r="G115" s="157"/>
      <c r="H115" s="135"/>
      <c r="I115" s="157"/>
      <c r="J115" s="135"/>
      <c r="K115" s="157"/>
      <c r="L115" s="135"/>
      <c r="M115" s="157"/>
      <c r="N115" s="135"/>
      <c r="O115" s="157"/>
      <c r="P115" s="135"/>
      <c r="Q115" s="157"/>
      <c r="R115" s="135"/>
      <c r="S115" s="157"/>
      <c r="T115" s="135"/>
      <c r="U115" s="157"/>
      <c r="V115" s="135"/>
      <c r="W115" s="157"/>
      <c r="X115" s="135"/>
      <c r="Y115" s="157"/>
      <c r="Z115" s="135"/>
    </row>
    <row r="116" spans="1:29" s="3" customFormat="1" ht="14.25" customHeight="1" thickTop="1" thickBot="1" x14ac:dyDescent="0.25">
      <c r="B116" s="340"/>
      <c r="C116" s="2013" t="s">
        <v>49</v>
      </c>
      <c r="D116" s="2014"/>
      <c r="E116" s="2015" t="s">
        <v>50</v>
      </c>
      <c r="F116" s="2015"/>
      <c r="G116" s="2002" t="s">
        <v>141</v>
      </c>
      <c r="H116" s="1982"/>
      <c r="I116" s="1974" t="s">
        <v>152</v>
      </c>
      <c r="J116" s="1974"/>
      <c r="K116" s="2002" t="s">
        <v>154</v>
      </c>
      <c r="L116" s="1974"/>
      <c r="M116" s="2002" t="s">
        <v>171</v>
      </c>
      <c r="N116" s="1982"/>
      <c r="O116" s="1974" t="s">
        <v>227</v>
      </c>
      <c r="P116" s="1982"/>
      <c r="Q116" s="1974" t="s">
        <v>237</v>
      </c>
      <c r="R116" s="1982"/>
      <c r="S116" s="1974" t="s">
        <v>272</v>
      </c>
      <c r="T116" s="1982"/>
      <c r="U116" s="1974" t="s">
        <v>274</v>
      </c>
      <c r="V116" s="1982"/>
      <c r="W116" s="1974" t="s">
        <v>280</v>
      </c>
      <c r="X116" s="1982"/>
      <c r="Y116" s="1974" t="s">
        <v>290</v>
      </c>
      <c r="Z116" s="1975"/>
      <c r="AB116" s="2003" t="s">
        <v>213</v>
      </c>
      <c r="AC116" s="2004"/>
    </row>
    <row r="117" spans="1:29" s="3" customFormat="1" ht="12" x14ac:dyDescent="0.2">
      <c r="B117" s="73" t="s">
        <v>53</v>
      </c>
      <c r="C117" s="54"/>
      <c r="D117" s="92"/>
      <c r="E117" s="30"/>
      <c r="F117" s="30"/>
      <c r="G117" s="243"/>
      <c r="H117" s="244"/>
      <c r="I117" s="138"/>
      <c r="J117" s="138"/>
      <c r="K117" s="243"/>
      <c r="L117" s="138"/>
      <c r="M117" s="243"/>
      <c r="N117" s="244"/>
      <c r="O117" s="138"/>
      <c r="P117" s="244"/>
      <c r="Q117" s="138"/>
      <c r="R117" s="244"/>
      <c r="S117" s="138"/>
      <c r="T117" s="244"/>
      <c r="U117" s="138"/>
      <c r="V117" s="244"/>
      <c r="W117" s="138"/>
      <c r="X117" s="244"/>
      <c r="Y117" s="138"/>
      <c r="Z117" s="140"/>
      <c r="AB117" s="831"/>
      <c r="AC117" s="930"/>
    </row>
    <row r="118" spans="1:29" s="3" customFormat="1" ht="12" x14ac:dyDescent="0.2">
      <c r="B118" s="74" t="s">
        <v>54</v>
      </c>
      <c r="C118" s="184"/>
      <c r="D118" s="165"/>
      <c r="E118" s="31"/>
      <c r="F118" s="171"/>
      <c r="G118" s="239"/>
      <c r="H118" s="261"/>
      <c r="I118" s="139"/>
      <c r="J118" s="183"/>
      <c r="K118" s="239"/>
      <c r="L118" s="183"/>
      <c r="M118" s="239"/>
      <c r="N118" s="261"/>
      <c r="O118" s="139"/>
      <c r="P118" s="261"/>
      <c r="Q118" s="139"/>
      <c r="R118" s="261"/>
      <c r="S118" s="139"/>
      <c r="T118" s="261"/>
      <c r="U118" s="139"/>
      <c r="V118" s="261"/>
      <c r="W118" s="139"/>
      <c r="X118" s="261"/>
      <c r="Y118" s="139"/>
      <c r="Z118" s="142"/>
      <c r="AB118" s="24"/>
      <c r="AC118" s="579"/>
    </row>
    <row r="119" spans="1:29" s="3" customFormat="1" ht="12" x14ac:dyDescent="0.2">
      <c r="B119" s="75" t="s">
        <v>55</v>
      </c>
      <c r="C119" s="184"/>
      <c r="D119" s="165">
        <v>4</v>
      </c>
      <c r="E119" s="65"/>
      <c r="F119" s="171">
        <v>6</v>
      </c>
      <c r="G119" s="215"/>
      <c r="H119" s="261">
        <v>4</v>
      </c>
      <c r="I119" s="173"/>
      <c r="J119" s="183">
        <v>1</v>
      </c>
      <c r="K119" s="215"/>
      <c r="L119" s="183">
        <v>3</v>
      </c>
      <c r="M119" s="215"/>
      <c r="N119" s="261">
        <v>4</v>
      </c>
      <c r="O119" s="173"/>
      <c r="P119" s="261">
        <v>2</v>
      </c>
      <c r="Q119" s="173"/>
      <c r="R119" s="261">
        <v>2</v>
      </c>
      <c r="S119" s="173"/>
      <c r="T119" s="261">
        <v>3</v>
      </c>
      <c r="U119" s="173"/>
      <c r="V119" s="261">
        <v>0</v>
      </c>
      <c r="W119" s="173"/>
      <c r="X119" s="261">
        <v>0</v>
      </c>
      <c r="Y119" s="173"/>
      <c r="Z119" s="142">
        <v>0</v>
      </c>
      <c r="AA119" s="5"/>
      <c r="AB119" s="99"/>
      <c r="AC119" s="1113">
        <f>AVERAGE(Z119,X119,V119,T119,R119)</f>
        <v>1</v>
      </c>
    </row>
    <row r="120" spans="1:29" s="3" customFormat="1" ht="12" x14ac:dyDescent="0.2">
      <c r="B120" s="75" t="s">
        <v>181</v>
      </c>
      <c r="C120" s="184"/>
      <c r="D120" s="165">
        <v>2</v>
      </c>
      <c r="E120" s="65"/>
      <c r="F120" s="171">
        <v>2</v>
      </c>
      <c r="G120" s="215"/>
      <c r="H120" s="261">
        <v>3</v>
      </c>
      <c r="I120" s="173"/>
      <c r="J120" s="183">
        <v>0</v>
      </c>
      <c r="K120" s="215"/>
      <c r="L120" s="183">
        <v>0</v>
      </c>
      <c r="M120" s="215"/>
      <c r="N120" s="261">
        <v>0</v>
      </c>
      <c r="O120" s="173"/>
      <c r="P120" s="261">
        <v>0</v>
      </c>
      <c r="Q120" s="173"/>
      <c r="R120" s="261">
        <v>0</v>
      </c>
      <c r="S120" s="173"/>
      <c r="T120" s="261">
        <v>0</v>
      </c>
      <c r="U120" s="173"/>
      <c r="V120" s="261">
        <v>0</v>
      </c>
      <c r="W120" s="173"/>
      <c r="X120" s="261">
        <v>0</v>
      </c>
      <c r="Y120" s="173"/>
      <c r="Z120" s="142">
        <v>0</v>
      </c>
      <c r="AA120" s="5"/>
      <c r="AB120" s="99"/>
      <c r="AC120" s="1113">
        <f>AVERAGE(Z120,X120,V120,T120,R120)</f>
        <v>0</v>
      </c>
    </row>
    <row r="121" spans="1:29" s="3" customFormat="1" ht="12" x14ac:dyDescent="0.2">
      <c r="B121" s="74" t="s">
        <v>57</v>
      </c>
      <c r="C121" s="184"/>
      <c r="D121" s="165"/>
      <c r="E121" s="65"/>
      <c r="F121" s="82"/>
      <c r="G121" s="215"/>
      <c r="H121" s="238"/>
      <c r="I121" s="173"/>
      <c r="J121" s="1144"/>
      <c r="K121" s="215"/>
      <c r="L121" s="1144"/>
      <c r="M121" s="215"/>
      <c r="N121" s="238"/>
      <c r="O121" s="173"/>
      <c r="P121" s="238"/>
      <c r="Q121" s="173"/>
      <c r="R121" s="238"/>
      <c r="S121" s="173"/>
      <c r="T121" s="238"/>
      <c r="U121" s="173"/>
      <c r="V121" s="238"/>
      <c r="W121" s="173"/>
      <c r="X121" s="238"/>
      <c r="Y121" s="173"/>
      <c r="Z121" s="1955"/>
      <c r="AA121" s="5"/>
      <c r="AB121" s="99"/>
      <c r="AC121" s="1113"/>
    </row>
    <row r="122" spans="1:29" s="3" customFormat="1" ht="12" x14ac:dyDescent="0.2">
      <c r="B122" s="75" t="s">
        <v>55</v>
      </c>
      <c r="C122" s="184"/>
      <c r="D122" s="165">
        <v>1</v>
      </c>
      <c r="E122" s="65"/>
      <c r="F122" s="82">
        <v>0</v>
      </c>
      <c r="G122" s="215"/>
      <c r="H122" s="238">
        <v>2</v>
      </c>
      <c r="I122" s="173"/>
      <c r="J122" s="1144">
        <v>0</v>
      </c>
      <c r="K122" s="215"/>
      <c r="L122" s="1144">
        <v>0</v>
      </c>
      <c r="M122" s="215"/>
      <c r="N122" s="238">
        <v>0</v>
      </c>
      <c r="O122" s="173"/>
      <c r="P122" s="238">
        <v>0</v>
      </c>
      <c r="Q122" s="173"/>
      <c r="R122" s="238">
        <v>0</v>
      </c>
      <c r="S122" s="173"/>
      <c r="T122" s="238">
        <v>0</v>
      </c>
      <c r="U122" s="173"/>
      <c r="V122" s="238">
        <v>0</v>
      </c>
      <c r="W122" s="173"/>
      <c r="X122" s="238">
        <v>0</v>
      </c>
      <c r="Y122" s="173"/>
      <c r="Z122" s="1955">
        <v>0</v>
      </c>
      <c r="AA122" s="5"/>
      <c r="AB122" s="99"/>
      <c r="AC122" s="1113">
        <f t="shared" ref="AC122:AC124" si="5">AVERAGE(Z122,X122,V122,T122,R122)</f>
        <v>0</v>
      </c>
    </row>
    <row r="123" spans="1:29" s="3" customFormat="1" ht="12" x14ac:dyDescent="0.2">
      <c r="B123" s="341" t="s">
        <v>181</v>
      </c>
      <c r="C123" s="184"/>
      <c r="D123" s="165">
        <v>0</v>
      </c>
      <c r="E123" s="65"/>
      <c r="F123" s="82">
        <v>0</v>
      </c>
      <c r="G123" s="215"/>
      <c r="H123" s="238">
        <v>0</v>
      </c>
      <c r="I123" s="173"/>
      <c r="J123" s="1144">
        <v>0</v>
      </c>
      <c r="K123" s="215"/>
      <c r="L123" s="1144">
        <v>0</v>
      </c>
      <c r="M123" s="215"/>
      <c r="N123" s="238">
        <v>0</v>
      </c>
      <c r="O123" s="173"/>
      <c r="P123" s="238">
        <v>0</v>
      </c>
      <c r="Q123" s="173"/>
      <c r="R123" s="238">
        <v>0</v>
      </c>
      <c r="S123" s="173"/>
      <c r="T123" s="238">
        <v>0</v>
      </c>
      <c r="U123" s="173"/>
      <c r="V123" s="238">
        <v>0</v>
      </c>
      <c r="W123" s="173"/>
      <c r="X123" s="238">
        <v>0</v>
      </c>
      <c r="Y123" s="173"/>
      <c r="Z123" s="1955">
        <v>0</v>
      </c>
      <c r="AA123" s="5"/>
      <c r="AB123" s="99"/>
      <c r="AC123" s="1113">
        <f t="shared" si="5"/>
        <v>0</v>
      </c>
    </row>
    <row r="124" spans="1:29" s="3" customFormat="1" thickBot="1" x14ac:dyDescent="0.25">
      <c r="B124" s="79" t="s">
        <v>13</v>
      </c>
      <c r="C124" s="214"/>
      <c r="D124" s="1145">
        <f>SUM(D119:D123)</f>
        <v>7</v>
      </c>
      <c r="E124" s="83"/>
      <c r="F124" s="1146">
        <f>SUM(F119:F123)</f>
        <v>8</v>
      </c>
      <c r="G124" s="1147"/>
      <c r="H124" s="1148">
        <f>SUM(H119:H123)</f>
        <v>9</v>
      </c>
      <c r="I124" s="1149"/>
      <c r="J124" s="1150">
        <f>SUM(J119:J123)</f>
        <v>1</v>
      </c>
      <c r="K124" s="1147"/>
      <c r="L124" s="1150">
        <f>SUM(L119:L123)</f>
        <v>3</v>
      </c>
      <c r="M124" s="1147"/>
      <c r="N124" s="1148">
        <f>SUM(N119:N123)</f>
        <v>4</v>
      </c>
      <c r="O124" s="1149"/>
      <c r="P124" s="1148">
        <f>SUM(P119:P123)</f>
        <v>2</v>
      </c>
      <c r="Q124" s="1149"/>
      <c r="R124" s="1148">
        <v>2</v>
      </c>
      <c r="S124" s="1149"/>
      <c r="T124" s="1148">
        <v>3</v>
      </c>
      <c r="U124" s="1149"/>
      <c r="V124" s="1148">
        <f>SUM(V119:V123)</f>
        <v>0</v>
      </c>
      <c r="W124" s="1149"/>
      <c r="X124" s="1148">
        <f>SUM(X119:X123)</f>
        <v>0</v>
      </c>
      <c r="Y124" s="1149"/>
      <c r="Z124" s="1956">
        <v>0</v>
      </c>
      <c r="AA124" s="5"/>
      <c r="AB124" s="95"/>
      <c r="AC124" s="1113">
        <f t="shared" si="5"/>
        <v>1</v>
      </c>
    </row>
    <row r="125" spans="1:29" s="4" customFormat="1" thickTop="1" x14ac:dyDescent="0.2">
      <c r="B125" s="342" t="s">
        <v>135</v>
      </c>
      <c r="C125" s="55" t="s">
        <v>133</v>
      </c>
      <c r="D125" s="56" t="s">
        <v>134</v>
      </c>
      <c r="E125" s="43" t="s">
        <v>133</v>
      </c>
      <c r="F125" s="41" t="s">
        <v>134</v>
      </c>
      <c r="G125" s="317" t="s">
        <v>133</v>
      </c>
      <c r="H125" s="412" t="s">
        <v>134</v>
      </c>
      <c r="I125" s="411" t="s">
        <v>133</v>
      </c>
      <c r="J125" s="449" t="s">
        <v>134</v>
      </c>
      <c r="K125" s="317" t="s">
        <v>133</v>
      </c>
      <c r="L125" s="449" t="s">
        <v>134</v>
      </c>
      <c r="M125" s="317" t="s">
        <v>133</v>
      </c>
      <c r="N125" s="441" t="s">
        <v>134</v>
      </c>
      <c r="O125" s="411" t="s">
        <v>133</v>
      </c>
      <c r="P125" s="412" t="s">
        <v>134</v>
      </c>
      <c r="Q125" s="411" t="s">
        <v>133</v>
      </c>
      <c r="R125" s="412" t="s">
        <v>134</v>
      </c>
      <c r="S125" s="411" t="s">
        <v>133</v>
      </c>
      <c r="T125" s="412" t="s">
        <v>134</v>
      </c>
      <c r="U125" s="411" t="s">
        <v>133</v>
      </c>
      <c r="V125" s="412" t="s">
        <v>134</v>
      </c>
      <c r="W125" s="411" t="s">
        <v>133</v>
      </c>
      <c r="X125" s="412" t="s">
        <v>134</v>
      </c>
      <c r="Y125" s="411" t="s">
        <v>133</v>
      </c>
      <c r="Z125" s="289" t="s">
        <v>134</v>
      </c>
      <c r="AB125" s="952" t="s">
        <v>133</v>
      </c>
      <c r="AC125" s="862" t="s">
        <v>134</v>
      </c>
    </row>
    <row r="126" spans="1:29" s="3" customFormat="1" ht="12" x14ac:dyDescent="0.2">
      <c r="B126" s="75" t="s">
        <v>87</v>
      </c>
      <c r="C126" s="215">
        <v>4</v>
      </c>
      <c r="D126" s="216">
        <f>C126/$D$124</f>
        <v>0.5714285714285714</v>
      </c>
      <c r="E126" s="173">
        <v>4</v>
      </c>
      <c r="F126" s="221">
        <f>E126/F$124</f>
        <v>0.5</v>
      </c>
      <c r="G126" s="215">
        <v>6</v>
      </c>
      <c r="H126" s="216">
        <f>G126/H$124</f>
        <v>0.66666666666666663</v>
      </c>
      <c r="I126" s="173">
        <v>0</v>
      </c>
      <c r="J126" s="221">
        <f t="shared" ref="J126:J133" si="6">I126/J$124</f>
        <v>0</v>
      </c>
      <c r="K126" s="215">
        <v>2</v>
      </c>
      <c r="L126" s="221">
        <f t="shared" ref="L126:L133" si="7">K126/L$124</f>
        <v>0.66666666666666663</v>
      </c>
      <c r="M126" s="215">
        <v>3</v>
      </c>
      <c r="N126" s="216">
        <f t="shared" ref="N126:N133" si="8">M126/N$124</f>
        <v>0.75</v>
      </c>
      <c r="O126" s="173">
        <v>1</v>
      </c>
      <c r="P126" s="216">
        <f t="shared" ref="P126:P133" si="9">O126/P$124</f>
        <v>0.5</v>
      </c>
      <c r="Q126" s="173">
        <v>1</v>
      </c>
      <c r="R126" s="216">
        <f t="shared" ref="R126:R133" si="10">Q126/R$124</f>
        <v>0.5</v>
      </c>
      <c r="S126" s="173">
        <v>2</v>
      </c>
      <c r="T126" s="216">
        <f>S126/T124</f>
        <v>0.66666666666666663</v>
      </c>
      <c r="U126" s="173">
        <v>0</v>
      </c>
      <c r="V126" s="216">
        <v>0</v>
      </c>
      <c r="W126" s="173">
        <v>0</v>
      </c>
      <c r="X126" s="216">
        <v>0</v>
      </c>
      <c r="Y126" s="173">
        <v>0</v>
      </c>
      <c r="Z126" s="1494">
        <v>0</v>
      </c>
      <c r="AB126" s="1016">
        <f t="shared" ref="AB126:AB145" si="11">AVERAGE(O126,W126,U126,S126,Q126)</f>
        <v>0.8</v>
      </c>
      <c r="AC126" s="1957"/>
    </row>
    <row r="127" spans="1:29" s="3" customFormat="1" ht="12" x14ac:dyDescent="0.2">
      <c r="B127" s="85" t="s">
        <v>88</v>
      </c>
      <c r="C127" s="215">
        <v>2</v>
      </c>
      <c r="D127" s="216">
        <f t="shared" ref="D127:D145" si="12">C127/$D$124</f>
        <v>0.2857142857142857</v>
      </c>
      <c r="E127" s="173">
        <v>2</v>
      </c>
      <c r="F127" s="221">
        <f t="shared" ref="F127:H145" si="13">E127/F$124</f>
        <v>0.25</v>
      </c>
      <c r="G127" s="215">
        <v>2</v>
      </c>
      <c r="H127" s="216">
        <f t="shared" si="13"/>
        <v>0.22222222222222221</v>
      </c>
      <c r="I127" s="173">
        <v>1</v>
      </c>
      <c r="J127" s="221">
        <f t="shared" si="6"/>
        <v>1</v>
      </c>
      <c r="K127" s="215">
        <v>1</v>
      </c>
      <c r="L127" s="221">
        <f t="shared" si="7"/>
        <v>0.33333333333333331</v>
      </c>
      <c r="M127" s="215">
        <v>1</v>
      </c>
      <c r="N127" s="216">
        <f t="shared" si="8"/>
        <v>0.25</v>
      </c>
      <c r="O127" s="173">
        <v>1</v>
      </c>
      <c r="P127" s="216">
        <f t="shared" si="9"/>
        <v>0.5</v>
      </c>
      <c r="Q127" s="173">
        <v>1</v>
      </c>
      <c r="R127" s="216">
        <f t="shared" si="10"/>
        <v>0.5</v>
      </c>
      <c r="S127" s="173">
        <v>1</v>
      </c>
      <c r="T127" s="216">
        <f>S127/T124</f>
        <v>0.33333333333333331</v>
      </c>
      <c r="U127" s="173">
        <v>0</v>
      </c>
      <c r="V127" s="216">
        <v>0</v>
      </c>
      <c r="W127" s="173">
        <v>0</v>
      </c>
      <c r="X127" s="216">
        <v>0</v>
      </c>
      <c r="Y127" s="173">
        <v>0</v>
      </c>
      <c r="Z127" s="1494">
        <v>0</v>
      </c>
      <c r="AB127" s="1016">
        <f t="shared" si="11"/>
        <v>0.6</v>
      </c>
      <c r="AC127" s="1957"/>
    </row>
    <row r="128" spans="1:29" s="3" customFormat="1" ht="12" x14ac:dyDescent="0.2">
      <c r="B128" s="85" t="s">
        <v>89</v>
      </c>
      <c r="C128" s="215">
        <v>0</v>
      </c>
      <c r="D128" s="216">
        <f t="shared" si="12"/>
        <v>0</v>
      </c>
      <c r="E128" s="173">
        <v>1</v>
      </c>
      <c r="F128" s="221">
        <f t="shared" si="13"/>
        <v>0.125</v>
      </c>
      <c r="G128" s="215">
        <v>1</v>
      </c>
      <c r="H128" s="216">
        <f t="shared" si="13"/>
        <v>0.1111111111111111</v>
      </c>
      <c r="I128" s="173">
        <v>0</v>
      </c>
      <c r="J128" s="221">
        <f t="shared" si="6"/>
        <v>0</v>
      </c>
      <c r="K128" s="215">
        <v>0</v>
      </c>
      <c r="L128" s="221">
        <f t="shared" si="7"/>
        <v>0</v>
      </c>
      <c r="M128" s="215">
        <v>0</v>
      </c>
      <c r="N128" s="216">
        <f t="shared" si="8"/>
        <v>0</v>
      </c>
      <c r="O128" s="173">
        <v>0</v>
      </c>
      <c r="P128" s="216">
        <f t="shared" si="9"/>
        <v>0</v>
      </c>
      <c r="Q128" s="173">
        <v>0</v>
      </c>
      <c r="R128" s="216">
        <f t="shared" si="10"/>
        <v>0</v>
      </c>
      <c r="S128" s="173">
        <v>0</v>
      </c>
      <c r="T128" s="216">
        <f>S128/T126</f>
        <v>0</v>
      </c>
      <c r="U128" s="173">
        <v>0</v>
      </c>
      <c r="V128" s="216">
        <v>0</v>
      </c>
      <c r="W128" s="173">
        <v>0</v>
      </c>
      <c r="X128" s="216">
        <v>0</v>
      </c>
      <c r="Y128" s="173">
        <v>0</v>
      </c>
      <c r="Z128" s="1494">
        <v>0</v>
      </c>
      <c r="AB128" s="1016">
        <f t="shared" si="11"/>
        <v>0</v>
      </c>
      <c r="AC128" s="1957"/>
    </row>
    <row r="129" spans="2:32" s="3" customFormat="1" ht="12" x14ac:dyDescent="0.2">
      <c r="B129" s="85" t="s">
        <v>90</v>
      </c>
      <c r="C129" s="215">
        <v>0</v>
      </c>
      <c r="D129" s="216">
        <f t="shared" si="12"/>
        <v>0</v>
      </c>
      <c r="E129" s="173">
        <v>0</v>
      </c>
      <c r="F129" s="221">
        <f t="shared" si="13"/>
        <v>0</v>
      </c>
      <c r="G129" s="215">
        <v>0</v>
      </c>
      <c r="H129" s="216">
        <f t="shared" si="13"/>
        <v>0</v>
      </c>
      <c r="I129" s="173">
        <v>0</v>
      </c>
      <c r="J129" s="221">
        <f t="shared" si="6"/>
        <v>0</v>
      </c>
      <c r="K129" s="215">
        <v>0</v>
      </c>
      <c r="L129" s="221">
        <f t="shared" si="7"/>
        <v>0</v>
      </c>
      <c r="M129" s="215">
        <v>0</v>
      </c>
      <c r="N129" s="216">
        <f t="shared" si="8"/>
        <v>0</v>
      </c>
      <c r="O129" s="173">
        <v>0</v>
      </c>
      <c r="P129" s="216">
        <f t="shared" si="9"/>
        <v>0</v>
      </c>
      <c r="Q129" s="173">
        <v>0</v>
      </c>
      <c r="R129" s="216">
        <f t="shared" si="10"/>
        <v>0</v>
      </c>
      <c r="S129" s="173">
        <v>0</v>
      </c>
      <c r="T129" s="216">
        <f>S129/T124</f>
        <v>0</v>
      </c>
      <c r="U129" s="173">
        <v>0</v>
      </c>
      <c r="V129" s="216">
        <v>0</v>
      </c>
      <c r="W129" s="173">
        <v>0</v>
      </c>
      <c r="X129" s="216">
        <v>0</v>
      </c>
      <c r="Y129" s="173">
        <v>0</v>
      </c>
      <c r="Z129" s="1494">
        <v>0</v>
      </c>
      <c r="AB129" s="1016">
        <f t="shared" si="11"/>
        <v>0</v>
      </c>
      <c r="AC129" s="1957"/>
    </row>
    <row r="130" spans="2:32" s="3" customFormat="1" ht="12" x14ac:dyDescent="0.2">
      <c r="B130" s="85" t="s">
        <v>91</v>
      </c>
      <c r="C130" s="215">
        <v>0</v>
      </c>
      <c r="D130" s="216">
        <f t="shared" si="12"/>
        <v>0</v>
      </c>
      <c r="E130" s="173">
        <v>0</v>
      </c>
      <c r="F130" s="221">
        <f t="shared" si="13"/>
        <v>0</v>
      </c>
      <c r="G130" s="215">
        <v>0</v>
      </c>
      <c r="H130" s="216">
        <f t="shared" si="13"/>
        <v>0</v>
      </c>
      <c r="I130" s="173">
        <v>0</v>
      </c>
      <c r="J130" s="221">
        <f t="shared" si="6"/>
        <v>0</v>
      </c>
      <c r="K130" s="215">
        <v>0</v>
      </c>
      <c r="L130" s="221">
        <f t="shared" si="7"/>
        <v>0</v>
      </c>
      <c r="M130" s="215">
        <v>0</v>
      </c>
      <c r="N130" s="216">
        <f t="shared" si="8"/>
        <v>0</v>
      </c>
      <c r="O130" s="173">
        <v>0</v>
      </c>
      <c r="P130" s="216">
        <f t="shared" si="9"/>
        <v>0</v>
      </c>
      <c r="Q130" s="173">
        <v>0</v>
      </c>
      <c r="R130" s="216">
        <f t="shared" si="10"/>
        <v>0</v>
      </c>
      <c r="S130" s="173">
        <v>0</v>
      </c>
      <c r="T130" s="216">
        <f>S130/T124</f>
        <v>0</v>
      </c>
      <c r="U130" s="173">
        <v>0</v>
      </c>
      <c r="V130" s="216">
        <v>0</v>
      </c>
      <c r="W130" s="173">
        <v>0</v>
      </c>
      <c r="X130" s="216">
        <v>0</v>
      </c>
      <c r="Y130" s="173">
        <v>0</v>
      </c>
      <c r="Z130" s="1494">
        <v>0</v>
      </c>
      <c r="AB130" s="1016">
        <f t="shared" si="11"/>
        <v>0</v>
      </c>
      <c r="AC130" s="1957"/>
    </row>
    <row r="131" spans="2:32" s="3" customFormat="1" ht="12" x14ac:dyDescent="0.2">
      <c r="B131" s="85" t="s">
        <v>92</v>
      </c>
      <c r="C131" s="215">
        <v>1</v>
      </c>
      <c r="D131" s="216">
        <f t="shared" si="12"/>
        <v>0.14285714285714285</v>
      </c>
      <c r="E131" s="173">
        <v>1</v>
      </c>
      <c r="F131" s="221">
        <f t="shared" si="13"/>
        <v>0.125</v>
      </c>
      <c r="G131" s="215">
        <v>0</v>
      </c>
      <c r="H131" s="216">
        <f t="shared" si="13"/>
        <v>0</v>
      </c>
      <c r="I131" s="173">
        <v>0</v>
      </c>
      <c r="J131" s="221">
        <f t="shared" si="6"/>
        <v>0</v>
      </c>
      <c r="K131" s="215">
        <v>0</v>
      </c>
      <c r="L131" s="221">
        <f t="shared" si="7"/>
        <v>0</v>
      </c>
      <c r="M131" s="215">
        <v>0</v>
      </c>
      <c r="N131" s="216">
        <f t="shared" si="8"/>
        <v>0</v>
      </c>
      <c r="O131" s="173">
        <v>0</v>
      </c>
      <c r="P131" s="216">
        <f t="shared" si="9"/>
        <v>0</v>
      </c>
      <c r="Q131" s="173">
        <v>0</v>
      </c>
      <c r="R131" s="216">
        <f t="shared" si="10"/>
        <v>0</v>
      </c>
      <c r="S131" s="173">
        <v>0</v>
      </c>
      <c r="T131" s="216">
        <f>S131/T124</f>
        <v>0</v>
      </c>
      <c r="U131" s="173">
        <v>0</v>
      </c>
      <c r="V131" s="216">
        <v>0</v>
      </c>
      <c r="W131" s="173">
        <v>0</v>
      </c>
      <c r="X131" s="216">
        <v>0</v>
      </c>
      <c r="Y131" s="173">
        <v>0</v>
      </c>
      <c r="Z131" s="1494">
        <v>0</v>
      </c>
      <c r="AB131" s="1016">
        <f t="shared" si="11"/>
        <v>0</v>
      </c>
      <c r="AC131" s="1957"/>
    </row>
    <row r="132" spans="2:32" s="3" customFormat="1" ht="12" x14ac:dyDescent="0.2">
      <c r="B132" s="172" t="s">
        <v>256</v>
      </c>
      <c r="C132" s="217"/>
      <c r="D132" s="216"/>
      <c r="E132" s="174"/>
      <c r="F132" s="221"/>
      <c r="G132" s="1501"/>
      <c r="H132" s="1502"/>
      <c r="I132" s="1429"/>
      <c r="J132" s="1503"/>
      <c r="K132" s="1501"/>
      <c r="L132" s="1503"/>
      <c r="M132" s="1501"/>
      <c r="N132" s="1502"/>
      <c r="O132" s="1429"/>
      <c r="P132" s="1502"/>
      <c r="Q132" s="174">
        <v>0</v>
      </c>
      <c r="R132" s="216">
        <f t="shared" si="10"/>
        <v>0</v>
      </c>
      <c r="S132" s="174">
        <v>0</v>
      </c>
      <c r="T132" s="216">
        <f>S132/T124</f>
        <v>0</v>
      </c>
      <c r="U132" s="174">
        <v>0</v>
      </c>
      <c r="V132" s="216">
        <v>0</v>
      </c>
      <c r="W132" s="174">
        <v>0</v>
      </c>
      <c r="X132" s="216">
        <v>0</v>
      </c>
      <c r="Y132" s="174">
        <v>0</v>
      </c>
      <c r="Z132" s="1494">
        <v>0</v>
      </c>
      <c r="AB132" s="1016">
        <f t="shared" si="11"/>
        <v>0</v>
      </c>
      <c r="AC132" s="1957"/>
    </row>
    <row r="133" spans="2:32" s="3" customFormat="1" ht="12" x14ac:dyDescent="0.2">
      <c r="B133" s="85" t="s">
        <v>93</v>
      </c>
      <c r="C133" s="217">
        <v>0</v>
      </c>
      <c r="D133" s="216">
        <f t="shared" si="12"/>
        <v>0</v>
      </c>
      <c r="E133" s="174">
        <v>0</v>
      </c>
      <c r="F133" s="221">
        <f t="shared" si="13"/>
        <v>0</v>
      </c>
      <c r="G133" s="217">
        <v>0</v>
      </c>
      <c r="H133" s="216">
        <f t="shared" si="13"/>
        <v>0</v>
      </c>
      <c r="I133" s="174">
        <v>0</v>
      </c>
      <c r="J133" s="221">
        <f t="shared" si="6"/>
        <v>0</v>
      </c>
      <c r="K133" s="217">
        <v>0</v>
      </c>
      <c r="L133" s="221">
        <f t="shared" si="7"/>
        <v>0</v>
      </c>
      <c r="M133" s="217">
        <v>0</v>
      </c>
      <c r="N133" s="216">
        <f t="shared" si="8"/>
        <v>0</v>
      </c>
      <c r="O133" s="174">
        <v>0</v>
      </c>
      <c r="P133" s="216">
        <f t="shared" si="9"/>
        <v>0</v>
      </c>
      <c r="Q133" s="174">
        <v>0</v>
      </c>
      <c r="R133" s="216">
        <f t="shared" si="10"/>
        <v>0</v>
      </c>
      <c r="S133" s="174">
        <v>0</v>
      </c>
      <c r="T133" s="216">
        <f>S133/T124</f>
        <v>0</v>
      </c>
      <c r="U133" s="174">
        <v>0</v>
      </c>
      <c r="V133" s="216">
        <v>0</v>
      </c>
      <c r="W133" s="174">
        <v>0</v>
      </c>
      <c r="X133" s="216">
        <v>0</v>
      </c>
      <c r="Y133" s="174">
        <v>0</v>
      </c>
      <c r="Z133" s="1494">
        <v>0</v>
      </c>
      <c r="AB133" s="1016">
        <f t="shared" si="11"/>
        <v>0</v>
      </c>
      <c r="AC133" s="1957"/>
      <c r="AF133" s="3" t="s">
        <v>29</v>
      </c>
    </row>
    <row r="134" spans="2:32" s="3" customFormat="1" ht="12" x14ac:dyDescent="0.2">
      <c r="B134" s="343" t="s">
        <v>136</v>
      </c>
      <c r="C134" s="218"/>
      <c r="D134" s="216"/>
      <c r="E134" s="226"/>
      <c r="F134" s="221"/>
      <c r="G134" s="326"/>
      <c r="H134" s="216"/>
      <c r="I134" s="226"/>
      <c r="J134" s="221"/>
      <c r="K134" s="326"/>
      <c r="L134" s="221"/>
      <c r="M134" s="326"/>
      <c r="N134" s="216"/>
      <c r="O134" s="226"/>
      <c r="P134" s="216"/>
      <c r="Q134" s="226"/>
      <c r="R134" s="216"/>
      <c r="S134" s="226"/>
      <c r="T134" s="216"/>
      <c r="U134" s="226"/>
      <c r="V134" s="216"/>
      <c r="W134" s="226"/>
      <c r="X134" s="216"/>
      <c r="Y134" s="226"/>
      <c r="Z134" s="1494"/>
      <c r="AB134" s="1016"/>
      <c r="AC134" s="1957"/>
    </row>
    <row r="135" spans="2:32" s="3" customFormat="1" ht="12" x14ac:dyDescent="0.2">
      <c r="B135" s="75" t="s">
        <v>124</v>
      </c>
      <c r="C135" s="229">
        <v>2</v>
      </c>
      <c r="D135" s="216">
        <f t="shared" si="12"/>
        <v>0.2857142857142857</v>
      </c>
      <c r="E135" s="171">
        <v>2</v>
      </c>
      <c r="F135" s="221">
        <f t="shared" si="13"/>
        <v>0.25</v>
      </c>
      <c r="G135" s="229">
        <v>3</v>
      </c>
      <c r="H135" s="216">
        <f t="shared" si="13"/>
        <v>0.33333333333333331</v>
      </c>
      <c r="I135" s="183">
        <v>0</v>
      </c>
      <c r="J135" s="221">
        <f>I135/J$124</f>
        <v>0</v>
      </c>
      <c r="K135" s="229">
        <v>1</v>
      </c>
      <c r="L135" s="221">
        <f>K135/L$124</f>
        <v>0.33333333333333331</v>
      </c>
      <c r="M135" s="229">
        <v>2</v>
      </c>
      <c r="N135" s="216">
        <f>M135/N$124</f>
        <v>0.5</v>
      </c>
      <c r="O135" s="183">
        <v>0</v>
      </c>
      <c r="P135" s="216">
        <f>O135/P$124</f>
        <v>0</v>
      </c>
      <c r="Q135" s="183">
        <v>0</v>
      </c>
      <c r="R135" s="216">
        <f>Q135/R$124</f>
        <v>0</v>
      </c>
      <c r="S135" s="183">
        <v>1</v>
      </c>
      <c r="T135" s="216">
        <f>S135/T124</f>
        <v>0.33333333333333331</v>
      </c>
      <c r="U135" s="183">
        <v>0</v>
      </c>
      <c r="V135" s="216">
        <v>0</v>
      </c>
      <c r="W135" s="183">
        <v>0</v>
      </c>
      <c r="X135" s="216">
        <v>0</v>
      </c>
      <c r="Y135" s="183">
        <v>0</v>
      </c>
      <c r="Z135" s="1494">
        <v>0</v>
      </c>
      <c r="AB135" s="1016">
        <f t="shared" si="11"/>
        <v>0.2</v>
      </c>
      <c r="AC135" s="1957"/>
    </row>
    <row r="136" spans="2:32" s="3" customFormat="1" ht="12" x14ac:dyDescent="0.2">
      <c r="B136" s="75" t="s">
        <v>125</v>
      </c>
      <c r="C136" s="230">
        <v>5</v>
      </c>
      <c r="D136" s="216">
        <f t="shared" si="12"/>
        <v>0.7142857142857143</v>
      </c>
      <c r="E136" s="223">
        <v>6</v>
      </c>
      <c r="F136" s="221">
        <f t="shared" si="13"/>
        <v>0.75</v>
      </c>
      <c r="G136" s="230">
        <v>6</v>
      </c>
      <c r="H136" s="216">
        <f t="shared" si="13"/>
        <v>0.66666666666666663</v>
      </c>
      <c r="I136" s="283">
        <v>1</v>
      </c>
      <c r="J136" s="221">
        <f>I136/J$124</f>
        <v>1</v>
      </c>
      <c r="K136" s="230">
        <v>2</v>
      </c>
      <c r="L136" s="221">
        <f>K136/L$124</f>
        <v>0.66666666666666663</v>
      </c>
      <c r="M136" s="230">
        <v>2</v>
      </c>
      <c r="N136" s="216">
        <f>M136/N$124</f>
        <v>0.5</v>
      </c>
      <c r="O136" s="283">
        <v>2</v>
      </c>
      <c r="P136" s="216">
        <f>O136/P$124</f>
        <v>1</v>
      </c>
      <c r="Q136" s="283">
        <v>2</v>
      </c>
      <c r="R136" s="216">
        <f>Q136/R$124</f>
        <v>1</v>
      </c>
      <c r="S136" s="283">
        <v>2</v>
      </c>
      <c r="T136" s="216">
        <f>S136/T124</f>
        <v>0.66666666666666663</v>
      </c>
      <c r="U136" s="283">
        <v>0</v>
      </c>
      <c r="V136" s="216">
        <v>0</v>
      </c>
      <c r="W136" s="283">
        <v>0</v>
      </c>
      <c r="X136" s="216">
        <v>0</v>
      </c>
      <c r="Y136" s="283">
        <v>0</v>
      </c>
      <c r="Z136" s="1494">
        <v>0</v>
      </c>
      <c r="AB136" s="1016">
        <f t="shared" si="11"/>
        <v>1.2</v>
      </c>
      <c r="AC136" s="1957"/>
    </row>
    <row r="137" spans="2:32" s="3" customFormat="1" ht="12" x14ac:dyDescent="0.2">
      <c r="B137" s="343" t="s">
        <v>137</v>
      </c>
      <c r="C137" s="219"/>
      <c r="D137" s="216"/>
      <c r="E137" s="227"/>
      <c r="F137" s="221"/>
      <c r="G137" s="315"/>
      <c r="H137" s="216"/>
      <c r="I137" s="285"/>
      <c r="J137" s="221"/>
      <c r="K137" s="315"/>
      <c r="L137" s="221"/>
      <c r="M137" s="315"/>
      <c r="N137" s="216"/>
      <c r="O137" s="285"/>
      <c r="P137" s="216"/>
      <c r="Q137" s="285"/>
      <c r="R137" s="216"/>
      <c r="S137" s="285"/>
      <c r="T137" s="216"/>
      <c r="U137" s="285"/>
      <c r="V137" s="216"/>
      <c r="W137" s="285"/>
      <c r="X137" s="216"/>
      <c r="Y137" s="285"/>
      <c r="Z137" s="1494"/>
      <c r="AB137" s="1016"/>
      <c r="AC137" s="1957"/>
    </row>
    <row r="138" spans="2:32" s="3" customFormat="1" ht="12" x14ac:dyDescent="0.2">
      <c r="B138" s="75" t="s">
        <v>126</v>
      </c>
      <c r="C138" s="224">
        <v>4</v>
      </c>
      <c r="D138" s="216">
        <f t="shared" si="12"/>
        <v>0.5714285714285714</v>
      </c>
      <c r="E138" s="223">
        <v>5</v>
      </c>
      <c r="F138" s="221">
        <f t="shared" si="13"/>
        <v>0.625</v>
      </c>
      <c r="G138" s="230">
        <v>4</v>
      </c>
      <c r="H138" s="216">
        <f t="shared" si="13"/>
        <v>0.44444444444444442</v>
      </c>
      <c r="I138" s="283">
        <v>1</v>
      </c>
      <c r="J138" s="221">
        <f>I138/J$124</f>
        <v>1</v>
      </c>
      <c r="K138" s="230">
        <v>2</v>
      </c>
      <c r="L138" s="221">
        <f>K138/L$124</f>
        <v>0.66666666666666663</v>
      </c>
      <c r="M138" s="230">
        <v>3</v>
      </c>
      <c r="N138" s="216">
        <f>M138/N$124</f>
        <v>0.75</v>
      </c>
      <c r="O138" s="283">
        <v>2</v>
      </c>
      <c r="P138" s="216">
        <f>O138/P$124</f>
        <v>1</v>
      </c>
      <c r="Q138" s="283">
        <v>2</v>
      </c>
      <c r="R138" s="216">
        <f>Q138/R$124</f>
        <v>1</v>
      </c>
      <c r="S138" s="283">
        <v>3</v>
      </c>
      <c r="T138" s="216">
        <f>S138/T124</f>
        <v>1</v>
      </c>
      <c r="U138" s="283">
        <v>0</v>
      </c>
      <c r="V138" s="216">
        <v>0</v>
      </c>
      <c r="W138" s="283">
        <v>0</v>
      </c>
      <c r="X138" s="216">
        <v>0</v>
      </c>
      <c r="Y138" s="283">
        <v>0</v>
      </c>
      <c r="Z138" s="1494">
        <v>0</v>
      </c>
      <c r="AB138" s="1016">
        <f t="shared" si="11"/>
        <v>1.4</v>
      </c>
      <c r="AC138" s="1957"/>
    </row>
    <row r="139" spans="2:32" s="3" customFormat="1" ht="12" x14ac:dyDescent="0.2">
      <c r="B139" s="75" t="s">
        <v>127</v>
      </c>
      <c r="C139" s="224">
        <v>0</v>
      </c>
      <c r="D139" s="216">
        <f t="shared" si="12"/>
        <v>0</v>
      </c>
      <c r="E139" s="223">
        <v>1</v>
      </c>
      <c r="F139" s="221">
        <f t="shared" si="13"/>
        <v>0.125</v>
      </c>
      <c r="G139" s="230">
        <v>0</v>
      </c>
      <c r="H139" s="216">
        <f t="shared" si="13"/>
        <v>0</v>
      </c>
      <c r="I139" s="283">
        <v>0</v>
      </c>
      <c r="J139" s="221">
        <f>I139/J$124</f>
        <v>0</v>
      </c>
      <c r="K139" s="230">
        <v>0</v>
      </c>
      <c r="L139" s="221">
        <f>K139/L$124</f>
        <v>0</v>
      </c>
      <c r="M139" s="230">
        <v>0</v>
      </c>
      <c r="N139" s="216">
        <f>M139/N$124</f>
        <v>0</v>
      </c>
      <c r="O139" s="283">
        <v>0</v>
      </c>
      <c r="P139" s="216">
        <f>O139/P$124</f>
        <v>0</v>
      </c>
      <c r="Q139" s="283">
        <v>0</v>
      </c>
      <c r="R139" s="216">
        <f>Q139/R$124</f>
        <v>0</v>
      </c>
      <c r="S139" s="283">
        <v>0</v>
      </c>
      <c r="T139" s="216">
        <f>S139/T$124</f>
        <v>0</v>
      </c>
      <c r="U139" s="283">
        <v>0</v>
      </c>
      <c r="V139" s="216">
        <v>0</v>
      </c>
      <c r="W139" s="283">
        <v>0</v>
      </c>
      <c r="X139" s="216">
        <v>0</v>
      </c>
      <c r="Y139" s="283">
        <v>0</v>
      </c>
      <c r="Z139" s="1494">
        <v>0</v>
      </c>
      <c r="AB139" s="1016">
        <f t="shared" si="11"/>
        <v>0</v>
      </c>
      <c r="AC139" s="1957"/>
    </row>
    <row r="140" spans="2:32" s="3" customFormat="1" ht="12" x14ac:dyDescent="0.2">
      <c r="B140" s="75" t="s">
        <v>128</v>
      </c>
      <c r="C140" s="224">
        <v>3</v>
      </c>
      <c r="D140" s="216">
        <f t="shared" si="12"/>
        <v>0.42857142857142855</v>
      </c>
      <c r="E140" s="223">
        <v>2</v>
      </c>
      <c r="F140" s="221">
        <f t="shared" si="13"/>
        <v>0.25</v>
      </c>
      <c r="G140" s="230">
        <v>5</v>
      </c>
      <c r="H140" s="216">
        <f t="shared" si="13"/>
        <v>0.55555555555555558</v>
      </c>
      <c r="I140" s="283">
        <v>0</v>
      </c>
      <c r="J140" s="221">
        <f>I140/J$124</f>
        <v>0</v>
      </c>
      <c r="K140" s="230">
        <v>1</v>
      </c>
      <c r="L140" s="221">
        <f>K140/L$124</f>
        <v>0.33333333333333331</v>
      </c>
      <c r="M140" s="230">
        <v>1</v>
      </c>
      <c r="N140" s="216">
        <f>M140/N$124</f>
        <v>0.25</v>
      </c>
      <c r="O140" s="283">
        <v>0</v>
      </c>
      <c r="P140" s="216">
        <f>O140/P$124</f>
        <v>0</v>
      </c>
      <c r="Q140" s="283">
        <v>0</v>
      </c>
      <c r="R140" s="216">
        <f>Q140/R$124</f>
        <v>0</v>
      </c>
      <c r="S140" s="283">
        <v>0</v>
      </c>
      <c r="T140" s="216">
        <f>S140/T$124</f>
        <v>0</v>
      </c>
      <c r="U140" s="283">
        <v>0</v>
      </c>
      <c r="V140" s="216">
        <v>0</v>
      </c>
      <c r="W140" s="283">
        <v>0</v>
      </c>
      <c r="X140" s="216">
        <v>0</v>
      </c>
      <c r="Y140" s="283">
        <v>0</v>
      </c>
      <c r="Z140" s="1494">
        <v>0</v>
      </c>
      <c r="AB140" s="1016">
        <f t="shared" si="11"/>
        <v>0</v>
      </c>
      <c r="AC140" s="1957"/>
    </row>
    <row r="141" spans="2:32" s="3" customFormat="1" ht="12" x14ac:dyDescent="0.2">
      <c r="B141" s="343" t="s">
        <v>138</v>
      </c>
      <c r="C141" s="219"/>
      <c r="D141" s="216"/>
      <c r="E141" s="227"/>
      <c r="F141" s="221"/>
      <c r="G141" s="315"/>
      <c r="H141" s="216"/>
      <c r="I141" s="285"/>
      <c r="J141" s="221"/>
      <c r="K141" s="315"/>
      <c r="L141" s="221"/>
      <c r="M141" s="315"/>
      <c r="N141" s="216"/>
      <c r="O141" s="285"/>
      <c r="P141" s="216"/>
      <c r="Q141" s="285"/>
      <c r="R141" s="216"/>
      <c r="S141" s="285"/>
      <c r="T141" s="216"/>
      <c r="U141" s="285"/>
      <c r="V141" s="216"/>
      <c r="W141" s="285"/>
      <c r="X141" s="216"/>
      <c r="Y141" s="285"/>
      <c r="Z141" s="1494"/>
      <c r="AB141" s="1016"/>
      <c r="AC141" s="1957"/>
    </row>
    <row r="142" spans="2:32" s="3" customFormat="1" ht="12" x14ac:dyDescent="0.2">
      <c r="B142" s="75" t="s">
        <v>129</v>
      </c>
      <c r="C142" s="224">
        <v>5</v>
      </c>
      <c r="D142" s="216">
        <f t="shared" si="12"/>
        <v>0.7142857142857143</v>
      </c>
      <c r="E142" s="223">
        <v>5</v>
      </c>
      <c r="F142" s="221">
        <f t="shared" si="13"/>
        <v>0.625</v>
      </c>
      <c r="G142" s="230">
        <v>6</v>
      </c>
      <c r="H142" s="216">
        <f t="shared" si="13"/>
        <v>0.66666666666666663</v>
      </c>
      <c r="I142" s="283">
        <v>1</v>
      </c>
      <c r="J142" s="221">
        <f>I142/J$124</f>
        <v>1</v>
      </c>
      <c r="K142" s="230">
        <v>2</v>
      </c>
      <c r="L142" s="221">
        <f>K142/L$124</f>
        <v>0.66666666666666663</v>
      </c>
      <c r="M142" s="230">
        <v>2</v>
      </c>
      <c r="N142" s="216">
        <f>M142/N$124</f>
        <v>0.5</v>
      </c>
      <c r="O142" s="283">
        <v>2</v>
      </c>
      <c r="P142" s="216">
        <f>O142/P$124</f>
        <v>1</v>
      </c>
      <c r="Q142" s="283">
        <v>2</v>
      </c>
      <c r="R142" s="216">
        <f>Q142/R$124</f>
        <v>1</v>
      </c>
      <c r="S142" s="283">
        <v>3</v>
      </c>
      <c r="T142" s="216">
        <f>S142/T$124</f>
        <v>1</v>
      </c>
      <c r="U142" s="283">
        <v>0</v>
      </c>
      <c r="V142" s="216">
        <v>0</v>
      </c>
      <c r="W142" s="283">
        <v>0</v>
      </c>
      <c r="X142" s="216">
        <v>0</v>
      </c>
      <c r="Y142" s="283">
        <v>0</v>
      </c>
      <c r="Z142" s="1494">
        <v>0</v>
      </c>
      <c r="AB142" s="1016">
        <f t="shared" si="11"/>
        <v>1.4</v>
      </c>
      <c r="AC142" s="1957"/>
    </row>
    <row r="143" spans="2:32" s="3" customFormat="1" ht="12" x14ac:dyDescent="0.2">
      <c r="B143" s="75" t="s">
        <v>130</v>
      </c>
      <c r="C143" s="224">
        <v>1</v>
      </c>
      <c r="D143" s="216">
        <f t="shared" si="12"/>
        <v>0.14285714285714285</v>
      </c>
      <c r="E143" s="223">
        <v>3</v>
      </c>
      <c r="F143" s="221">
        <f t="shared" si="13"/>
        <v>0.375</v>
      </c>
      <c r="G143" s="230">
        <v>3</v>
      </c>
      <c r="H143" s="216">
        <f t="shared" si="13"/>
        <v>0.33333333333333331</v>
      </c>
      <c r="I143" s="283">
        <v>0</v>
      </c>
      <c r="J143" s="221">
        <f>I143/J$124</f>
        <v>0</v>
      </c>
      <c r="K143" s="230">
        <v>0</v>
      </c>
      <c r="L143" s="221">
        <f>K143/L$124</f>
        <v>0</v>
      </c>
      <c r="M143" s="230">
        <v>1</v>
      </c>
      <c r="N143" s="216">
        <f>M143/N$124</f>
        <v>0.25</v>
      </c>
      <c r="O143" s="283">
        <v>0</v>
      </c>
      <c r="P143" s="216">
        <f>O143/P$124</f>
        <v>0</v>
      </c>
      <c r="Q143" s="283">
        <v>0</v>
      </c>
      <c r="R143" s="216">
        <f>Q143/R$124</f>
        <v>0</v>
      </c>
      <c r="S143" s="283">
        <v>0</v>
      </c>
      <c r="T143" s="216">
        <f>S143/T$124</f>
        <v>0</v>
      </c>
      <c r="U143" s="283">
        <v>0</v>
      </c>
      <c r="V143" s="216">
        <v>0</v>
      </c>
      <c r="W143" s="283">
        <v>0</v>
      </c>
      <c r="X143" s="216">
        <v>0</v>
      </c>
      <c r="Y143" s="283">
        <v>0</v>
      </c>
      <c r="Z143" s="1494">
        <v>0</v>
      </c>
      <c r="AB143" s="1016">
        <f t="shared" si="11"/>
        <v>0</v>
      </c>
      <c r="AC143" s="1957"/>
    </row>
    <row r="144" spans="2:32" s="3" customFormat="1" ht="12" x14ac:dyDescent="0.2">
      <c r="B144" s="75" t="s">
        <v>131</v>
      </c>
      <c r="C144" s="224">
        <v>1</v>
      </c>
      <c r="D144" s="216">
        <f t="shared" si="12"/>
        <v>0.14285714285714285</v>
      </c>
      <c r="E144" s="223">
        <v>0</v>
      </c>
      <c r="F144" s="221">
        <f t="shared" si="13"/>
        <v>0</v>
      </c>
      <c r="G144" s="230">
        <v>0</v>
      </c>
      <c r="H144" s="216">
        <f t="shared" si="13"/>
        <v>0</v>
      </c>
      <c r="I144" s="283">
        <v>0</v>
      </c>
      <c r="J144" s="221">
        <f>I144/J$124</f>
        <v>0</v>
      </c>
      <c r="K144" s="230">
        <v>1</v>
      </c>
      <c r="L144" s="221">
        <f>K144/L$124</f>
        <v>0.33333333333333331</v>
      </c>
      <c r="M144" s="230">
        <v>1</v>
      </c>
      <c r="N144" s="216">
        <f>M144/N$124</f>
        <v>0.25</v>
      </c>
      <c r="O144" s="283">
        <v>0</v>
      </c>
      <c r="P144" s="216">
        <f>O144/P$124</f>
        <v>0</v>
      </c>
      <c r="Q144" s="283">
        <v>0</v>
      </c>
      <c r="R144" s="216">
        <f>Q144/R$124</f>
        <v>0</v>
      </c>
      <c r="S144" s="283">
        <v>0</v>
      </c>
      <c r="T144" s="216">
        <f>S144/T$124</f>
        <v>0</v>
      </c>
      <c r="U144" s="283">
        <v>0</v>
      </c>
      <c r="V144" s="216">
        <v>0</v>
      </c>
      <c r="W144" s="283">
        <v>0</v>
      </c>
      <c r="X144" s="216">
        <v>0</v>
      </c>
      <c r="Y144" s="283">
        <v>0</v>
      </c>
      <c r="Z144" s="1494">
        <v>0</v>
      </c>
      <c r="AA144" s="930"/>
      <c r="AB144" s="1016">
        <f t="shared" si="11"/>
        <v>0</v>
      </c>
      <c r="AC144" s="1957"/>
    </row>
    <row r="145" spans="1:31" s="3" customFormat="1" thickBot="1" x14ac:dyDescent="0.25">
      <c r="B145" s="344" t="s">
        <v>132</v>
      </c>
      <c r="C145" s="61">
        <v>0</v>
      </c>
      <c r="D145" s="220">
        <f t="shared" si="12"/>
        <v>0</v>
      </c>
      <c r="E145" s="228">
        <v>0</v>
      </c>
      <c r="F145" s="221">
        <f t="shared" si="13"/>
        <v>0</v>
      </c>
      <c r="G145" s="375">
        <v>0</v>
      </c>
      <c r="H145" s="220">
        <f t="shared" si="13"/>
        <v>0</v>
      </c>
      <c r="I145" s="284">
        <v>0</v>
      </c>
      <c r="J145" s="221">
        <f>I145/J$124</f>
        <v>0</v>
      </c>
      <c r="K145" s="375">
        <v>0</v>
      </c>
      <c r="L145" s="221">
        <f>K145/L$124</f>
        <v>0</v>
      </c>
      <c r="M145" s="375">
        <v>0</v>
      </c>
      <c r="N145" s="220">
        <f>M145/N$124</f>
        <v>0</v>
      </c>
      <c r="O145" s="284">
        <v>0</v>
      </c>
      <c r="P145" s="220">
        <f>O145/P$124</f>
        <v>0</v>
      </c>
      <c r="Q145" s="284">
        <v>0</v>
      </c>
      <c r="R145" s="220">
        <f>Q145/R$124</f>
        <v>0</v>
      </c>
      <c r="S145" s="284">
        <v>0</v>
      </c>
      <c r="T145" s="220">
        <f>S145/T$124</f>
        <v>0</v>
      </c>
      <c r="U145" s="284">
        <v>0</v>
      </c>
      <c r="V145" s="216">
        <v>0</v>
      </c>
      <c r="W145" s="284">
        <v>0</v>
      </c>
      <c r="X145" s="216">
        <v>0</v>
      </c>
      <c r="Y145" s="284">
        <v>0</v>
      </c>
      <c r="Z145" s="1494">
        <v>0</v>
      </c>
      <c r="AB145" s="1016">
        <f t="shared" si="11"/>
        <v>0</v>
      </c>
      <c r="AC145" s="1957"/>
    </row>
    <row r="146" spans="1:31" ht="14.25" thickTop="1" thickBot="1" x14ac:dyDescent="0.25">
      <c r="A146" s="1"/>
      <c r="B146" s="956" t="s">
        <v>186</v>
      </c>
      <c r="C146" s="1992" t="s">
        <v>51</v>
      </c>
      <c r="D146" s="1993"/>
      <c r="E146" s="1992" t="s">
        <v>52</v>
      </c>
      <c r="F146" s="1993"/>
      <c r="G146" s="1989" t="s">
        <v>184</v>
      </c>
      <c r="H146" s="1990"/>
      <c r="I146" s="1989" t="s">
        <v>185</v>
      </c>
      <c r="J146" s="1990"/>
      <c r="K146" s="1989" t="s">
        <v>202</v>
      </c>
      <c r="L146" s="1990"/>
      <c r="M146" s="1991" t="s">
        <v>203</v>
      </c>
      <c r="N146" s="1979"/>
      <c r="O146" s="1970" t="s">
        <v>228</v>
      </c>
      <c r="P146" s="1979"/>
      <c r="Q146" s="1970" t="s">
        <v>238</v>
      </c>
      <c r="R146" s="1979"/>
      <c r="S146" s="1970" t="s">
        <v>273</v>
      </c>
      <c r="T146" s="1979"/>
      <c r="U146" s="1970" t="s">
        <v>275</v>
      </c>
      <c r="V146" s="1979"/>
      <c r="W146" s="1970" t="s">
        <v>281</v>
      </c>
      <c r="X146" s="1979"/>
      <c r="Y146" s="1970" t="s">
        <v>291</v>
      </c>
      <c r="Z146" s="1976"/>
      <c r="AB146" s="2003" t="s">
        <v>213</v>
      </c>
      <c r="AC146" s="2004"/>
    </row>
    <row r="147" spans="1:31" x14ac:dyDescent="0.2">
      <c r="A147" s="1"/>
      <c r="B147" s="957"/>
      <c r="C147" s="958"/>
      <c r="D147" s="959"/>
      <c r="E147" s="958"/>
      <c r="F147" s="959"/>
      <c r="G147" s="958" t="s">
        <v>133</v>
      </c>
      <c r="H147" s="959" t="s">
        <v>17</v>
      </c>
      <c r="I147" s="1448" t="s">
        <v>133</v>
      </c>
      <c r="J147" s="1450" t="s">
        <v>17</v>
      </c>
      <c r="K147" s="1451" t="s">
        <v>133</v>
      </c>
      <c r="L147" s="1450" t="s">
        <v>17</v>
      </c>
      <c r="M147" s="1451" t="s">
        <v>133</v>
      </c>
      <c r="N147" s="1450" t="s">
        <v>17</v>
      </c>
      <c r="O147" s="1451" t="s">
        <v>133</v>
      </c>
      <c r="P147" s="1450" t="s">
        <v>17</v>
      </c>
      <c r="Q147" s="1451" t="s">
        <v>133</v>
      </c>
      <c r="R147" s="1450" t="s">
        <v>17</v>
      </c>
      <c r="S147" s="1451" t="s">
        <v>133</v>
      </c>
      <c r="T147" s="1450" t="s">
        <v>17</v>
      </c>
      <c r="U147" s="1768" t="s">
        <v>133</v>
      </c>
      <c r="V147" s="1450" t="s">
        <v>17</v>
      </c>
      <c r="W147" s="1768" t="s">
        <v>133</v>
      </c>
      <c r="X147" s="1450" t="s">
        <v>17</v>
      </c>
      <c r="Y147" s="1768" t="s">
        <v>133</v>
      </c>
      <c r="Z147" s="1452" t="s">
        <v>17</v>
      </c>
      <c r="AB147" s="953" t="s">
        <v>133</v>
      </c>
      <c r="AC147" s="954" t="s">
        <v>17</v>
      </c>
    </row>
    <row r="148" spans="1:31" x14ac:dyDescent="0.2">
      <c r="A148" s="1"/>
      <c r="B148" s="341" t="s">
        <v>187</v>
      </c>
      <c r="C148" s="960">
        <v>0</v>
      </c>
      <c r="D148" s="961">
        <v>0</v>
      </c>
      <c r="E148" s="960">
        <v>0</v>
      </c>
      <c r="F148" s="961">
        <v>0</v>
      </c>
      <c r="G148" s="960">
        <v>0</v>
      </c>
      <c r="H148" s="961">
        <v>0</v>
      </c>
      <c r="I148" s="960">
        <v>1</v>
      </c>
      <c r="J148" s="961">
        <v>0.5</v>
      </c>
      <c r="K148" s="960">
        <v>1</v>
      </c>
      <c r="L148" s="961">
        <v>0.5</v>
      </c>
      <c r="M148" s="960">
        <v>1</v>
      </c>
      <c r="N148" s="961">
        <v>0.5</v>
      </c>
      <c r="O148" s="960">
        <v>0</v>
      </c>
      <c r="P148" s="961">
        <v>0</v>
      </c>
      <c r="Q148" s="960">
        <v>0</v>
      </c>
      <c r="R148" s="961">
        <v>0</v>
      </c>
      <c r="S148" s="960">
        <v>0</v>
      </c>
      <c r="T148" s="961">
        <v>0</v>
      </c>
      <c r="U148" s="960">
        <v>0</v>
      </c>
      <c r="V148" s="961">
        <v>0</v>
      </c>
      <c r="W148" s="960">
        <v>0</v>
      </c>
      <c r="X148" s="961">
        <v>0</v>
      </c>
      <c r="Y148" s="960">
        <v>2</v>
      </c>
      <c r="Z148" s="1517">
        <v>0.8</v>
      </c>
      <c r="AB148" s="1115">
        <f>AVERAGE(Y148,W148,U148,S148,Q148)</f>
        <v>0.4</v>
      </c>
      <c r="AC148" s="1116">
        <f>AVERAGE(Z148,X148,V148,T148,R148)</f>
        <v>0.16</v>
      </c>
    </row>
    <row r="149" spans="1:31" x14ac:dyDescent="0.2">
      <c r="A149" s="1"/>
      <c r="B149" s="341" t="s">
        <v>188</v>
      </c>
      <c r="C149" s="960">
        <v>2</v>
      </c>
      <c r="D149" s="961">
        <v>1</v>
      </c>
      <c r="E149" s="960">
        <v>3</v>
      </c>
      <c r="F149" s="961">
        <v>1.1000000000000001</v>
      </c>
      <c r="G149" s="960">
        <v>1</v>
      </c>
      <c r="H149" s="961">
        <v>0.5</v>
      </c>
      <c r="I149" s="960">
        <v>1</v>
      </c>
      <c r="J149" s="961">
        <v>0.2</v>
      </c>
      <c r="K149" s="960">
        <v>0</v>
      </c>
      <c r="L149" s="961">
        <v>0</v>
      </c>
      <c r="M149" s="960">
        <v>0</v>
      </c>
      <c r="N149" s="961">
        <v>0</v>
      </c>
      <c r="O149" s="960">
        <v>0</v>
      </c>
      <c r="P149" s="961">
        <v>0</v>
      </c>
      <c r="Q149" s="960">
        <v>0</v>
      </c>
      <c r="R149" s="961">
        <v>0</v>
      </c>
      <c r="S149" s="960">
        <v>0</v>
      </c>
      <c r="T149" s="961">
        <v>0</v>
      </c>
      <c r="U149" s="960">
        <v>0</v>
      </c>
      <c r="V149" s="961">
        <v>0</v>
      </c>
      <c r="W149" s="960">
        <v>0</v>
      </c>
      <c r="X149" s="961">
        <v>0</v>
      </c>
      <c r="Y149" s="960">
        <v>0</v>
      </c>
      <c r="Z149" s="1517">
        <v>0</v>
      </c>
      <c r="AB149" s="1115">
        <f t="shared" ref="AB149:AB150" si="14">AVERAGE(Y149,W149,U149,S149,Q149)</f>
        <v>0</v>
      </c>
      <c r="AC149" s="1116">
        <f t="shared" ref="AC149:AC150" si="15">AVERAGE(Z149,X149,V149,T149,R149)</f>
        <v>0</v>
      </c>
    </row>
    <row r="150" spans="1:31" ht="13.5" thickBot="1" x14ac:dyDescent="0.25">
      <c r="A150" s="1"/>
      <c r="B150" s="344" t="s">
        <v>211</v>
      </c>
      <c r="C150" s="962">
        <v>0</v>
      </c>
      <c r="D150" s="963">
        <v>0</v>
      </c>
      <c r="E150" s="964">
        <v>0</v>
      </c>
      <c r="F150" s="963">
        <v>0</v>
      </c>
      <c r="G150" s="964">
        <v>0</v>
      </c>
      <c r="H150" s="963">
        <v>0</v>
      </c>
      <c r="I150" s="964">
        <v>1</v>
      </c>
      <c r="J150" s="963">
        <v>0.5</v>
      </c>
      <c r="K150" s="964">
        <v>0</v>
      </c>
      <c r="L150" s="963">
        <v>0</v>
      </c>
      <c r="M150" s="964">
        <v>0</v>
      </c>
      <c r="N150" s="963">
        <v>0</v>
      </c>
      <c r="O150" s="964">
        <v>0</v>
      </c>
      <c r="P150" s="963">
        <v>0</v>
      </c>
      <c r="Q150" s="964">
        <v>0</v>
      </c>
      <c r="R150" s="963">
        <v>0</v>
      </c>
      <c r="S150" s="964">
        <v>0</v>
      </c>
      <c r="T150" s="963">
        <v>0</v>
      </c>
      <c r="U150" s="964">
        <v>1</v>
      </c>
      <c r="V150" s="963">
        <v>0.5</v>
      </c>
      <c r="W150" s="964">
        <v>1</v>
      </c>
      <c r="X150" s="963">
        <v>0.5</v>
      </c>
      <c r="Y150" s="964">
        <v>0</v>
      </c>
      <c r="Z150" s="1518">
        <v>0</v>
      </c>
      <c r="AB150" s="1117">
        <f t="shared" si="14"/>
        <v>0.4</v>
      </c>
      <c r="AC150" s="1118">
        <f t="shared" si="15"/>
        <v>0.2</v>
      </c>
    </row>
    <row r="151" spans="1:31" ht="17.25" thickTop="1" thickBot="1" x14ac:dyDescent="0.3">
      <c r="A151" s="966"/>
      <c r="B151" s="967"/>
      <c r="C151" s="1992" t="s">
        <v>51</v>
      </c>
      <c r="D151" s="1993"/>
      <c r="E151" s="1992" t="s">
        <v>52</v>
      </c>
      <c r="F151" s="1993"/>
      <c r="G151" s="1989" t="s">
        <v>184</v>
      </c>
      <c r="H151" s="1990"/>
      <c r="I151" s="1989" t="s">
        <v>185</v>
      </c>
      <c r="J151" s="1990"/>
      <c r="K151" s="1989" t="s">
        <v>202</v>
      </c>
      <c r="L151" s="1990"/>
      <c r="M151" s="1991" t="s">
        <v>203</v>
      </c>
      <c r="N151" s="1979"/>
      <c r="O151" s="1970" t="s">
        <v>254</v>
      </c>
      <c r="P151" s="1979"/>
      <c r="Q151" s="1970" t="s">
        <v>238</v>
      </c>
      <c r="R151" s="1979"/>
      <c r="S151" s="1970" t="s">
        <v>273</v>
      </c>
      <c r="T151" s="1979"/>
      <c r="U151" s="1970" t="s">
        <v>275</v>
      </c>
      <c r="V151" s="1979"/>
      <c r="W151" s="1970" t="s">
        <v>281</v>
      </c>
      <c r="X151" s="1979"/>
      <c r="Y151" s="1970" t="s">
        <v>291</v>
      </c>
      <c r="Z151" s="1976"/>
      <c r="AA151" s="968"/>
      <c r="AB151" s="1987"/>
      <c r="AC151" s="1988"/>
      <c r="AD151" s="28"/>
      <c r="AE151" s="3"/>
    </row>
    <row r="152" spans="1:31" x14ac:dyDescent="0.2">
      <c r="A152" s="3"/>
      <c r="B152" s="342" t="s">
        <v>210</v>
      </c>
      <c r="C152" s="1097"/>
      <c r="D152" s="1098"/>
      <c r="E152" s="1099"/>
      <c r="F152" s="1100"/>
      <c r="G152" s="1101"/>
      <c r="H152" s="1102"/>
      <c r="I152" s="1529"/>
      <c r="J152" s="1530"/>
      <c r="K152" s="982"/>
      <c r="L152" s="1105"/>
      <c r="M152" s="982"/>
      <c r="N152" s="983"/>
      <c r="O152" s="1229"/>
      <c r="P152" s="1467"/>
      <c r="Q152" s="982"/>
      <c r="R152" s="983"/>
      <c r="S152" s="982"/>
      <c r="T152" s="983"/>
      <c r="U152" s="1229"/>
      <c r="V152" s="1401"/>
      <c r="W152" s="982"/>
      <c r="X152" s="983"/>
      <c r="Y152" s="982"/>
      <c r="Z152" s="1474"/>
      <c r="AA152" s="1106"/>
      <c r="AB152" s="1106"/>
      <c r="AC152" s="1106"/>
      <c r="AD152" s="3"/>
      <c r="AE152" s="3"/>
    </row>
    <row r="153" spans="1:31" x14ac:dyDescent="0.2">
      <c r="A153" s="930"/>
      <c r="B153" s="979" t="s">
        <v>192</v>
      </c>
      <c r="C153" s="1983">
        <v>6.85</v>
      </c>
      <c r="D153" s="1984"/>
      <c r="E153" s="980"/>
      <c r="F153" s="981"/>
      <c r="G153" s="982"/>
      <c r="H153" s="983"/>
      <c r="I153" s="1983">
        <v>4.45</v>
      </c>
      <c r="J153" s="1984"/>
      <c r="K153" s="1107"/>
      <c r="L153" s="1108"/>
      <c r="M153" s="1107"/>
      <c r="N153" s="983"/>
      <c r="O153" s="1468"/>
      <c r="P153" s="1422">
        <v>9</v>
      </c>
      <c r="Q153" s="1107"/>
      <c r="R153" s="983"/>
      <c r="S153" s="1107"/>
      <c r="T153" s="983"/>
      <c r="U153" s="1230"/>
      <c r="V153" s="1422">
        <v>16</v>
      </c>
      <c r="W153" s="1107"/>
      <c r="X153" s="983"/>
      <c r="Y153" s="1107"/>
      <c r="Z153" s="1474"/>
      <c r="AA153" s="1106"/>
      <c r="AB153" s="1106"/>
      <c r="AC153" s="1106"/>
      <c r="AD153" s="3"/>
      <c r="AE153" s="3"/>
    </row>
    <row r="154" spans="1:31" x14ac:dyDescent="0.2">
      <c r="A154" s="930"/>
      <c r="B154" s="986" t="s">
        <v>193</v>
      </c>
      <c r="C154" s="1983"/>
      <c r="D154" s="1984"/>
      <c r="E154" s="980"/>
      <c r="F154" s="981"/>
      <c r="G154" s="982"/>
      <c r="H154" s="983"/>
      <c r="I154" s="1983"/>
      <c r="J154" s="1984"/>
      <c r="K154" s="1107"/>
      <c r="L154" s="1108"/>
      <c r="M154" s="1107"/>
      <c r="N154" s="983"/>
      <c r="O154" s="1468"/>
      <c r="P154" s="1422"/>
      <c r="Q154" s="1107"/>
      <c r="R154" s="983"/>
      <c r="S154" s="1107"/>
      <c r="T154" s="983"/>
      <c r="U154" s="1230"/>
      <c r="V154" s="1422"/>
      <c r="W154" s="1107"/>
      <c r="X154" s="983"/>
      <c r="Y154" s="1107"/>
      <c r="Z154" s="1474"/>
      <c r="AA154" s="1106"/>
      <c r="AB154" s="1106"/>
      <c r="AC154" s="1106"/>
      <c r="AD154" s="3"/>
      <c r="AE154" s="3"/>
    </row>
    <row r="155" spans="1:31" x14ac:dyDescent="0.2">
      <c r="A155" s="930"/>
      <c r="B155" s="986" t="s">
        <v>194</v>
      </c>
      <c r="C155" s="1983">
        <v>7.65</v>
      </c>
      <c r="D155" s="1984"/>
      <c r="E155" s="980"/>
      <c r="F155" s="981"/>
      <c r="G155" s="982"/>
      <c r="H155" s="983"/>
      <c r="I155" s="1983">
        <v>0</v>
      </c>
      <c r="J155" s="1984"/>
      <c r="K155" s="1107"/>
      <c r="L155" s="1108"/>
      <c r="M155" s="1107"/>
      <c r="N155" s="983"/>
      <c r="O155" s="1468"/>
      <c r="P155" s="1422">
        <v>0</v>
      </c>
      <c r="Q155" s="1107"/>
      <c r="R155" s="983"/>
      <c r="S155" s="1107"/>
      <c r="T155" s="983"/>
      <c r="U155" s="1230"/>
      <c r="V155" s="1422">
        <v>1</v>
      </c>
      <c r="W155" s="1107"/>
      <c r="X155" s="983"/>
      <c r="Y155" s="1107"/>
      <c r="Z155" s="1474"/>
      <c r="AA155" s="1106"/>
      <c r="AB155" s="1106"/>
      <c r="AC155" s="1106"/>
      <c r="AD155" s="3"/>
      <c r="AE155" s="3"/>
    </row>
    <row r="156" spans="1:31" x14ac:dyDescent="0.2">
      <c r="A156" s="930"/>
      <c r="B156" s="979" t="s">
        <v>195</v>
      </c>
      <c r="C156" s="1983">
        <v>0</v>
      </c>
      <c r="D156" s="1984"/>
      <c r="E156" s="980"/>
      <c r="F156" s="981"/>
      <c r="G156" s="982"/>
      <c r="H156" s="983"/>
      <c r="I156" s="1983">
        <v>0</v>
      </c>
      <c r="J156" s="1984"/>
      <c r="K156" s="1107"/>
      <c r="L156" s="1108"/>
      <c r="M156" s="1107"/>
      <c r="N156" s="983"/>
      <c r="O156" s="1468"/>
      <c r="P156" s="1422">
        <v>0</v>
      </c>
      <c r="Q156" s="1107"/>
      <c r="R156" s="983"/>
      <c r="S156" s="1107"/>
      <c r="T156" s="983"/>
      <c r="U156" s="1230"/>
      <c r="V156" s="1422">
        <v>0</v>
      </c>
      <c r="W156" s="1107"/>
      <c r="X156" s="983"/>
      <c r="Y156" s="1107"/>
      <c r="Z156" s="1474"/>
      <c r="AA156" s="1106"/>
      <c r="AB156" s="1106"/>
      <c r="AC156" s="1106"/>
      <c r="AD156" s="3"/>
      <c r="AE156" s="3"/>
    </row>
    <row r="157" spans="1:31" x14ac:dyDescent="0.2">
      <c r="A157" s="930"/>
      <c r="B157" s="987" t="s">
        <v>196</v>
      </c>
      <c r="C157" s="1983">
        <v>1.1000000000000001</v>
      </c>
      <c r="D157" s="1984"/>
      <c r="E157" s="980"/>
      <c r="F157" s="981"/>
      <c r="G157" s="982"/>
      <c r="H157" s="983"/>
      <c r="I157" s="1983">
        <f>5.8+0.5</f>
        <v>6.3</v>
      </c>
      <c r="J157" s="1984"/>
      <c r="K157" s="1107"/>
      <c r="L157" s="1108"/>
      <c r="M157" s="1107"/>
      <c r="N157" s="983"/>
      <c r="O157" s="1468"/>
      <c r="P157" s="1422">
        <f>12.4+32.5</f>
        <v>44.9</v>
      </c>
      <c r="Q157" s="1107"/>
      <c r="R157" s="983"/>
      <c r="S157" s="1107"/>
      <c r="T157" s="983"/>
      <c r="U157" s="1230"/>
      <c r="V157" s="1422">
        <f>14.16+36</f>
        <v>50.16</v>
      </c>
      <c r="W157" s="1107"/>
      <c r="X157" s="983"/>
      <c r="Y157" s="1107"/>
      <c r="Z157" s="1474"/>
      <c r="AA157" s="1106"/>
      <c r="AB157" s="1106"/>
      <c r="AC157" s="1106"/>
      <c r="AD157" s="3"/>
      <c r="AE157" s="3"/>
    </row>
    <row r="158" spans="1:31" x14ac:dyDescent="0.2">
      <c r="A158" s="930"/>
      <c r="B158" s="987" t="s">
        <v>197</v>
      </c>
      <c r="C158" s="1983">
        <f>SUM(C153:D157)</f>
        <v>15.6</v>
      </c>
      <c r="D158" s="1984"/>
      <c r="E158" s="980"/>
      <c r="F158" s="981"/>
      <c r="G158" s="982"/>
      <c r="H158" s="983"/>
      <c r="I158" s="1983">
        <f>SUM(I153:J157)</f>
        <v>10.75</v>
      </c>
      <c r="J158" s="1984"/>
      <c r="K158" s="1107"/>
      <c r="L158" s="1108"/>
      <c r="M158" s="1107"/>
      <c r="N158" s="983"/>
      <c r="O158" s="1468"/>
      <c r="P158" s="1422">
        <f>SUM(P153:P157)</f>
        <v>53.9</v>
      </c>
      <c r="Q158" s="1107"/>
      <c r="R158" s="983"/>
      <c r="S158" s="1107"/>
      <c r="T158" s="983"/>
      <c r="U158" s="1230"/>
      <c r="V158" s="1422">
        <f>SUM(V153:V157)</f>
        <v>67.16</v>
      </c>
      <c r="W158" s="1107"/>
      <c r="X158" s="983"/>
      <c r="Y158" s="1107"/>
      <c r="Z158" s="1474"/>
      <c r="AA158" s="1106"/>
      <c r="AB158" s="1106"/>
      <c r="AC158" s="1106"/>
      <c r="AD158" s="3"/>
      <c r="AE158" s="3"/>
    </row>
    <row r="159" spans="1:31" ht="13.5" thickBot="1" x14ac:dyDescent="0.25">
      <c r="A159" s="930"/>
      <c r="B159" s="988" t="s">
        <v>204</v>
      </c>
      <c r="C159" s="1983"/>
      <c r="D159" s="1984"/>
      <c r="E159" s="980"/>
      <c r="F159" s="981"/>
      <c r="G159" s="982"/>
      <c r="H159" s="983"/>
      <c r="I159" s="1983"/>
      <c r="J159" s="1984"/>
      <c r="K159" s="1107"/>
      <c r="L159" s="1108"/>
      <c r="M159" s="1107"/>
      <c r="N159" s="983"/>
      <c r="O159" s="1468"/>
      <c r="P159" s="1422"/>
      <c r="Q159" s="1107"/>
      <c r="R159" s="983"/>
      <c r="S159" s="1107"/>
      <c r="T159" s="983"/>
      <c r="U159" s="1230"/>
      <c r="V159" s="1422"/>
      <c r="W159" s="1107"/>
      <c r="X159" s="983"/>
      <c r="Y159" s="1107"/>
      <c r="Z159" s="1474"/>
      <c r="AA159" s="1106"/>
      <c r="AB159" s="1106"/>
      <c r="AC159" s="1106"/>
      <c r="AD159" s="3"/>
      <c r="AE159" s="3"/>
    </row>
    <row r="160" spans="1:31" x14ac:dyDescent="0.2">
      <c r="A160" s="930"/>
      <c r="B160" s="979" t="s">
        <v>198</v>
      </c>
      <c r="C160" s="1983">
        <v>3052</v>
      </c>
      <c r="D160" s="1984"/>
      <c r="E160" s="980"/>
      <c r="F160" s="981"/>
      <c r="G160" s="982"/>
      <c r="H160" s="983"/>
      <c r="I160" s="1985">
        <v>562</v>
      </c>
      <c r="J160" s="1986"/>
      <c r="K160" s="1000"/>
      <c r="L160" s="1001"/>
      <c r="M160" s="1000"/>
      <c r="N160" s="999"/>
      <c r="O160" s="1464"/>
      <c r="P160" s="1462">
        <v>605</v>
      </c>
      <c r="Q160" s="1000"/>
      <c r="R160" s="999"/>
      <c r="S160" s="1000"/>
      <c r="T160" s="999"/>
      <c r="U160" s="494"/>
      <c r="V160" s="1462">
        <v>577</v>
      </c>
      <c r="W160" s="1000"/>
      <c r="X160" s="999"/>
      <c r="Y160" s="1000"/>
      <c r="Z160" s="1460"/>
      <c r="AA160" s="668"/>
      <c r="AB160" s="668"/>
      <c r="AC160" s="1473"/>
      <c r="AD160" s="3"/>
      <c r="AE160" s="3"/>
    </row>
    <row r="161" spans="1:31" x14ac:dyDescent="0.2">
      <c r="A161" s="930"/>
      <c r="B161" s="987" t="s">
        <v>199</v>
      </c>
      <c r="C161" s="1983">
        <v>1586</v>
      </c>
      <c r="D161" s="1984"/>
      <c r="E161" s="980"/>
      <c r="F161" s="981"/>
      <c r="G161" s="982"/>
      <c r="H161" s="983"/>
      <c r="I161" s="1985">
        <v>0</v>
      </c>
      <c r="J161" s="1986"/>
      <c r="K161" s="1000"/>
      <c r="L161" s="1001"/>
      <c r="M161" s="1000"/>
      <c r="N161" s="999"/>
      <c r="O161" s="1464"/>
      <c r="P161" s="1462">
        <v>0</v>
      </c>
      <c r="Q161" s="1000"/>
      <c r="R161" s="999"/>
      <c r="S161" s="1000"/>
      <c r="T161" s="999"/>
      <c r="U161" s="494"/>
      <c r="V161" s="1462">
        <v>85</v>
      </c>
      <c r="W161" s="1000"/>
      <c r="X161" s="999"/>
      <c r="Y161" s="1000"/>
      <c r="Z161" s="1460"/>
      <c r="AA161" s="668"/>
      <c r="AB161" s="668"/>
      <c r="AC161" s="1473"/>
      <c r="AD161" s="3"/>
      <c r="AE161" s="3"/>
    </row>
    <row r="162" spans="1:31" x14ac:dyDescent="0.2">
      <c r="A162" s="930"/>
      <c r="B162" s="987" t="s">
        <v>200</v>
      </c>
      <c r="C162" s="1983">
        <v>216</v>
      </c>
      <c r="D162" s="1984"/>
      <c r="E162" s="980"/>
      <c r="F162" s="981"/>
      <c r="G162" s="982"/>
      <c r="H162" s="983"/>
      <c r="I162" s="1985">
        <f>2294+42</f>
        <v>2336</v>
      </c>
      <c r="J162" s="1986"/>
      <c r="K162" s="1000"/>
      <c r="L162" s="1001"/>
      <c r="M162" s="1000"/>
      <c r="N162" s="999"/>
      <c r="O162" s="1464"/>
      <c r="P162" s="1462">
        <f>1230+7176</f>
        <v>8406</v>
      </c>
      <c r="Q162" s="1000"/>
      <c r="R162" s="999"/>
      <c r="S162" s="1000"/>
      <c r="T162" s="999"/>
      <c r="U162" s="494"/>
      <c r="V162" s="1462">
        <f>594+6737</f>
        <v>7331</v>
      </c>
      <c r="W162" s="1000"/>
      <c r="X162" s="999"/>
      <c r="Y162" s="1000"/>
      <c r="Z162" s="1460"/>
      <c r="AA162" s="668"/>
      <c r="AB162" s="668"/>
      <c r="AC162" s="1473"/>
      <c r="AD162" s="3"/>
      <c r="AE162" s="3"/>
    </row>
    <row r="163" spans="1:31" x14ac:dyDescent="0.2">
      <c r="A163" s="930"/>
      <c r="B163" s="987" t="s">
        <v>209</v>
      </c>
      <c r="C163" s="1983">
        <f>SUM(C160:D162)</f>
        <v>4854</v>
      </c>
      <c r="D163" s="1984"/>
      <c r="E163" s="980"/>
      <c r="F163" s="981"/>
      <c r="G163" s="982"/>
      <c r="H163" s="983"/>
      <c r="I163" s="1985">
        <f>SUM(I160:J162)</f>
        <v>2898</v>
      </c>
      <c r="J163" s="1986"/>
      <c r="K163" s="1000"/>
      <c r="L163" s="1001"/>
      <c r="M163" s="1000"/>
      <c r="N163" s="999"/>
      <c r="O163" s="1464"/>
      <c r="P163" s="1462">
        <f>SUM(P160:P162)</f>
        <v>9011</v>
      </c>
      <c r="Q163" s="1000"/>
      <c r="R163" s="999"/>
      <c r="S163" s="1000"/>
      <c r="T163" s="999"/>
      <c r="U163" s="494"/>
      <c r="V163" s="1462">
        <f>SUM(V160:V162)</f>
        <v>7993</v>
      </c>
      <c r="W163" s="1000"/>
      <c r="X163" s="999"/>
      <c r="Y163" s="1000"/>
      <c r="Z163" s="1460"/>
      <c r="AA163" s="668"/>
      <c r="AB163" s="668"/>
      <c r="AC163" s="1473"/>
      <c r="AD163" s="3"/>
      <c r="AE163" s="3"/>
    </row>
    <row r="164" spans="1:31" ht="13.5" thickBot="1" x14ac:dyDescent="0.25">
      <c r="A164" s="930"/>
      <c r="B164" s="988" t="s">
        <v>205</v>
      </c>
      <c r="C164" s="1983"/>
      <c r="D164" s="1984"/>
      <c r="E164" s="980"/>
      <c r="F164" s="981"/>
      <c r="G164" s="982"/>
      <c r="H164" s="983"/>
      <c r="I164" s="1983"/>
      <c r="J164" s="1984"/>
      <c r="K164" s="1107"/>
      <c r="L164" s="1108"/>
      <c r="M164" s="1107"/>
      <c r="N164" s="983"/>
      <c r="O164" s="1230"/>
      <c r="P164" s="1401"/>
      <c r="Q164" s="1107"/>
      <c r="R164" s="983"/>
      <c r="S164" s="1107"/>
      <c r="T164" s="983"/>
      <c r="U164" s="1230"/>
      <c r="V164" s="1401"/>
      <c r="W164" s="1107"/>
      <c r="X164" s="983"/>
      <c r="Y164" s="1107"/>
      <c r="Z164" s="1474"/>
      <c r="AA164" s="1106"/>
      <c r="AB164" s="1106"/>
      <c r="AC164" s="1106"/>
      <c r="AD164" s="28"/>
      <c r="AE164" s="28"/>
    </row>
    <row r="165" spans="1:31" x14ac:dyDescent="0.2">
      <c r="A165" s="930"/>
      <c r="B165" s="979" t="s">
        <v>206</v>
      </c>
      <c r="C165" s="1983">
        <f>C160/C153</f>
        <v>445.54744525547449</v>
      </c>
      <c r="D165" s="1984"/>
      <c r="E165" s="980"/>
      <c r="F165" s="981"/>
      <c r="G165" s="982"/>
      <c r="H165" s="983"/>
      <c r="I165" s="1983">
        <f>I160/I153</f>
        <v>126.29213483146067</v>
      </c>
      <c r="J165" s="1984" t="e">
        <f>J160/J153</f>
        <v>#DIV/0!</v>
      </c>
      <c r="K165" s="1107"/>
      <c r="L165" s="1108"/>
      <c r="M165" s="1107"/>
      <c r="N165" s="983"/>
      <c r="O165" s="1230"/>
      <c r="P165" s="1401">
        <f>P160/P153</f>
        <v>67.222222222222229</v>
      </c>
      <c r="Q165" s="1107"/>
      <c r="R165" s="983"/>
      <c r="S165" s="1107"/>
      <c r="T165" s="983"/>
      <c r="U165" s="1230"/>
      <c r="V165" s="1401">
        <f>V160/V153</f>
        <v>36.0625</v>
      </c>
      <c r="W165" s="1107"/>
      <c r="X165" s="983"/>
      <c r="Y165" s="1107"/>
      <c r="Z165" s="1474"/>
      <c r="AA165" s="1106"/>
      <c r="AB165" s="1106"/>
      <c r="AC165" s="1106"/>
      <c r="AD165" s="21"/>
      <c r="AE165" s="21"/>
    </row>
    <row r="166" spans="1:31" x14ac:dyDescent="0.2">
      <c r="A166" s="930"/>
      <c r="B166" s="987" t="s">
        <v>207</v>
      </c>
      <c r="C166" s="1983">
        <f>C161/C155</f>
        <v>207.3202614379085</v>
      </c>
      <c r="D166" s="1984"/>
      <c r="E166" s="980"/>
      <c r="F166" s="981"/>
      <c r="G166" s="982"/>
      <c r="H166" s="983"/>
      <c r="I166" s="1983">
        <v>0</v>
      </c>
      <c r="J166" s="1984">
        <v>0</v>
      </c>
      <c r="K166" s="1107"/>
      <c r="L166" s="1108"/>
      <c r="M166" s="1107"/>
      <c r="N166" s="983"/>
      <c r="O166" s="1230"/>
      <c r="P166" s="1401">
        <v>0</v>
      </c>
      <c r="Q166" s="1107"/>
      <c r="R166" s="983"/>
      <c r="S166" s="1107"/>
      <c r="T166" s="983"/>
      <c r="U166" s="1230"/>
      <c r="V166" s="1401">
        <f>V161/(V155+V156)</f>
        <v>85</v>
      </c>
      <c r="W166" s="1107"/>
      <c r="X166" s="983"/>
      <c r="Y166" s="1107"/>
      <c r="Z166" s="1474"/>
      <c r="AA166" s="1106"/>
      <c r="AB166" s="1106"/>
      <c r="AC166" s="1106"/>
      <c r="AD166" s="21"/>
      <c r="AE166" s="21"/>
    </row>
    <row r="167" spans="1:31" x14ac:dyDescent="0.2">
      <c r="A167" s="930"/>
      <c r="B167" s="987" t="s">
        <v>208</v>
      </c>
      <c r="C167" s="1983">
        <f>C162/C157</f>
        <v>196.36363636363635</v>
      </c>
      <c r="D167" s="1984"/>
      <c r="E167" s="980"/>
      <c r="F167" s="981"/>
      <c r="G167" s="982"/>
      <c r="H167" s="983"/>
      <c r="I167" s="1983">
        <f>I162/I157</f>
        <v>370.79365079365078</v>
      </c>
      <c r="J167" s="1984" t="e">
        <f>J162/J157</f>
        <v>#DIV/0!</v>
      </c>
      <c r="K167" s="1107"/>
      <c r="L167" s="1108"/>
      <c r="M167" s="1107"/>
      <c r="N167" s="983"/>
      <c r="O167" s="1230"/>
      <c r="P167" s="1401">
        <f>P162/P157</f>
        <v>187.21603563474389</v>
      </c>
      <c r="Q167" s="1107"/>
      <c r="R167" s="983"/>
      <c r="S167" s="1107"/>
      <c r="T167" s="983"/>
      <c r="U167" s="1230"/>
      <c r="V167" s="1401">
        <f>V162/V157</f>
        <v>146.15231259968104</v>
      </c>
      <c r="W167" s="1107"/>
      <c r="X167" s="983"/>
      <c r="Y167" s="1107"/>
      <c r="Z167" s="1474"/>
      <c r="AA167" s="1106"/>
      <c r="AB167" s="1106"/>
      <c r="AC167" s="1106"/>
      <c r="AD167" s="21"/>
      <c r="AE167" s="21"/>
    </row>
    <row r="168" spans="1:31" ht="13.5" thickBot="1" x14ac:dyDescent="0.25">
      <c r="A168" s="930"/>
      <c r="B168" s="1002" t="s">
        <v>201</v>
      </c>
      <c r="C168" s="1977">
        <f>C163/C158</f>
        <v>311.15384615384619</v>
      </c>
      <c r="D168" s="1978"/>
      <c r="E168" s="1109"/>
      <c r="F168" s="1110"/>
      <c r="G168" s="1111"/>
      <c r="H168" s="1112"/>
      <c r="I168" s="1977">
        <f>I163/I158</f>
        <v>269.58139534883719</v>
      </c>
      <c r="J168" s="1978" t="e">
        <f>J163/J158</f>
        <v>#DIV/0!</v>
      </c>
      <c r="K168" s="1111"/>
      <c r="L168" s="1112"/>
      <c r="M168" s="1111"/>
      <c r="N168" s="1112"/>
      <c r="O168" s="1231"/>
      <c r="P168" s="1531">
        <f>P163/P158</f>
        <v>167.1799628942486</v>
      </c>
      <c r="Q168" s="1476"/>
      <c r="R168" s="1112"/>
      <c r="S168" s="1111"/>
      <c r="T168" s="1112"/>
      <c r="U168" s="1231"/>
      <c r="V168" s="1531">
        <f>V163/V158</f>
        <v>119.01429422275164</v>
      </c>
      <c r="W168" s="1111"/>
      <c r="X168" s="1112"/>
      <c r="Y168" s="1111"/>
      <c r="Z168" s="1475"/>
      <c r="AA168" s="1106"/>
      <c r="AB168" s="1106"/>
      <c r="AC168" s="1106"/>
      <c r="AD168" s="21"/>
      <c r="AE168" s="21"/>
    </row>
    <row r="169" spans="1:31" ht="13.5" thickTop="1" x14ac:dyDescent="0.2">
      <c r="B169" s="1" t="s">
        <v>282</v>
      </c>
    </row>
  </sheetData>
  <mergeCells count="141">
    <mergeCell ref="AB146:AC146"/>
    <mergeCell ref="O90:P90"/>
    <mergeCell ref="O116:P116"/>
    <mergeCell ref="U116:V116"/>
    <mergeCell ref="U146:V146"/>
    <mergeCell ref="W146:X146"/>
    <mergeCell ref="W116:X116"/>
    <mergeCell ref="K116:L116"/>
    <mergeCell ref="Q7:R7"/>
    <mergeCell ref="Q75:R75"/>
    <mergeCell ref="Q83:R83"/>
    <mergeCell ref="AB75:AC75"/>
    <mergeCell ref="U7:V7"/>
    <mergeCell ref="U75:V75"/>
    <mergeCell ref="U83:V83"/>
    <mergeCell ref="U86:V86"/>
    <mergeCell ref="U90:V90"/>
    <mergeCell ref="W7:X7"/>
    <mergeCell ref="W75:X75"/>
    <mergeCell ref="W83:X83"/>
    <mergeCell ref="W86:X86"/>
    <mergeCell ref="W90:X90"/>
    <mergeCell ref="K146:L146"/>
    <mergeCell ref="Q146:R146"/>
    <mergeCell ref="I146:J146"/>
    <mergeCell ref="G116:H116"/>
    <mergeCell ref="O146:P146"/>
    <mergeCell ref="M146:N146"/>
    <mergeCell ref="C116:D116"/>
    <mergeCell ref="E116:F116"/>
    <mergeCell ref="G90:H90"/>
    <mergeCell ref="C84:D84"/>
    <mergeCell ref="C85:D85"/>
    <mergeCell ref="C90:D90"/>
    <mergeCell ref="E90:F90"/>
    <mergeCell ref="C86:D86"/>
    <mergeCell ref="AB90:AC90"/>
    <mergeCell ref="AB116:AC116"/>
    <mergeCell ref="K75:L75"/>
    <mergeCell ref="K90:L90"/>
    <mergeCell ref="I83:J83"/>
    <mergeCell ref="I84:J84"/>
    <mergeCell ref="K83:L83"/>
    <mergeCell ref="I90:J90"/>
    <mergeCell ref="AB7:AC7"/>
    <mergeCell ref="I86:J86"/>
    <mergeCell ref="AB86:AC86"/>
    <mergeCell ref="O7:P7"/>
    <mergeCell ref="O75:P75"/>
    <mergeCell ref="AB83:AC83"/>
    <mergeCell ref="I85:J85"/>
    <mergeCell ref="I7:J7"/>
    <mergeCell ref="M7:N7"/>
    <mergeCell ref="M75:N75"/>
    <mergeCell ref="M90:N90"/>
    <mergeCell ref="M86:N86"/>
    <mergeCell ref="M83:N83"/>
    <mergeCell ref="K7:L7"/>
    <mergeCell ref="K86:L86"/>
    <mergeCell ref="O86:P86"/>
    <mergeCell ref="C75:D75"/>
    <mergeCell ref="E75:F75"/>
    <mergeCell ref="G84:H84"/>
    <mergeCell ref="G75:H75"/>
    <mergeCell ref="E84:F84"/>
    <mergeCell ref="C83:D83"/>
    <mergeCell ref="I75:J75"/>
    <mergeCell ref="O151:P151"/>
    <mergeCell ref="Q151:R151"/>
    <mergeCell ref="Q116:R116"/>
    <mergeCell ref="Q86:R86"/>
    <mergeCell ref="Q90:R90"/>
    <mergeCell ref="E83:F83"/>
    <mergeCell ref="G83:H83"/>
    <mergeCell ref="G86:H86"/>
    <mergeCell ref="E86:F86"/>
    <mergeCell ref="G85:H85"/>
    <mergeCell ref="E85:F85"/>
    <mergeCell ref="I116:J116"/>
    <mergeCell ref="M116:N116"/>
    <mergeCell ref="O83:P83"/>
    <mergeCell ref="C146:D146"/>
    <mergeCell ref="E146:F146"/>
    <mergeCell ref="G146:H146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AB151:AC151"/>
    <mergeCell ref="C153:D153"/>
    <mergeCell ref="I153:J153"/>
    <mergeCell ref="K151:L151"/>
    <mergeCell ref="M151:N151"/>
    <mergeCell ref="U151:V151"/>
    <mergeCell ref="C154:D154"/>
    <mergeCell ref="I154:J154"/>
    <mergeCell ref="C151:D151"/>
    <mergeCell ref="E151:F151"/>
    <mergeCell ref="G151:H151"/>
    <mergeCell ref="I151:J151"/>
    <mergeCell ref="W151:X151"/>
    <mergeCell ref="C159:D159"/>
    <mergeCell ref="I159:J159"/>
    <mergeCell ref="C166:D166"/>
    <mergeCell ref="I166:J166"/>
    <mergeCell ref="C161:D161"/>
    <mergeCell ref="I161:J161"/>
    <mergeCell ref="C162:D162"/>
    <mergeCell ref="I162:J162"/>
    <mergeCell ref="C163:D163"/>
    <mergeCell ref="I163:J163"/>
    <mergeCell ref="C160:D160"/>
    <mergeCell ref="I160:J160"/>
    <mergeCell ref="Y7:Z7"/>
    <mergeCell ref="Y75:Z75"/>
    <mergeCell ref="Y83:Z83"/>
    <mergeCell ref="Y86:Z86"/>
    <mergeCell ref="Y90:Z90"/>
    <mergeCell ref="Y116:Z116"/>
    <mergeCell ref="Y146:Z146"/>
    <mergeCell ref="Y151:Z151"/>
    <mergeCell ref="C168:D168"/>
    <mergeCell ref="I168:J168"/>
    <mergeCell ref="S146:T146"/>
    <mergeCell ref="S151:T151"/>
    <mergeCell ref="S7:T7"/>
    <mergeCell ref="S75:T75"/>
    <mergeCell ref="S83:T83"/>
    <mergeCell ref="S86:T86"/>
    <mergeCell ref="S90:T90"/>
    <mergeCell ref="S116:T116"/>
    <mergeCell ref="C164:D164"/>
    <mergeCell ref="I164:J164"/>
    <mergeCell ref="C165:D165"/>
    <mergeCell ref="I165:J165"/>
    <mergeCell ref="C167:D167"/>
    <mergeCell ref="I167:J167"/>
  </mergeCells>
  <phoneticPr fontId="3" type="noConversion"/>
  <printOptions horizontalCentered="1"/>
  <pageMargins left="0" right="0" top="0.5" bottom="0.25" header="0.41" footer="0.25"/>
  <pageSetup scale="56" orientation="portrait" horizontalDpi="4294967292" verticalDpi="4294967292" r:id="rId1"/>
  <headerFooter alignWithMargins="0">
    <oddFooter>&amp;R&amp;P of &amp;N
&amp;D</oddFooter>
  </headerFooter>
  <rowBreaks count="1" manualBreakCount="1">
    <brk id="87" max="28" man="1"/>
  </rowBreaks>
  <ignoredErrors>
    <ignoredError sqref="T12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7"/>
  <sheetViews>
    <sheetView view="pageBreakPreview" zoomScaleNormal="100" workbookViewId="0">
      <pane xSplit="2" ySplit="1" topLeftCell="O2" activePane="bottomRight" state="frozen"/>
      <selection activeCell="AF81" sqref="AF81"/>
      <selection pane="topRight" activeCell="AF81" sqref="AF81"/>
      <selection pane="bottomLeft" activeCell="AF81" sqref="AF81"/>
      <selection pane="bottomRight" activeCell="AF81" sqref="AF81"/>
    </sheetView>
  </sheetViews>
  <sheetFormatPr defaultColWidth="10.28515625" defaultRowHeight="12.75" x14ac:dyDescent="0.2"/>
  <cols>
    <col min="1" max="1" width="3.7109375" customWidth="1"/>
    <col min="2" max="2" width="29.7109375" customWidth="1"/>
    <col min="3" max="3" width="7.7109375" hidden="1" customWidth="1"/>
    <col min="4" max="4" width="10.7109375" hidden="1" customWidth="1"/>
    <col min="5" max="5" width="7.7109375" hidden="1" customWidth="1"/>
    <col min="6" max="6" width="10.7109375" hidden="1" customWidth="1"/>
    <col min="7" max="7" width="7.7109375" style="115" hidden="1" customWidth="1"/>
    <col min="8" max="8" width="10.7109375" style="115" hidden="1" customWidth="1"/>
    <col min="9" max="9" width="7.7109375" style="115" hidden="1" customWidth="1"/>
    <col min="10" max="10" width="10.7109375" style="115" hidden="1" customWidth="1"/>
    <col min="11" max="11" width="7.7109375" hidden="1" customWidth="1"/>
    <col min="12" max="12" width="10.7109375" hidden="1" customWidth="1"/>
    <col min="13" max="13" width="7.7109375" hidden="1" customWidth="1"/>
    <col min="14" max="14" width="10.7109375" hidden="1" customWidth="1"/>
    <col min="15" max="15" width="7.7109375" customWidth="1"/>
    <col min="16" max="16" width="10.7109375" customWidth="1"/>
    <col min="17" max="17" width="7.7109375" customWidth="1"/>
    <col min="18" max="18" width="10.7109375" customWidth="1"/>
    <col min="19" max="19" width="7.7109375" customWidth="1"/>
    <col min="20" max="20" width="10.7109375" customWidth="1"/>
    <col min="21" max="21" width="7.7109375" customWidth="1"/>
    <col min="22" max="22" width="10.7109375" customWidth="1"/>
    <col min="23" max="23" width="7.7109375" customWidth="1"/>
    <col min="24" max="24" width="10.7109375" customWidth="1"/>
    <col min="25" max="25" width="7.7109375" customWidth="1"/>
    <col min="26" max="26" width="10.7109375" customWidth="1"/>
    <col min="27" max="27" width="2.42578125" customWidth="1"/>
    <col min="28" max="28" width="7.7109375" customWidth="1"/>
    <col min="29" max="29" width="10.7109375" customWidth="1"/>
    <col min="30" max="30" width="2.140625" customWidth="1"/>
  </cols>
  <sheetData>
    <row r="1" spans="1:29" ht="18" x14ac:dyDescent="0.25">
      <c r="A1" s="1183" t="str">
        <f>Dean_AS!A1</f>
        <v>Department Profile Report - FY 2015</v>
      </c>
      <c r="B1" s="1183"/>
      <c r="C1" s="1183"/>
      <c r="D1" s="1183"/>
      <c r="E1" s="1183"/>
      <c r="F1" s="1183"/>
      <c r="G1" s="1183"/>
      <c r="H1" s="1183"/>
      <c r="I1" s="1181"/>
      <c r="J1" s="1181"/>
      <c r="K1" s="1182"/>
      <c r="L1" s="1182"/>
      <c r="M1" s="1182"/>
      <c r="N1" s="1182"/>
      <c r="O1" s="1182"/>
      <c r="P1" s="1182"/>
      <c r="Q1" s="1182"/>
      <c r="R1" s="1182"/>
      <c r="S1" s="1182"/>
      <c r="T1" s="1182"/>
      <c r="U1" s="1182"/>
      <c r="V1" s="1182"/>
      <c r="W1" s="1182"/>
      <c r="X1" s="1182"/>
      <c r="Y1" s="1182"/>
      <c r="Z1" s="1182"/>
      <c r="AA1" s="1182"/>
      <c r="AB1" s="1182"/>
      <c r="AC1" s="1182"/>
    </row>
    <row r="2" spans="1:29" x14ac:dyDescent="0.2">
      <c r="A2" s="3"/>
      <c r="B2" s="3"/>
      <c r="C2" s="3"/>
      <c r="D2" s="3"/>
      <c r="E2" s="3"/>
      <c r="F2" s="3"/>
      <c r="G2" s="117"/>
      <c r="H2" s="117"/>
      <c r="I2" s="117"/>
      <c r="J2" s="117"/>
    </row>
    <row r="3" spans="1:29" x14ac:dyDescent="0.2">
      <c r="A3" s="2" t="s">
        <v>21</v>
      </c>
      <c r="B3" s="117"/>
      <c r="C3" s="3"/>
      <c r="D3" s="3"/>
      <c r="E3" s="3"/>
      <c r="F3" s="3"/>
      <c r="G3" s="117"/>
      <c r="H3" s="117"/>
      <c r="I3" s="117"/>
      <c r="J3" s="117"/>
    </row>
    <row r="4" spans="1:29" x14ac:dyDescent="0.2">
      <c r="A4" s="3"/>
      <c r="B4" s="3"/>
      <c r="C4" s="3"/>
      <c r="D4" s="3"/>
      <c r="E4" s="3"/>
      <c r="F4" s="3"/>
      <c r="G4" s="117"/>
      <c r="H4" s="117"/>
      <c r="I4" s="117"/>
      <c r="J4" s="117"/>
    </row>
    <row r="5" spans="1:29" x14ac:dyDescent="0.2">
      <c r="A5" s="2" t="s">
        <v>77</v>
      </c>
      <c r="B5" s="3"/>
      <c r="C5" s="3"/>
      <c r="D5" s="3"/>
      <c r="E5" s="3"/>
      <c r="F5" s="3"/>
      <c r="G5" s="117"/>
      <c r="H5" s="117"/>
      <c r="I5" s="117"/>
      <c r="J5" s="117"/>
      <c r="T5" s="617"/>
      <c r="V5" s="617"/>
      <c r="X5" s="617"/>
      <c r="Z5" s="617"/>
    </row>
    <row r="6" spans="1:29" ht="13.5" thickBot="1" x14ac:dyDescent="0.25">
      <c r="A6" s="4"/>
      <c r="B6" s="3"/>
      <c r="C6" s="3"/>
      <c r="D6" s="3"/>
      <c r="E6" s="3"/>
      <c r="F6" s="3"/>
      <c r="G6" s="117"/>
      <c r="H6" s="117"/>
      <c r="I6" s="117"/>
      <c r="J6" s="117"/>
    </row>
    <row r="7" spans="1:29" ht="14.25" thickTop="1" thickBot="1" x14ac:dyDescent="0.25">
      <c r="A7" s="3"/>
      <c r="B7" s="22"/>
      <c r="C7" s="29" t="s">
        <v>49</v>
      </c>
      <c r="D7" s="51"/>
      <c r="E7" s="29" t="s">
        <v>50</v>
      </c>
      <c r="F7" s="7"/>
      <c r="G7" s="302" t="s">
        <v>141</v>
      </c>
      <c r="H7" s="121"/>
      <c r="I7" s="120" t="s">
        <v>152</v>
      </c>
      <c r="J7" s="299"/>
      <c r="K7" s="1994" t="s">
        <v>154</v>
      </c>
      <c r="L7" s="1968"/>
      <c r="M7" s="1994" t="s">
        <v>171</v>
      </c>
      <c r="N7" s="1980"/>
      <c r="O7" s="1994" t="s">
        <v>227</v>
      </c>
      <c r="P7" s="1980"/>
      <c r="Q7" s="1968" t="s">
        <v>237</v>
      </c>
      <c r="R7" s="1980"/>
      <c r="S7" s="1968" t="s">
        <v>272</v>
      </c>
      <c r="T7" s="1980"/>
      <c r="U7" s="1968" t="s">
        <v>274</v>
      </c>
      <c r="V7" s="1980"/>
      <c r="W7" s="1968" t="s">
        <v>280</v>
      </c>
      <c r="X7" s="1980"/>
      <c r="Y7" s="1968" t="s">
        <v>290</v>
      </c>
      <c r="Z7" s="1969"/>
      <c r="AB7" s="2003" t="s">
        <v>213</v>
      </c>
      <c r="AC7" s="2004"/>
    </row>
    <row r="8" spans="1:29" x14ac:dyDescent="0.2">
      <c r="A8" s="3"/>
      <c r="B8" s="71"/>
      <c r="C8" s="42" t="s">
        <v>1</v>
      </c>
      <c r="D8" s="47" t="s">
        <v>2</v>
      </c>
      <c r="E8" s="42" t="s">
        <v>1</v>
      </c>
      <c r="F8" s="8" t="s">
        <v>2</v>
      </c>
      <c r="G8" s="303" t="s">
        <v>1</v>
      </c>
      <c r="H8" s="125" t="s">
        <v>2</v>
      </c>
      <c r="I8" s="124" t="s">
        <v>1</v>
      </c>
      <c r="J8" s="300" t="s">
        <v>2</v>
      </c>
      <c r="K8" s="303" t="s">
        <v>1</v>
      </c>
      <c r="L8" s="300" t="s">
        <v>2</v>
      </c>
      <c r="M8" s="303" t="s">
        <v>1</v>
      </c>
      <c r="N8" s="125" t="s">
        <v>2</v>
      </c>
      <c r="O8" s="124" t="s">
        <v>1</v>
      </c>
      <c r="P8" s="125" t="s">
        <v>2</v>
      </c>
      <c r="Q8" s="124" t="s">
        <v>1</v>
      </c>
      <c r="R8" s="125" t="s">
        <v>2</v>
      </c>
      <c r="S8" s="124" t="s">
        <v>1</v>
      </c>
      <c r="T8" s="125" t="s">
        <v>2</v>
      </c>
      <c r="U8" s="124" t="s">
        <v>1</v>
      </c>
      <c r="V8" s="125" t="s">
        <v>2</v>
      </c>
      <c r="W8" s="124" t="s">
        <v>1</v>
      </c>
      <c r="X8" s="125" t="s">
        <v>2</v>
      </c>
      <c r="Y8" s="124" t="s">
        <v>1</v>
      </c>
      <c r="Z8" s="126" t="s">
        <v>2</v>
      </c>
      <c r="AB8" s="921" t="s">
        <v>214</v>
      </c>
      <c r="AC8" s="922" t="s">
        <v>215</v>
      </c>
    </row>
    <row r="9" spans="1:29" ht="13.5" thickBot="1" x14ac:dyDescent="0.25">
      <c r="A9" s="3"/>
      <c r="B9" s="72"/>
      <c r="C9" s="46" t="s">
        <v>3</v>
      </c>
      <c r="D9" s="48" t="s">
        <v>4</v>
      </c>
      <c r="E9" s="46" t="s">
        <v>3</v>
      </c>
      <c r="F9" s="26" t="s">
        <v>4</v>
      </c>
      <c r="G9" s="304" t="s">
        <v>3</v>
      </c>
      <c r="H9" s="123" t="s">
        <v>4</v>
      </c>
      <c r="I9" s="127" t="s">
        <v>3</v>
      </c>
      <c r="J9" s="301" t="s">
        <v>4</v>
      </c>
      <c r="K9" s="304" t="s">
        <v>3</v>
      </c>
      <c r="L9" s="301" t="s">
        <v>4</v>
      </c>
      <c r="M9" s="304" t="s">
        <v>3</v>
      </c>
      <c r="N9" s="123" t="s">
        <v>4</v>
      </c>
      <c r="O9" s="127" t="s">
        <v>3</v>
      </c>
      <c r="P9" s="123" t="s">
        <v>4</v>
      </c>
      <c r="Q9" s="127" t="s">
        <v>3</v>
      </c>
      <c r="R9" s="123" t="s">
        <v>4</v>
      </c>
      <c r="S9" s="127" t="s">
        <v>3</v>
      </c>
      <c r="T9" s="123" t="s">
        <v>4</v>
      </c>
      <c r="U9" s="127" t="s">
        <v>3</v>
      </c>
      <c r="V9" s="123" t="s">
        <v>4</v>
      </c>
      <c r="W9" s="127" t="s">
        <v>3</v>
      </c>
      <c r="X9" s="123" t="s">
        <v>4</v>
      </c>
      <c r="Y9" s="127" t="s">
        <v>3</v>
      </c>
      <c r="Z9" s="128" t="s">
        <v>4</v>
      </c>
      <c r="AB9" s="923" t="s">
        <v>3</v>
      </c>
      <c r="AC9" s="924" t="s">
        <v>4</v>
      </c>
    </row>
    <row r="10" spans="1:29" x14ac:dyDescent="0.2">
      <c r="A10" s="3"/>
      <c r="B10" s="73" t="s">
        <v>5</v>
      </c>
      <c r="C10" s="15"/>
      <c r="D10" s="49"/>
      <c r="E10" s="15"/>
      <c r="F10" s="13"/>
      <c r="G10" s="305"/>
      <c r="H10" s="131"/>
      <c r="I10" s="130"/>
      <c r="J10" s="150"/>
      <c r="K10" s="305"/>
      <c r="L10" s="150"/>
      <c r="M10" s="305"/>
      <c r="N10" s="131"/>
      <c r="O10" s="130"/>
      <c r="P10" s="131"/>
      <c r="Q10" s="130"/>
      <c r="R10" s="131"/>
      <c r="S10" s="130"/>
      <c r="T10" s="131"/>
      <c r="U10" s="130"/>
      <c r="V10" s="131"/>
      <c r="W10" s="130"/>
      <c r="X10" s="131"/>
      <c r="Y10" s="130"/>
      <c r="Z10" s="296"/>
      <c r="AB10" s="925"/>
      <c r="AC10" s="581"/>
    </row>
    <row r="11" spans="1:29" x14ac:dyDescent="0.2">
      <c r="A11" s="3"/>
      <c r="B11" s="74" t="s">
        <v>36</v>
      </c>
      <c r="C11" s="14"/>
      <c r="D11" s="50"/>
      <c r="E11" s="14"/>
      <c r="F11" s="9"/>
      <c r="G11" s="318"/>
      <c r="H11" s="405"/>
      <c r="I11" s="404"/>
      <c r="J11" s="129"/>
      <c r="K11" s="318"/>
      <c r="L11" s="129"/>
      <c r="M11" s="318"/>
      <c r="N11" s="405"/>
      <c r="O11" s="404"/>
      <c r="P11" s="405"/>
      <c r="Q11" s="404"/>
      <c r="R11" s="405"/>
      <c r="S11" s="404"/>
      <c r="T11" s="405"/>
      <c r="U11" s="404"/>
      <c r="V11" s="405"/>
      <c r="W11" s="404"/>
      <c r="X11" s="405"/>
      <c r="Y11" s="404"/>
      <c r="Z11" s="291"/>
      <c r="AB11" s="926"/>
      <c r="AC11" s="927"/>
    </row>
    <row r="12" spans="1:29" s="617" customFormat="1" x14ac:dyDescent="0.2">
      <c r="A12" s="618"/>
      <c r="B12" s="654" t="s">
        <v>221</v>
      </c>
      <c r="C12" s="672">
        <v>53</v>
      </c>
      <c r="D12" s="700">
        <v>24</v>
      </c>
      <c r="E12" s="672">
        <f>45+2</f>
        <v>47</v>
      </c>
      <c r="F12" s="701">
        <f>18+2</f>
        <v>20</v>
      </c>
      <c r="G12" s="724">
        <v>65</v>
      </c>
      <c r="H12" s="746">
        <f>12+1</f>
        <v>13</v>
      </c>
      <c r="I12" s="725">
        <f>62+2+2+6</f>
        <v>72</v>
      </c>
      <c r="J12" s="748">
        <f>21+4</f>
        <v>25</v>
      </c>
      <c r="K12" s="657">
        <v>60</v>
      </c>
      <c r="L12" s="665">
        <v>22</v>
      </c>
      <c r="M12" s="657">
        <f>48+9</f>
        <v>57</v>
      </c>
      <c r="N12" s="663">
        <v>24</v>
      </c>
      <c r="O12" s="758">
        <v>83</v>
      </c>
      <c r="P12" s="663">
        <v>14</v>
      </c>
      <c r="Q12" s="758">
        <v>98</v>
      </c>
      <c r="R12" s="663">
        <v>31</v>
      </c>
      <c r="S12" s="758">
        <v>88</v>
      </c>
      <c r="T12" s="663">
        <v>28</v>
      </c>
      <c r="U12" s="758">
        <f>78+1</f>
        <v>79</v>
      </c>
      <c r="V12" s="663">
        <v>34</v>
      </c>
      <c r="W12" s="758">
        <v>57</v>
      </c>
      <c r="X12" s="663">
        <v>32</v>
      </c>
      <c r="Y12" s="758">
        <v>51</v>
      </c>
      <c r="Z12" s="1646"/>
      <c r="AB12" s="926">
        <f>AVERAGE(W12,U12,Q12,S12,Y12)</f>
        <v>74.599999999999994</v>
      </c>
      <c r="AC12" s="928">
        <f>AVERAGE(X12,V12,R12,T12,P12)</f>
        <v>27.8</v>
      </c>
    </row>
    <row r="13" spans="1:29" s="617" customFormat="1" x14ac:dyDescent="0.2">
      <c r="A13" s="618"/>
      <c r="B13" s="669" t="s">
        <v>80</v>
      </c>
      <c r="C13" s="734">
        <v>3</v>
      </c>
      <c r="D13" s="703">
        <v>5</v>
      </c>
      <c r="E13" s="705">
        <v>12</v>
      </c>
      <c r="F13" s="701">
        <v>4</v>
      </c>
      <c r="G13" s="724">
        <v>17</v>
      </c>
      <c r="H13" s="750">
        <v>4</v>
      </c>
      <c r="I13" s="725">
        <v>25</v>
      </c>
      <c r="J13" s="751">
        <v>5</v>
      </c>
      <c r="K13" s="657">
        <v>21</v>
      </c>
      <c r="L13" s="730">
        <v>14</v>
      </c>
      <c r="M13" s="657">
        <v>14</v>
      </c>
      <c r="N13" s="729">
        <v>4</v>
      </c>
      <c r="O13" s="758">
        <v>16</v>
      </c>
      <c r="P13" s="663">
        <v>8</v>
      </c>
      <c r="Q13" s="758">
        <v>12</v>
      </c>
      <c r="R13" s="729">
        <v>3</v>
      </c>
      <c r="S13" s="758">
        <v>15</v>
      </c>
      <c r="T13" s="729">
        <v>6</v>
      </c>
      <c r="U13" s="758">
        <f>4+16</f>
        <v>20</v>
      </c>
      <c r="V13" s="729">
        <v>5</v>
      </c>
      <c r="W13" s="758">
        <v>29</v>
      </c>
      <c r="X13" s="729">
        <v>14</v>
      </c>
      <c r="Y13" s="758">
        <v>16</v>
      </c>
      <c r="Z13" s="1647"/>
      <c r="AB13" s="926">
        <f t="shared" ref="AB13:AB15" si="0">AVERAGE(W13,U13,Q13,S13,Y13)</f>
        <v>18.399999999999999</v>
      </c>
      <c r="AC13" s="928">
        <f t="shared" ref="AC13:AC18" si="1">AVERAGE(X13,V13,R13,T13,P13)</f>
        <v>7.2</v>
      </c>
    </row>
    <row r="14" spans="1:29" s="617" customFormat="1" x14ac:dyDescent="0.2">
      <c r="A14" s="618"/>
      <c r="B14" s="669" t="s">
        <v>167</v>
      </c>
      <c r="C14" s="705">
        <v>19</v>
      </c>
      <c r="D14" s="703">
        <f>3+1</f>
        <v>4</v>
      </c>
      <c r="E14" s="705">
        <v>27</v>
      </c>
      <c r="F14" s="704">
        <f>8+1</f>
        <v>9</v>
      </c>
      <c r="G14" s="724">
        <v>18</v>
      </c>
      <c r="H14" s="750">
        <v>9</v>
      </c>
      <c r="I14" s="725">
        <v>16</v>
      </c>
      <c r="J14" s="751">
        <v>5</v>
      </c>
      <c r="K14" s="657">
        <v>14</v>
      </c>
      <c r="L14" s="730">
        <v>3</v>
      </c>
      <c r="M14" s="657">
        <v>16</v>
      </c>
      <c r="N14" s="729">
        <v>3</v>
      </c>
      <c r="O14" s="758">
        <v>18</v>
      </c>
      <c r="P14" s="729">
        <v>5</v>
      </c>
      <c r="Q14" s="758">
        <v>12</v>
      </c>
      <c r="R14" s="729">
        <v>5</v>
      </c>
      <c r="S14" s="758">
        <v>13</v>
      </c>
      <c r="T14" s="729">
        <v>5</v>
      </c>
      <c r="U14" s="758">
        <v>19</v>
      </c>
      <c r="V14" s="729">
        <v>5</v>
      </c>
      <c r="W14" s="758">
        <v>16</v>
      </c>
      <c r="X14" s="729">
        <v>5</v>
      </c>
      <c r="Y14" s="758">
        <v>13</v>
      </c>
      <c r="Z14" s="1647"/>
      <c r="AB14" s="926">
        <f t="shared" si="0"/>
        <v>14.6</v>
      </c>
      <c r="AC14" s="928">
        <f t="shared" si="1"/>
        <v>5</v>
      </c>
    </row>
    <row r="15" spans="1:29" s="617" customFormat="1" x14ac:dyDescent="0.2">
      <c r="A15" s="618"/>
      <c r="B15" s="1552" t="s">
        <v>6</v>
      </c>
      <c r="C15" s="705">
        <v>11</v>
      </c>
      <c r="D15" s="703">
        <v>0</v>
      </c>
      <c r="E15" s="705">
        <v>14</v>
      </c>
      <c r="F15" s="704">
        <v>3</v>
      </c>
      <c r="G15" s="724">
        <v>16</v>
      </c>
      <c r="H15" s="750">
        <v>0</v>
      </c>
      <c r="I15" s="725">
        <v>20</v>
      </c>
      <c r="J15" s="751">
        <v>2</v>
      </c>
      <c r="K15" s="657">
        <v>26</v>
      </c>
      <c r="L15" s="730">
        <v>1</v>
      </c>
      <c r="M15" s="657">
        <v>25</v>
      </c>
      <c r="N15" s="729">
        <v>2</v>
      </c>
      <c r="O15" s="758">
        <v>27</v>
      </c>
      <c r="P15" s="729">
        <v>2</v>
      </c>
      <c r="Q15" s="758">
        <v>27</v>
      </c>
      <c r="R15" s="729">
        <v>4</v>
      </c>
      <c r="S15" s="758">
        <v>24</v>
      </c>
      <c r="T15" s="729">
        <v>4</v>
      </c>
      <c r="U15" s="758">
        <v>25</v>
      </c>
      <c r="V15" s="729">
        <v>3</v>
      </c>
      <c r="W15" s="758">
        <v>21</v>
      </c>
      <c r="X15" s="729">
        <v>2</v>
      </c>
      <c r="Y15" s="758">
        <v>26</v>
      </c>
      <c r="Z15" s="1647"/>
      <c r="AB15" s="926">
        <f t="shared" si="0"/>
        <v>24.6</v>
      </c>
      <c r="AC15" s="928">
        <f t="shared" si="1"/>
        <v>3</v>
      </c>
    </row>
    <row r="16" spans="1:29" s="617" customFormat="1" x14ac:dyDescent="0.2">
      <c r="A16" s="618"/>
      <c r="B16" s="74" t="s">
        <v>269</v>
      </c>
      <c r="C16" s="705"/>
      <c r="D16" s="703"/>
      <c r="E16" s="705"/>
      <c r="F16" s="704"/>
      <c r="G16" s="724"/>
      <c r="H16" s="750"/>
      <c r="I16" s="725"/>
      <c r="J16" s="751"/>
      <c r="K16" s="657"/>
      <c r="L16" s="730"/>
      <c r="M16" s="657"/>
      <c r="N16" s="729"/>
      <c r="O16" s="758"/>
      <c r="P16" s="729"/>
      <c r="Q16" s="758"/>
      <c r="R16" s="729"/>
      <c r="S16" s="758"/>
      <c r="T16" s="729"/>
      <c r="U16" s="758"/>
      <c r="V16" s="729"/>
      <c r="W16" s="758"/>
      <c r="X16" s="729"/>
      <c r="Y16" s="758"/>
      <c r="Z16" s="1647"/>
      <c r="AB16" s="926"/>
      <c r="AC16" s="928"/>
    </row>
    <row r="17" spans="1:32" s="617" customFormat="1" x14ac:dyDescent="0.2">
      <c r="A17" s="618"/>
      <c r="B17" s="654" t="s">
        <v>81</v>
      </c>
      <c r="C17" s="705">
        <v>0</v>
      </c>
      <c r="D17" s="703">
        <v>0</v>
      </c>
      <c r="E17" s="705">
        <v>0</v>
      </c>
      <c r="F17" s="701">
        <v>0</v>
      </c>
      <c r="G17" s="724">
        <v>0</v>
      </c>
      <c r="H17" s="750">
        <v>1</v>
      </c>
      <c r="I17" s="725">
        <v>0</v>
      </c>
      <c r="J17" s="751">
        <v>6</v>
      </c>
      <c r="K17" s="657">
        <v>1</v>
      </c>
      <c r="L17" s="730">
        <v>4</v>
      </c>
      <c r="M17" s="657">
        <v>2</v>
      </c>
      <c r="N17" s="729">
        <v>2</v>
      </c>
      <c r="O17" s="758">
        <v>0</v>
      </c>
      <c r="P17" s="729">
        <v>3</v>
      </c>
      <c r="Q17" s="758">
        <v>4</v>
      </c>
      <c r="R17" s="729">
        <v>7</v>
      </c>
      <c r="S17" s="758">
        <v>12</v>
      </c>
      <c r="T17" s="729">
        <v>12</v>
      </c>
      <c r="U17" s="758">
        <v>0</v>
      </c>
      <c r="V17" s="729">
        <v>14</v>
      </c>
      <c r="W17" s="758">
        <v>8</v>
      </c>
      <c r="X17" s="729">
        <v>7</v>
      </c>
      <c r="Y17" s="758">
        <v>6</v>
      </c>
      <c r="Z17" s="1647"/>
      <c r="AB17" s="926">
        <f t="shared" ref="AB17:AB18" si="2">AVERAGE(W17,U17,Q17,S17,Y17)</f>
        <v>6</v>
      </c>
      <c r="AC17" s="928">
        <f t="shared" si="1"/>
        <v>8.6</v>
      </c>
    </row>
    <row r="18" spans="1:32" s="617" customFormat="1" ht="13.5" thickBot="1" x14ac:dyDescent="0.25">
      <c r="A18" s="618"/>
      <c r="B18" s="737" t="s">
        <v>82</v>
      </c>
      <c r="C18" s="714">
        <v>0</v>
      </c>
      <c r="D18" s="712">
        <v>2</v>
      </c>
      <c r="E18" s="714">
        <v>0</v>
      </c>
      <c r="F18" s="713">
        <v>3</v>
      </c>
      <c r="G18" s="733">
        <v>0</v>
      </c>
      <c r="H18" s="755">
        <v>1</v>
      </c>
      <c r="I18" s="732">
        <v>0</v>
      </c>
      <c r="J18" s="771">
        <v>0</v>
      </c>
      <c r="K18" s="733">
        <v>0</v>
      </c>
      <c r="L18" s="718">
        <v>4</v>
      </c>
      <c r="M18" s="733">
        <v>0</v>
      </c>
      <c r="N18" s="716">
        <v>2</v>
      </c>
      <c r="O18" s="732">
        <v>2</v>
      </c>
      <c r="P18" s="716">
        <v>2</v>
      </c>
      <c r="Q18" s="732">
        <v>1</v>
      </c>
      <c r="R18" s="716">
        <v>2</v>
      </c>
      <c r="S18" s="732">
        <v>3</v>
      </c>
      <c r="T18" s="716">
        <v>4</v>
      </c>
      <c r="U18" s="732">
        <v>3</v>
      </c>
      <c r="V18" s="716">
        <v>12</v>
      </c>
      <c r="W18" s="732">
        <v>3</v>
      </c>
      <c r="X18" s="716">
        <v>4</v>
      </c>
      <c r="Y18" s="732">
        <v>2</v>
      </c>
      <c r="Z18" s="1648"/>
      <c r="AB18" s="929">
        <f t="shared" si="2"/>
        <v>2.4</v>
      </c>
      <c r="AC18" s="1019">
        <f t="shared" si="1"/>
        <v>4.8</v>
      </c>
    </row>
    <row r="19" spans="1:32" ht="13.5" thickTop="1" x14ac:dyDescent="0.2">
      <c r="A19" s="3"/>
      <c r="B19" s="70" t="s">
        <v>170</v>
      </c>
      <c r="C19" s="33"/>
      <c r="D19" s="34"/>
      <c r="E19" s="33"/>
      <c r="F19" s="34"/>
      <c r="G19" s="133"/>
      <c r="H19" s="135"/>
      <c r="I19" s="133"/>
      <c r="J19" s="135"/>
      <c r="K19" s="133"/>
      <c r="L19" s="135"/>
      <c r="M19" s="133"/>
      <c r="N19" s="135"/>
      <c r="O19" s="133"/>
      <c r="P19" s="135"/>
      <c r="Q19" s="133"/>
      <c r="R19" s="135"/>
      <c r="S19" s="133"/>
      <c r="T19" s="135"/>
      <c r="U19" s="133"/>
      <c r="V19" s="135"/>
      <c r="W19" s="133"/>
      <c r="X19" s="135"/>
      <c r="Y19" s="133"/>
      <c r="Z19" s="135"/>
      <c r="AC19" s="1012"/>
    </row>
    <row r="20" spans="1:32" x14ac:dyDescent="0.2">
      <c r="A20" s="3"/>
      <c r="B20" s="70" t="s">
        <v>48</v>
      </c>
      <c r="C20" s="33"/>
      <c r="D20" s="34"/>
      <c r="E20" s="33"/>
      <c r="F20" s="34"/>
      <c r="G20" s="133"/>
      <c r="H20" s="135"/>
      <c r="I20" s="133"/>
      <c r="J20" s="135"/>
      <c r="K20" s="133"/>
      <c r="L20" s="135"/>
      <c r="M20" s="133"/>
      <c r="N20" s="135"/>
      <c r="O20" s="133"/>
      <c r="P20" s="135"/>
      <c r="Q20" s="133"/>
      <c r="R20" s="135"/>
      <c r="S20" s="133"/>
      <c r="T20" s="135"/>
      <c r="U20" s="133"/>
      <c r="V20" s="135"/>
      <c r="W20" s="133"/>
      <c r="X20" s="135"/>
      <c r="Y20" s="133"/>
      <c r="Z20" s="135"/>
    </row>
    <row r="21" spans="1:32" ht="13.5" thickBot="1" x14ac:dyDescent="0.25">
      <c r="A21" s="3"/>
      <c r="B21" s="3"/>
      <c r="C21" s="3"/>
      <c r="D21" s="3"/>
      <c r="E21" s="3"/>
      <c r="F21" s="3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</row>
    <row r="22" spans="1:32" ht="14.25" thickTop="1" thickBot="1" x14ac:dyDescent="0.25">
      <c r="A22" s="3"/>
      <c r="B22" s="340"/>
      <c r="C22" s="2013" t="s">
        <v>49</v>
      </c>
      <c r="D22" s="2014"/>
      <c r="E22" s="2015" t="s">
        <v>50</v>
      </c>
      <c r="F22" s="2015"/>
      <c r="G22" s="2002" t="s">
        <v>141</v>
      </c>
      <c r="H22" s="1982"/>
      <c r="I22" s="1974" t="s">
        <v>152</v>
      </c>
      <c r="J22" s="1974"/>
      <c r="K22" s="2002" t="s">
        <v>154</v>
      </c>
      <c r="L22" s="1974"/>
      <c r="M22" s="2002" t="s">
        <v>171</v>
      </c>
      <c r="N22" s="1982"/>
      <c r="O22" s="1974" t="s">
        <v>227</v>
      </c>
      <c r="P22" s="1982"/>
      <c r="Q22" s="1974" t="s">
        <v>237</v>
      </c>
      <c r="R22" s="1982"/>
      <c r="S22" s="1974" t="s">
        <v>272</v>
      </c>
      <c r="T22" s="1982"/>
      <c r="U22" s="1974" t="s">
        <v>274</v>
      </c>
      <c r="V22" s="1982"/>
      <c r="W22" s="1974" t="s">
        <v>280</v>
      </c>
      <c r="X22" s="1982"/>
      <c r="Y22" s="1974" t="s">
        <v>290</v>
      </c>
      <c r="Z22" s="1975"/>
      <c r="AB22" s="2003" t="s">
        <v>213</v>
      </c>
      <c r="AC22" s="2004"/>
    </row>
    <row r="23" spans="1:32" x14ac:dyDescent="0.2">
      <c r="A23" s="3"/>
      <c r="B23" s="73" t="s">
        <v>7</v>
      </c>
      <c r="C23" s="54"/>
      <c r="D23" s="92"/>
      <c r="E23" s="30"/>
      <c r="F23" s="30"/>
      <c r="G23" s="243"/>
      <c r="H23" s="244"/>
      <c r="I23" s="138"/>
      <c r="J23" s="138"/>
      <c r="K23" s="243"/>
      <c r="L23" s="138"/>
      <c r="M23" s="243"/>
      <c r="N23" s="244"/>
      <c r="O23" s="138"/>
      <c r="P23" s="244"/>
      <c r="Q23" s="138"/>
      <c r="R23" s="244"/>
      <c r="S23" s="138"/>
      <c r="T23" s="244"/>
      <c r="U23" s="138"/>
      <c r="V23" s="244"/>
      <c r="W23" s="138"/>
      <c r="X23" s="244"/>
      <c r="Y23" s="138"/>
      <c r="Z23" s="140"/>
      <c r="AB23" s="831"/>
      <c r="AC23" s="930"/>
    </row>
    <row r="24" spans="1:32" x14ac:dyDescent="0.2">
      <c r="A24" s="3"/>
      <c r="B24" s="78" t="s">
        <v>8</v>
      </c>
      <c r="C24" s="184"/>
      <c r="D24" s="93"/>
      <c r="E24" s="31"/>
      <c r="F24" s="31"/>
      <c r="G24" s="239"/>
      <c r="H24" s="245"/>
      <c r="I24" s="139"/>
      <c r="J24" s="139"/>
      <c r="K24" s="239"/>
      <c r="L24" s="139"/>
      <c r="M24" s="239"/>
      <c r="N24" s="245"/>
      <c r="O24" s="139"/>
      <c r="P24" s="245"/>
      <c r="Q24" s="139"/>
      <c r="R24" s="245"/>
      <c r="S24" s="139"/>
      <c r="T24" s="245"/>
      <c r="U24" s="139"/>
      <c r="V24" s="245"/>
      <c r="W24" s="139"/>
      <c r="X24" s="245"/>
      <c r="Y24" s="139"/>
      <c r="Z24" s="141"/>
      <c r="AB24" s="831"/>
      <c r="AC24" s="930"/>
    </row>
    <row r="25" spans="1:32" x14ac:dyDescent="0.2">
      <c r="A25" s="3"/>
      <c r="B25" s="78" t="s">
        <v>9</v>
      </c>
      <c r="C25" s="184"/>
      <c r="D25" s="165">
        <v>11728</v>
      </c>
      <c r="E25" s="31"/>
      <c r="F25" s="171">
        <v>11117</v>
      </c>
      <c r="G25" s="239"/>
      <c r="H25" s="261">
        <v>9923</v>
      </c>
      <c r="I25" s="139"/>
      <c r="J25" s="183">
        <v>9566</v>
      </c>
      <c r="K25" s="239"/>
      <c r="L25" s="183">
        <v>8893</v>
      </c>
      <c r="M25" s="239"/>
      <c r="N25" s="261">
        <v>8340</v>
      </c>
      <c r="O25" s="139"/>
      <c r="P25" s="261">
        <v>9457</v>
      </c>
      <c r="Q25" s="139"/>
      <c r="R25" s="261">
        <v>9748</v>
      </c>
      <c r="S25" s="139"/>
      <c r="T25" s="261">
        <v>8957</v>
      </c>
      <c r="U25" s="139"/>
      <c r="V25" s="261">
        <v>8369</v>
      </c>
      <c r="W25" s="139"/>
      <c r="X25" s="261">
        <v>7130</v>
      </c>
      <c r="Y25" s="139"/>
      <c r="Z25" s="1649"/>
      <c r="AB25" s="24"/>
      <c r="AC25" s="947">
        <f t="shared" ref="AC25:AC28" si="3">AVERAGE(X25,V25,R25,T25,P25)</f>
        <v>8732.2000000000007</v>
      </c>
    </row>
    <row r="26" spans="1:32" x14ac:dyDescent="0.2">
      <c r="A26" s="3"/>
      <c r="B26" s="78" t="s">
        <v>10</v>
      </c>
      <c r="C26" s="184"/>
      <c r="D26" s="165">
        <v>1923</v>
      </c>
      <c r="E26" s="31"/>
      <c r="F26" s="171">
        <v>2273</v>
      </c>
      <c r="G26" s="239"/>
      <c r="H26" s="261">
        <v>2886</v>
      </c>
      <c r="I26" s="139"/>
      <c r="J26" s="183">
        <v>2656</v>
      </c>
      <c r="K26" s="239"/>
      <c r="L26" s="183">
        <v>3913</v>
      </c>
      <c r="M26" s="239"/>
      <c r="N26" s="261">
        <v>3666</v>
      </c>
      <c r="O26" s="139"/>
      <c r="P26" s="261">
        <v>3930</v>
      </c>
      <c r="Q26" s="139"/>
      <c r="R26" s="261">
        <v>4262</v>
      </c>
      <c r="S26" s="139"/>
      <c r="T26" s="261">
        <v>3853</v>
      </c>
      <c r="U26" s="139"/>
      <c r="V26" s="261">
        <v>3242</v>
      </c>
      <c r="W26" s="139"/>
      <c r="X26" s="261">
        <v>3112</v>
      </c>
      <c r="Y26" s="139"/>
      <c r="Z26" s="1649"/>
      <c r="AB26" s="12"/>
      <c r="AC26" s="947">
        <f t="shared" si="3"/>
        <v>3679.8</v>
      </c>
    </row>
    <row r="27" spans="1:32" x14ac:dyDescent="0.2">
      <c r="A27" s="3"/>
      <c r="B27" s="78" t="s">
        <v>11</v>
      </c>
      <c r="C27" s="184"/>
      <c r="D27" s="165">
        <v>619</v>
      </c>
      <c r="E27" s="31"/>
      <c r="F27" s="171">
        <v>748</v>
      </c>
      <c r="G27" s="239"/>
      <c r="H27" s="261">
        <v>557</v>
      </c>
      <c r="I27" s="139"/>
      <c r="J27" s="183">
        <v>870</v>
      </c>
      <c r="K27" s="239"/>
      <c r="L27" s="183">
        <v>678</v>
      </c>
      <c r="M27" s="239"/>
      <c r="N27" s="261">
        <v>652</v>
      </c>
      <c r="O27" s="139"/>
      <c r="P27" s="261">
        <v>614</v>
      </c>
      <c r="Q27" s="139"/>
      <c r="R27" s="261">
        <v>801</v>
      </c>
      <c r="S27" s="139"/>
      <c r="T27" s="261">
        <v>887</v>
      </c>
      <c r="U27" s="139"/>
      <c r="V27" s="261">
        <v>566</v>
      </c>
      <c r="W27" s="139"/>
      <c r="X27" s="261">
        <v>400</v>
      </c>
      <c r="Y27" s="139"/>
      <c r="Z27" s="1649"/>
      <c r="AB27" s="12"/>
      <c r="AC27" s="947">
        <f t="shared" si="3"/>
        <v>653.6</v>
      </c>
    </row>
    <row r="28" spans="1:32" x14ac:dyDescent="0.2">
      <c r="A28" s="3"/>
      <c r="B28" s="78" t="s">
        <v>12</v>
      </c>
      <c r="C28" s="184"/>
      <c r="D28" s="94">
        <v>88</v>
      </c>
      <c r="E28" s="31"/>
      <c r="F28" s="39">
        <v>64</v>
      </c>
      <c r="G28" s="239"/>
      <c r="H28" s="240">
        <v>175</v>
      </c>
      <c r="I28" s="139"/>
      <c r="J28" s="241">
        <v>161</v>
      </c>
      <c r="K28" s="239"/>
      <c r="L28" s="241">
        <v>217</v>
      </c>
      <c r="M28" s="239"/>
      <c r="N28" s="240">
        <v>217</v>
      </c>
      <c r="O28" s="139"/>
      <c r="P28" s="240">
        <v>245</v>
      </c>
      <c r="Q28" s="139"/>
      <c r="R28" s="240">
        <v>168</v>
      </c>
      <c r="S28" s="139"/>
      <c r="T28" s="240">
        <v>202</v>
      </c>
      <c r="U28" s="139"/>
      <c r="V28" s="240">
        <v>217</v>
      </c>
      <c r="W28" s="139"/>
      <c r="X28" s="240">
        <v>171</v>
      </c>
      <c r="Y28" s="139"/>
      <c r="Z28" s="1650"/>
      <c r="AB28" s="12"/>
      <c r="AC28" s="947">
        <f t="shared" si="3"/>
        <v>200.6</v>
      </c>
    </row>
    <row r="29" spans="1:32" ht="13.5" thickBot="1" x14ac:dyDescent="0.25">
      <c r="A29" s="3"/>
      <c r="B29" s="104" t="s">
        <v>13</v>
      </c>
      <c r="C29" s="185"/>
      <c r="D29" s="186">
        <f>SUM(D25:D28)</f>
        <v>14358</v>
      </c>
      <c r="E29" s="90"/>
      <c r="F29" s="58">
        <f>SUM(F25:F28)</f>
        <v>14202</v>
      </c>
      <c r="G29" s="246"/>
      <c r="H29" s="242">
        <f>SUM(H25:H28)</f>
        <v>13541</v>
      </c>
      <c r="I29" s="246"/>
      <c r="J29" s="242">
        <f>SUM(J25:J28)</f>
        <v>13253</v>
      </c>
      <c r="K29" s="246"/>
      <c r="L29" s="242">
        <f>SUM(L25:L28)</f>
        <v>13701</v>
      </c>
      <c r="M29" s="246"/>
      <c r="N29" s="247">
        <f>SUM(N25:N28)</f>
        <v>12875</v>
      </c>
      <c r="O29" s="164"/>
      <c r="P29" s="247">
        <f>SUM(P25:P28)</f>
        <v>14246</v>
      </c>
      <c r="Q29" s="164"/>
      <c r="R29" s="247">
        <f>SUM(R25:R28)</f>
        <v>14979</v>
      </c>
      <c r="S29" s="164"/>
      <c r="T29" s="247">
        <f>SUM(T25:T28)</f>
        <v>13899</v>
      </c>
      <c r="U29" s="164"/>
      <c r="V29" s="247">
        <f>SUM(V25:V28)</f>
        <v>12394</v>
      </c>
      <c r="W29" s="164"/>
      <c r="X29" s="247">
        <f>SUM(X25:X28)</f>
        <v>10813</v>
      </c>
      <c r="Y29" s="164"/>
      <c r="Z29" s="1651"/>
      <c r="AB29" s="946"/>
      <c r="AC29" s="1008">
        <f>AVERAGE(X29,V29,R29,T29,P29)</f>
        <v>13266.2</v>
      </c>
    </row>
    <row r="30" spans="1:32" ht="12" customHeight="1" thickTop="1" thickBot="1" x14ac:dyDescent="0.25">
      <c r="A30" s="930"/>
      <c r="B30" s="931" t="s">
        <v>212</v>
      </c>
      <c r="C30" s="1992" t="s">
        <v>51</v>
      </c>
      <c r="D30" s="1997"/>
      <c r="E30" s="1992" t="s">
        <v>52</v>
      </c>
      <c r="F30" s="1997"/>
      <c r="G30" s="1989" t="s">
        <v>184</v>
      </c>
      <c r="H30" s="1981"/>
      <c r="I30" s="1989" t="s">
        <v>185</v>
      </c>
      <c r="J30" s="2005"/>
      <c r="K30" s="1989" t="s">
        <v>202</v>
      </c>
      <c r="L30" s="2005"/>
      <c r="M30" s="1991" t="s">
        <v>203</v>
      </c>
      <c r="N30" s="1981"/>
      <c r="O30" s="1970" t="s">
        <v>228</v>
      </c>
      <c r="P30" s="1981"/>
      <c r="Q30" s="1970" t="s">
        <v>238</v>
      </c>
      <c r="R30" s="1981"/>
      <c r="S30" s="1970" t="s">
        <v>273</v>
      </c>
      <c r="T30" s="1981"/>
      <c r="U30" s="1970" t="s">
        <v>275</v>
      </c>
      <c r="V30" s="1981"/>
      <c r="W30" s="1970" t="s">
        <v>281</v>
      </c>
      <c r="X30" s="1981"/>
      <c r="Y30" s="1970" t="s">
        <v>291</v>
      </c>
      <c r="Z30" s="1971"/>
      <c r="AA30" s="932"/>
      <c r="AB30" s="2009"/>
      <c r="AC30" s="2010"/>
      <c r="AD30" s="293"/>
      <c r="AE30" s="293"/>
      <c r="AF30" s="21"/>
    </row>
    <row r="31" spans="1:32" ht="12" customHeight="1" x14ac:dyDescent="0.2">
      <c r="A31" s="930"/>
      <c r="B31" s="933" t="s">
        <v>189</v>
      </c>
      <c r="C31" s="2016">
        <v>4.1000000000000002E-2</v>
      </c>
      <c r="D31" s="2017"/>
      <c r="E31" s="1995">
        <v>4.5999999999999999E-2</v>
      </c>
      <c r="F31" s="1996"/>
      <c r="G31" s="1995">
        <v>6.8000000000000005E-2</v>
      </c>
      <c r="H31" s="1996"/>
      <c r="I31" s="1995">
        <v>6.7000000000000004E-2</v>
      </c>
      <c r="J31" s="2006"/>
      <c r="K31" s="934"/>
      <c r="L31" s="935">
        <v>5.3999999999999999E-2</v>
      </c>
      <c r="M31" s="936"/>
      <c r="N31" s="1178">
        <v>5.3999999999999999E-2</v>
      </c>
      <c r="O31" s="1176"/>
      <c r="P31" s="1178">
        <v>8.1000000000000003E-2</v>
      </c>
      <c r="Q31" s="1271"/>
      <c r="R31" s="1178">
        <v>8.6999999999999994E-2</v>
      </c>
      <c r="S31" s="1271"/>
      <c r="T31" s="1178">
        <v>0.09</v>
      </c>
      <c r="U31" s="1271"/>
      <c r="V31" s="1276">
        <v>8.8999999999999996E-2</v>
      </c>
      <c r="W31" s="1271"/>
      <c r="X31" s="1276">
        <v>7.8E-2</v>
      </c>
      <c r="Y31" s="1271"/>
      <c r="Z31" s="1695">
        <v>6.8000000000000005E-2</v>
      </c>
      <c r="AA31" s="937"/>
      <c r="AB31" s="938"/>
      <c r="AC31" s="1048">
        <v>8.3000000000000004E-2</v>
      </c>
      <c r="AD31" s="293"/>
      <c r="AE31" s="293"/>
      <c r="AF31" s="21"/>
    </row>
    <row r="32" spans="1:32" ht="12" customHeight="1" x14ac:dyDescent="0.2">
      <c r="A32" s="930"/>
      <c r="B32" s="940" t="s">
        <v>190</v>
      </c>
      <c r="C32" s="2018">
        <v>2.7E-2</v>
      </c>
      <c r="D32" s="2019"/>
      <c r="E32" s="2000">
        <v>3.3000000000000002E-2</v>
      </c>
      <c r="F32" s="2001"/>
      <c r="G32" s="2000">
        <v>3.5000000000000003E-2</v>
      </c>
      <c r="H32" s="2001"/>
      <c r="I32" s="2000">
        <v>3.7999999999999999E-2</v>
      </c>
      <c r="J32" s="2011"/>
      <c r="K32" s="941"/>
      <c r="L32" s="942">
        <v>3.6999999999999998E-2</v>
      </c>
      <c r="M32" s="941"/>
      <c r="N32" s="1179">
        <v>3.3000000000000002E-2</v>
      </c>
      <c r="O32" s="1177"/>
      <c r="P32" s="1179">
        <v>3.6999999999999998E-2</v>
      </c>
      <c r="Q32" s="1272"/>
      <c r="R32" s="1179">
        <v>2.7E-2</v>
      </c>
      <c r="S32" s="1272"/>
      <c r="T32" s="1179">
        <v>3.2000000000000001E-2</v>
      </c>
      <c r="U32" s="1271"/>
      <c r="V32" s="1179">
        <v>4.8000000000000001E-2</v>
      </c>
      <c r="W32" s="1271"/>
      <c r="X32" s="1179">
        <v>4.2000000000000003E-2</v>
      </c>
      <c r="Y32" s="1271"/>
      <c r="Z32" s="1480">
        <v>4.2000000000000003E-2</v>
      </c>
      <c r="AA32" s="937"/>
      <c r="AB32" s="938"/>
      <c r="AC32" s="1048">
        <f t="shared" ref="AC32" si="4">AVERAGE(X32,V32,R32,T32,Z32)</f>
        <v>3.8199999999999998E-2</v>
      </c>
      <c r="AD32" s="293"/>
      <c r="AE32" s="293"/>
      <c r="AF32" s="21"/>
    </row>
    <row r="33" spans="1:32" ht="12" customHeight="1" thickBot="1" x14ac:dyDescent="0.25">
      <c r="A33" s="3"/>
      <c r="B33" s="943" t="s">
        <v>191</v>
      </c>
      <c r="C33" s="1998">
        <f>1-C31-C32</f>
        <v>0.93199999999999994</v>
      </c>
      <c r="D33" s="1999"/>
      <c r="E33" s="1998">
        <f>1-E31-E32</f>
        <v>0.92099999999999993</v>
      </c>
      <c r="F33" s="1999"/>
      <c r="G33" s="1998">
        <f>1-G31-G32</f>
        <v>0.89699999999999991</v>
      </c>
      <c r="H33" s="1999"/>
      <c r="I33" s="1998">
        <f>1-I31-I32</f>
        <v>0.89500000000000002</v>
      </c>
      <c r="J33" s="1999"/>
      <c r="K33" s="1998">
        <f>1-L31-L32</f>
        <v>0.90899999999999992</v>
      </c>
      <c r="L33" s="1999"/>
      <c r="M33" s="1998">
        <f>1-N31-N32</f>
        <v>0.91299999999999992</v>
      </c>
      <c r="N33" s="1999"/>
      <c r="O33" s="1998">
        <f>1-P31-P32</f>
        <v>0.88200000000000001</v>
      </c>
      <c r="P33" s="1999"/>
      <c r="Q33" s="1972">
        <f>1-R31-R32</f>
        <v>0.88600000000000001</v>
      </c>
      <c r="R33" s="1973"/>
      <c r="S33" s="1972">
        <f>1-T31-T32</f>
        <v>0.878</v>
      </c>
      <c r="T33" s="1973"/>
      <c r="U33" s="1972">
        <f>1-V31-V32</f>
        <v>0.86299999999999999</v>
      </c>
      <c r="V33" s="2071"/>
      <c r="W33" s="1972">
        <f>1-X31-X32</f>
        <v>0.88</v>
      </c>
      <c r="X33" s="2071"/>
      <c r="Y33" s="1972">
        <f>1-Z31-Z32</f>
        <v>0.8899999999999999</v>
      </c>
      <c r="Z33" s="2071"/>
      <c r="AA33" s="937"/>
      <c r="AB33" s="2007">
        <f>1-AC31-AC32</f>
        <v>0.87880000000000003</v>
      </c>
      <c r="AC33" s="2008"/>
      <c r="AD33" s="1050"/>
      <c r="AE33" s="293"/>
      <c r="AF33" s="21"/>
    </row>
    <row r="34" spans="1:32" s="3" customFormat="1" thickTop="1" x14ac:dyDescent="0.2">
      <c r="B34" s="109"/>
      <c r="C34" s="110"/>
      <c r="D34" s="111"/>
      <c r="E34" s="110"/>
      <c r="F34" s="111"/>
      <c r="G34" s="146"/>
      <c r="H34" s="147"/>
      <c r="I34" s="146"/>
      <c r="J34" s="147"/>
      <c r="K34" s="146"/>
      <c r="L34" s="147"/>
      <c r="M34" s="146"/>
      <c r="N34" s="147"/>
      <c r="O34" s="146"/>
      <c r="P34" s="147"/>
      <c r="Q34" s="146"/>
      <c r="R34" s="147"/>
      <c r="S34" s="146"/>
      <c r="T34" s="147"/>
      <c r="U34" s="146"/>
      <c r="V34" s="147"/>
      <c r="W34" s="146"/>
      <c r="X34" s="147"/>
      <c r="Y34" s="146"/>
      <c r="Z34" s="147"/>
    </row>
    <row r="35" spans="1:32" s="3" customFormat="1" x14ac:dyDescent="0.2">
      <c r="A35" s="112" t="s">
        <v>68</v>
      </c>
      <c r="B35" s="96"/>
      <c r="C35" s="28"/>
      <c r="D35" s="28"/>
      <c r="E35" s="28"/>
      <c r="F35" s="28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</row>
    <row r="36" spans="1:32" s="3" customFormat="1" ht="13.5" thickBot="1" x14ac:dyDescent="0.25">
      <c r="A36" s="112"/>
      <c r="B36" s="96"/>
      <c r="C36" s="28"/>
      <c r="D36" s="28"/>
      <c r="E36" s="28"/>
      <c r="F36" s="28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</row>
    <row r="37" spans="1:32" s="3" customFormat="1" ht="14.25" thickTop="1" thickBot="1" x14ac:dyDescent="0.25">
      <c r="A37" s="2"/>
      <c r="B37" s="329" t="s">
        <v>69</v>
      </c>
      <c r="C37" s="2013" t="s">
        <v>49</v>
      </c>
      <c r="D37" s="2014"/>
      <c r="E37" s="2015" t="s">
        <v>50</v>
      </c>
      <c r="F37" s="2015"/>
      <c r="G37" s="2002" t="s">
        <v>141</v>
      </c>
      <c r="H37" s="1982"/>
      <c r="I37" s="1974" t="s">
        <v>152</v>
      </c>
      <c r="J37" s="1974"/>
      <c r="K37" s="2002" t="s">
        <v>154</v>
      </c>
      <c r="L37" s="1974"/>
      <c r="M37" s="2002" t="s">
        <v>171</v>
      </c>
      <c r="N37" s="1982"/>
      <c r="O37" s="1974" t="s">
        <v>227</v>
      </c>
      <c r="P37" s="1982"/>
      <c r="Q37" s="1974" t="s">
        <v>237</v>
      </c>
      <c r="R37" s="1982"/>
      <c r="S37" s="1974" t="s">
        <v>272</v>
      </c>
      <c r="T37" s="1982"/>
      <c r="U37" s="1974" t="s">
        <v>274</v>
      </c>
      <c r="V37" s="1982"/>
      <c r="W37" s="1974" t="s">
        <v>280</v>
      </c>
      <c r="X37" s="1982"/>
      <c r="Y37" s="1974" t="s">
        <v>290</v>
      </c>
      <c r="Z37" s="1975"/>
      <c r="AB37" s="2003" t="s">
        <v>213</v>
      </c>
      <c r="AC37" s="2004"/>
    </row>
    <row r="38" spans="1:32" s="3" customFormat="1" x14ac:dyDescent="0.2">
      <c r="A38" s="2"/>
      <c r="B38" s="330" t="s">
        <v>70</v>
      </c>
      <c r="C38" s="184"/>
      <c r="D38" s="93"/>
      <c r="E38" s="31"/>
      <c r="F38" s="31"/>
      <c r="G38" s="239"/>
      <c r="H38" s="245"/>
      <c r="I38" s="139"/>
      <c r="J38" s="139"/>
      <c r="K38" s="239"/>
      <c r="L38" s="139"/>
      <c r="M38" s="239"/>
      <c r="N38" s="245"/>
      <c r="O38" s="139"/>
      <c r="P38" s="245"/>
      <c r="Q38" s="139"/>
      <c r="R38" s="245"/>
      <c r="S38" s="139"/>
      <c r="T38" s="245"/>
      <c r="U38" s="139"/>
      <c r="V38" s="248"/>
      <c r="W38" s="139"/>
      <c r="X38" s="248"/>
      <c r="Y38" s="139"/>
      <c r="Z38" s="152"/>
      <c r="AB38" s="831"/>
      <c r="AC38" s="930"/>
    </row>
    <row r="39" spans="1:32" s="3" customFormat="1" x14ac:dyDescent="0.2">
      <c r="A39" s="2"/>
      <c r="B39" s="331" t="s">
        <v>71</v>
      </c>
      <c r="C39" s="54"/>
      <c r="D39" s="188">
        <v>797637</v>
      </c>
      <c r="E39" s="30"/>
      <c r="F39" s="205">
        <v>869926</v>
      </c>
      <c r="G39" s="243"/>
      <c r="H39" s="416">
        <v>1039757</v>
      </c>
      <c r="I39" s="138"/>
      <c r="J39" s="451">
        <v>1163261</v>
      </c>
      <c r="K39" s="243"/>
      <c r="L39" s="451">
        <v>1289626</v>
      </c>
      <c r="M39" s="243"/>
      <c r="N39" s="416">
        <v>1556137</v>
      </c>
      <c r="O39" s="138"/>
      <c r="P39" s="416">
        <v>1393914</v>
      </c>
      <c r="Q39" s="138"/>
      <c r="R39" s="416">
        <v>1578839</v>
      </c>
      <c r="S39" s="138"/>
      <c r="T39" s="416">
        <v>1622906</v>
      </c>
      <c r="U39" s="138"/>
      <c r="V39" s="416">
        <v>1639705</v>
      </c>
      <c r="W39" s="138"/>
      <c r="X39" s="416">
        <v>1514356</v>
      </c>
      <c r="Y39" s="138"/>
      <c r="Z39" s="294">
        <v>1688444</v>
      </c>
      <c r="AB39" s="24"/>
      <c r="AC39" s="947">
        <f t="shared" ref="AC39:AC42" si="5">AVERAGE(X39,V39,R39,T39,Z39)</f>
        <v>1608850</v>
      </c>
    </row>
    <row r="40" spans="1:32" s="3" customFormat="1" x14ac:dyDescent="0.2">
      <c r="A40" s="2"/>
      <c r="B40" s="331" t="s">
        <v>247</v>
      </c>
      <c r="C40" s="54"/>
      <c r="D40" s="188"/>
      <c r="E40" s="30"/>
      <c r="F40" s="205"/>
      <c r="G40" s="243"/>
      <c r="H40" s="1439"/>
      <c r="I40" s="138"/>
      <c r="J40" s="451">
        <v>22622</v>
      </c>
      <c r="K40" s="243"/>
      <c r="L40" s="451">
        <v>31615</v>
      </c>
      <c r="M40" s="243"/>
      <c r="N40" s="416">
        <v>31603</v>
      </c>
      <c r="O40" s="138"/>
      <c r="P40" s="416">
        <v>31617</v>
      </c>
      <c r="Q40" s="138"/>
      <c r="R40" s="416">
        <v>31598</v>
      </c>
      <c r="S40" s="138"/>
      <c r="T40" s="416">
        <v>31596</v>
      </c>
      <c r="U40" s="138"/>
      <c r="V40" s="416">
        <v>31595</v>
      </c>
      <c r="W40" s="138"/>
      <c r="X40" s="416">
        <v>31574</v>
      </c>
      <c r="Y40" s="138"/>
      <c r="Z40" s="294">
        <v>31573</v>
      </c>
      <c r="AB40" s="24"/>
      <c r="AC40" s="947">
        <f t="shared" si="5"/>
        <v>31587.200000000001</v>
      </c>
    </row>
    <row r="41" spans="1:32" s="3" customFormat="1" ht="36" x14ac:dyDescent="0.2">
      <c r="A41" s="2"/>
      <c r="B41" s="332" t="s">
        <v>83</v>
      </c>
      <c r="C41" s="184"/>
      <c r="D41" s="189">
        <v>142598</v>
      </c>
      <c r="E41" s="31"/>
      <c r="F41" s="206">
        <v>337319</v>
      </c>
      <c r="G41" s="239"/>
      <c r="H41" s="369">
        <v>337298</v>
      </c>
      <c r="I41" s="139"/>
      <c r="J41" s="347">
        <v>315141</v>
      </c>
      <c r="K41" s="239"/>
      <c r="L41" s="347">
        <v>315024</v>
      </c>
      <c r="M41" s="239"/>
      <c r="N41" s="369">
        <v>345043</v>
      </c>
      <c r="O41" s="139"/>
      <c r="P41" s="369">
        <v>499870</v>
      </c>
      <c r="Q41" s="139"/>
      <c r="R41" s="369">
        <v>445818</v>
      </c>
      <c r="S41" s="139"/>
      <c r="T41" s="369">
        <v>445950</v>
      </c>
      <c r="U41" s="139"/>
      <c r="V41" s="416">
        <v>448803</v>
      </c>
      <c r="W41" s="139"/>
      <c r="X41" s="416">
        <v>675894</v>
      </c>
      <c r="Y41" s="139"/>
      <c r="Z41" s="294">
        <v>587674</v>
      </c>
      <c r="AB41" s="12"/>
      <c r="AC41" s="947">
        <f t="shared" si="5"/>
        <v>520827.8</v>
      </c>
    </row>
    <row r="42" spans="1:32" s="3" customFormat="1" x14ac:dyDescent="0.2">
      <c r="A42" s="2"/>
      <c r="B42" s="333" t="s">
        <v>72</v>
      </c>
      <c r="C42" s="187"/>
      <c r="D42" s="190">
        <f>SUM(D39:D41)</f>
        <v>940235</v>
      </c>
      <c r="E42" s="90"/>
      <c r="F42" s="207">
        <f>SUM(F39:F41)</f>
        <v>1207245</v>
      </c>
      <c r="G42" s="262"/>
      <c r="H42" s="263">
        <f>SUM(H39:H41)</f>
        <v>1377055</v>
      </c>
      <c r="I42" s="250"/>
      <c r="J42" s="249">
        <f>SUM(J39:J41)</f>
        <v>1501024</v>
      </c>
      <c r="K42" s="262"/>
      <c r="L42" s="249">
        <f>SUM(L39:L41)</f>
        <v>1636265</v>
      </c>
      <c r="M42" s="262"/>
      <c r="N42" s="263">
        <f>SUM(N39:N41)</f>
        <v>1932783</v>
      </c>
      <c r="O42" s="250"/>
      <c r="P42" s="263">
        <f>SUM(P39:P41)</f>
        <v>1925401</v>
      </c>
      <c r="Q42" s="250"/>
      <c r="R42" s="263">
        <f>SUM(R39:R41)</f>
        <v>2056255</v>
      </c>
      <c r="S42" s="250"/>
      <c r="T42" s="263">
        <f>SUM(T39:T41)</f>
        <v>2100452</v>
      </c>
      <c r="U42" s="250"/>
      <c r="V42" s="368">
        <f>SUM(V39:V41)</f>
        <v>2120103</v>
      </c>
      <c r="W42" s="250"/>
      <c r="X42" s="368">
        <f>SUM(X39:X41)</f>
        <v>2221824</v>
      </c>
      <c r="Y42" s="250"/>
      <c r="Z42" s="1882">
        <f>SUM(Z39:Z41)</f>
        <v>2307691</v>
      </c>
      <c r="AB42" s="12"/>
      <c r="AC42" s="1008">
        <f t="shared" si="5"/>
        <v>2161265</v>
      </c>
    </row>
    <row r="43" spans="1:32" s="3" customFormat="1" x14ac:dyDescent="0.2">
      <c r="A43" s="2"/>
      <c r="B43" s="330" t="s">
        <v>73</v>
      </c>
      <c r="C43" s="184"/>
      <c r="D43" s="189"/>
      <c r="E43" s="31"/>
      <c r="F43" s="206"/>
      <c r="G43" s="239"/>
      <c r="H43" s="369"/>
      <c r="I43" s="139"/>
      <c r="J43" s="347"/>
      <c r="K43" s="239"/>
      <c r="L43" s="347"/>
      <c r="M43" s="239"/>
      <c r="N43" s="369"/>
      <c r="O43" s="139"/>
      <c r="P43" s="369"/>
      <c r="Q43" s="139"/>
      <c r="R43" s="369"/>
      <c r="S43" s="139"/>
      <c r="T43" s="369"/>
      <c r="U43" s="139"/>
      <c r="V43" s="416"/>
      <c r="W43" s="139"/>
      <c r="X43" s="416"/>
      <c r="Y43" s="139"/>
      <c r="Z43" s="294"/>
      <c r="AB43" s="12"/>
      <c r="AC43" s="947"/>
    </row>
    <row r="44" spans="1:32" s="3" customFormat="1" x14ac:dyDescent="0.2">
      <c r="A44" s="2"/>
      <c r="B44" s="331" t="s">
        <v>71</v>
      </c>
      <c r="C44" s="184"/>
      <c r="D44" s="189"/>
      <c r="E44" s="31"/>
      <c r="F44" s="206"/>
      <c r="G44" s="239"/>
      <c r="H44" s="369"/>
      <c r="I44" s="139"/>
      <c r="J44" s="347"/>
      <c r="K44" s="239"/>
      <c r="L44" s="347"/>
      <c r="M44" s="239"/>
      <c r="N44" s="369"/>
      <c r="O44" s="139"/>
      <c r="P44" s="369"/>
      <c r="Q44" s="139"/>
      <c r="R44" s="369"/>
      <c r="S44" s="139"/>
      <c r="T44" s="369"/>
      <c r="U44" s="139"/>
      <c r="V44" s="416"/>
      <c r="W44" s="139"/>
      <c r="X44" s="416"/>
      <c r="Y44" s="139"/>
      <c r="Z44" s="294"/>
      <c r="AB44" s="12"/>
      <c r="AC44" s="947"/>
    </row>
    <row r="45" spans="1:32" s="3" customFormat="1" x14ac:dyDescent="0.2">
      <c r="A45" s="2"/>
      <c r="B45" s="331" t="s">
        <v>247</v>
      </c>
      <c r="C45" s="184"/>
      <c r="D45" s="189"/>
      <c r="E45" s="31"/>
      <c r="F45" s="206"/>
      <c r="G45" s="239"/>
      <c r="H45" s="369"/>
      <c r="I45" s="139"/>
      <c r="J45" s="347"/>
      <c r="K45" s="239"/>
      <c r="L45" s="347"/>
      <c r="M45" s="239"/>
      <c r="N45" s="369"/>
      <c r="O45" s="139"/>
      <c r="P45" s="369"/>
      <c r="Q45" s="139"/>
      <c r="R45" s="369"/>
      <c r="S45" s="139"/>
      <c r="T45" s="369"/>
      <c r="U45" s="139"/>
      <c r="V45" s="416"/>
      <c r="W45" s="139"/>
      <c r="X45" s="416"/>
      <c r="Y45" s="139"/>
      <c r="Z45" s="294"/>
      <c r="AB45" s="12"/>
      <c r="AC45" s="947"/>
    </row>
    <row r="46" spans="1:32" s="3" customFormat="1" ht="36" x14ac:dyDescent="0.2">
      <c r="A46" s="2"/>
      <c r="B46" s="850" t="s">
        <v>248</v>
      </c>
      <c r="C46" s="239"/>
      <c r="D46" s="369"/>
      <c r="E46" s="31"/>
      <c r="F46" s="206"/>
      <c r="G46" s="239"/>
      <c r="H46" s="369"/>
      <c r="I46" s="139"/>
      <c r="J46" s="347"/>
      <c r="K46" s="239"/>
      <c r="L46" s="347"/>
      <c r="M46" s="239"/>
      <c r="N46" s="369"/>
      <c r="O46" s="139"/>
      <c r="P46" s="369"/>
      <c r="Q46" s="139"/>
      <c r="R46" s="369"/>
      <c r="S46" s="139"/>
      <c r="T46" s="369"/>
      <c r="U46" s="139"/>
      <c r="V46" s="416"/>
      <c r="W46" s="139"/>
      <c r="X46" s="416"/>
      <c r="Y46" s="139"/>
      <c r="Z46" s="294"/>
      <c r="AB46" s="12"/>
      <c r="AC46" s="947"/>
    </row>
    <row r="47" spans="1:32" s="3" customFormat="1" x14ac:dyDescent="0.2">
      <c r="A47" s="2"/>
      <c r="B47" s="851" t="s">
        <v>74</v>
      </c>
      <c r="C47" s="262"/>
      <c r="D47" s="263">
        <f>SUM(D44:D46)</f>
        <v>0</v>
      </c>
      <c r="E47" s="90"/>
      <c r="F47" s="207">
        <f>SUM(F44:F46)</f>
        <v>0</v>
      </c>
      <c r="G47" s="262"/>
      <c r="H47" s="263">
        <f>SUM(H44:H46)</f>
        <v>0</v>
      </c>
      <c r="I47" s="250"/>
      <c r="J47" s="249">
        <f>SUM(J44:J46)</f>
        <v>0</v>
      </c>
      <c r="K47" s="262"/>
      <c r="L47" s="249">
        <f>SUM(L44:L46)</f>
        <v>0</v>
      </c>
      <c r="M47" s="262"/>
      <c r="N47" s="263">
        <f>SUM(N44:N46)</f>
        <v>0</v>
      </c>
      <c r="O47" s="250"/>
      <c r="P47" s="263">
        <f>SUM(P44:P46)</f>
        <v>0</v>
      </c>
      <c r="Q47" s="250"/>
      <c r="R47" s="263">
        <f>SUM(R44:R46)</f>
        <v>0</v>
      </c>
      <c r="S47" s="250"/>
      <c r="T47" s="263">
        <f>SUM(T44:T46)</f>
        <v>0</v>
      </c>
      <c r="U47" s="250"/>
      <c r="V47" s="416">
        <f>SUM(V44:V46)</f>
        <v>0</v>
      </c>
      <c r="W47" s="250"/>
      <c r="X47" s="416">
        <f>SUM(X44:X46)</f>
        <v>0</v>
      </c>
      <c r="Y47" s="250"/>
      <c r="Z47" s="294">
        <f>SUM(Z44:Z46)</f>
        <v>0</v>
      </c>
      <c r="AB47" s="12"/>
      <c r="AC47" s="1008">
        <f t="shared" ref="AC47:AC48" si="6">AVERAGE(X47,V47,R47,T47,Z47)</f>
        <v>0</v>
      </c>
    </row>
    <row r="48" spans="1:32" s="3" customFormat="1" ht="13.5" thickBot="1" x14ac:dyDescent="0.25">
      <c r="A48" s="2"/>
      <c r="B48" s="1554" t="s">
        <v>75</v>
      </c>
      <c r="C48" s="239"/>
      <c r="D48" s="263">
        <f>SUM(D42,D47)</f>
        <v>940235</v>
      </c>
      <c r="E48" s="31"/>
      <c r="F48" s="207">
        <f>SUM(F42,F47)</f>
        <v>1207245</v>
      </c>
      <c r="G48" s="239"/>
      <c r="H48" s="263">
        <f>SUM(H42,H47)</f>
        <v>1377055</v>
      </c>
      <c r="I48" s="139"/>
      <c r="J48" s="249">
        <f>SUM(J42,J47)</f>
        <v>1501024</v>
      </c>
      <c r="K48" s="239"/>
      <c r="L48" s="249">
        <f>SUM(L42,L47)</f>
        <v>1636265</v>
      </c>
      <c r="M48" s="239"/>
      <c r="N48" s="263">
        <f>SUM(N42,N47)</f>
        <v>1932783</v>
      </c>
      <c r="O48" s="139"/>
      <c r="P48" s="263">
        <f>SUM(P42,P47)</f>
        <v>1925401</v>
      </c>
      <c r="Q48" s="139"/>
      <c r="R48" s="263">
        <f>SUM(R42,R47)</f>
        <v>2056255</v>
      </c>
      <c r="S48" s="139"/>
      <c r="T48" s="263">
        <f>SUM(T42,T47)</f>
        <v>2100452</v>
      </c>
      <c r="U48" s="139"/>
      <c r="V48" s="1883">
        <f>SUM(V42,V47)</f>
        <v>2120103</v>
      </c>
      <c r="W48" s="250"/>
      <c r="X48" s="1883">
        <f>SUM(X42,X47)</f>
        <v>2221824</v>
      </c>
      <c r="Y48" s="250"/>
      <c r="Z48" s="1884">
        <f>SUM(Z42,Z47)</f>
        <v>2307691</v>
      </c>
      <c r="AB48" s="948"/>
      <c r="AC48" s="1008">
        <f t="shared" si="6"/>
        <v>2161265</v>
      </c>
    </row>
    <row r="49" spans="1:29" s="3" customFormat="1" ht="12" x14ac:dyDescent="0.2">
      <c r="B49" s="403" t="s">
        <v>259</v>
      </c>
      <c r="C49" s="265"/>
      <c r="D49" s="248"/>
      <c r="E49" s="36"/>
      <c r="F49" s="36"/>
      <c r="G49" s="265"/>
      <c r="H49" s="248"/>
      <c r="I49" s="265"/>
      <c r="J49" s="151"/>
      <c r="K49" s="265"/>
      <c r="L49" s="151"/>
      <c r="M49" s="265"/>
      <c r="N49" s="248"/>
      <c r="O49" s="151"/>
      <c r="P49" s="248"/>
      <c r="Q49" s="151"/>
      <c r="R49" s="248"/>
      <c r="S49" s="151"/>
      <c r="T49" s="248"/>
      <c r="U49" s="151"/>
      <c r="V49" s="248"/>
      <c r="W49" s="151"/>
      <c r="X49" s="248"/>
      <c r="Y49" s="151"/>
      <c r="Z49" s="152"/>
      <c r="AB49" s="831"/>
      <c r="AC49" s="978"/>
    </row>
    <row r="50" spans="1:29" x14ac:dyDescent="0.2">
      <c r="A50" s="3"/>
      <c r="B50" s="469" t="s">
        <v>14</v>
      </c>
      <c r="C50" s="309"/>
      <c r="D50" s="466">
        <f>237905+773473</f>
        <v>1011378</v>
      </c>
      <c r="E50" s="64"/>
      <c r="F50" s="377">
        <v>1162778</v>
      </c>
      <c r="G50" s="309"/>
      <c r="H50" s="440">
        <v>1443843.38</v>
      </c>
      <c r="I50" s="309"/>
      <c r="J50" s="377">
        <v>1489794.63</v>
      </c>
      <c r="K50" s="309"/>
      <c r="L50" s="825">
        <f>78633+23920+1486171</f>
        <v>1588724</v>
      </c>
      <c r="M50" s="309"/>
      <c r="N50" s="1140">
        <v>1772154</v>
      </c>
      <c r="O50" s="415"/>
      <c r="P50" s="1266">
        <v>1827107</v>
      </c>
      <c r="Q50" s="828"/>
      <c r="R50" s="1266">
        <v>1809872</v>
      </c>
      <c r="S50" s="828"/>
      <c r="T50" s="1266">
        <v>1997486</v>
      </c>
      <c r="U50" s="828"/>
      <c r="V50" s="1266">
        <v>2013792</v>
      </c>
      <c r="W50" s="828"/>
      <c r="X50" s="1266">
        <v>2112446.96</v>
      </c>
      <c r="Y50" s="828"/>
      <c r="Z50" s="1576"/>
      <c r="AB50" s="24"/>
      <c r="AC50" s="949">
        <f>AVERAGE(X50,V50,R50,T50,P50)</f>
        <v>1952140.7920000001</v>
      </c>
    </row>
    <row r="51" spans="1:29" ht="13.5" thickBot="1" x14ac:dyDescent="0.25">
      <c r="A51" s="3"/>
      <c r="B51" s="470" t="s">
        <v>15</v>
      </c>
      <c r="C51" s="268"/>
      <c r="D51" s="467">
        <v>73240</v>
      </c>
      <c r="E51" s="40"/>
      <c r="F51" s="378">
        <v>75126</v>
      </c>
      <c r="G51" s="268"/>
      <c r="H51" s="438">
        <v>67723</v>
      </c>
      <c r="I51" s="268"/>
      <c r="J51" s="378">
        <v>114046</v>
      </c>
      <c r="K51" s="268"/>
      <c r="L51" s="824">
        <f>40519+141216</f>
        <v>181735</v>
      </c>
      <c r="M51" s="268"/>
      <c r="N51" s="1152">
        <f>296821</f>
        <v>296821</v>
      </c>
      <c r="O51" s="154"/>
      <c r="P51" s="1152">
        <f>3069+70045+54488</f>
        <v>127602</v>
      </c>
      <c r="Q51" s="1481"/>
      <c r="R51" s="1152">
        <v>55295.46</v>
      </c>
      <c r="S51" s="1481"/>
      <c r="T51" s="1152">
        <f>53764.02+1520.41</f>
        <v>55284.43</v>
      </c>
      <c r="U51" s="1481"/>
      <c r="V51" s="1152">
        <v>14142</v>
      </c>
      <c r="W51" s="1481"/>
      <c r="X51" s="1152">
        <v>25998.9</v>
      </c>
      <c r="Y51" s="1481"/>
      <c r="Z51" s="1569"/>
      <c r="AB51" s="63"/>
      <c r="AC51" s="949">
        <f>AVERAGE(X51,V51,R51,T51,P51)</f>
        <v>55664.558000000005</v>
      </c>
    </row>
    <row r="52" spans="1:29" x14ac:dyDescent="0.2">
      <c r="A52" s="3"/>
      <c r="B52" s="471"/>
      <c r="C52" s="308" t="s">
        <v>133</v>
      </c>
      <c r="D52" s="417" t="s">
        <v>139</v>
      </c>
      <c r="E52" s="166" t="s">
        <v>133</v>
      </c>
      <c r="F52" s="379" t="s">
        <v>139</v>
      </c>
      <c r="G52" s="308" t="s">
        <v>133</v>
      </c>
      <c r="H52" s="379" t="s">
        <v>139</v>
      </c>
      <c r="I52" s="386" t="s">
        <v>133</v>
      </c>
      <c r="J52" s="379" t="s">
        <v>139</v>
      </c>
      <c r="K52" s="308" t="s">
        <v>133</v>
      </c>
      <c r="L52" s="379" t="s">
        <v>139</v>
      </c>
      <c r="M52" s="308" t="s">
        <v>133</v>
      </c>
      <c r="N52" s="1240" t="s">
        <v>139</v>
      </c>
      <c r="O52" s="414" t="s">
        <v>133</v>
      </c>
      <c r="P52" s="1240" t="s">
        <v>139</v>
      </c>
      <c r="Q52" s="414" t="s">
        <v>133</v>
      </c>
      <c r="R52" s="1240" t="s">
        <v>139</v>
      </c>
      <c r="S52" s="414" t="s">
        <v>133</v>
      </c>
      <c r="T52" s="1240" t="s">
        <v>139</v>
      </c>
      <c r="U52" s="414" t="s">
        <v>133</v>
      </c>
      <c r="V52" s="1240" t="s">
        <v>139</v>
      </c>
      <c r="W52" s="414" t="s">
        <v>133</v>
      </c>
      <c r="X52" s="1240" t="s">
        <v>139</v>
      </c>
      <c r="Y52" s="414" t="s">
        <v>133</v>
      </c>
      <c r="Z52" s="840" t="s">
        <v>139</v>
      </c>
      <c r="AA52" s="1035"/>
      <c r="AB52" s="323" t="s">
        <v>133</v>
      </c>
      <c r="AC52" s="295" t="s">
        <v>139</v>
      </c>
    </row>
    <row r="53" spans="1:29" s="3" customFormat="1" ht="11.45" customHeight="1" x14ac:dyDescent="0.2">
      <c r="B53" s="472" t="s">
        <v>67</v>
      </c>
      <c r="C53" s="476">
        <v>14</v>
      </c>
      <c r="D53" s="510">
        <v>801026</v>
      </c>
      <c r="E53" s="108">
        <v>12</v>
      </c>
      <c r="F53" s="522">
        <v>576769</v>
      </c>
      <c r="G53" s="476">
        <v>15</v>
      </c>
      <c r="H53" s="439">
        <v>1993189</v>
      </c>
      <c r="I53" s="476">
        <v>24</v>
      </c>
      <c r="J53" s="525">
        <v>2063591</v>
      </c>
      <c r="K53" s="476">
        <v>17</v>
      </c>
      <c r="L53" s="252">
        <v>2090127</v>
      </c>
      <c r="M53" s="532">
        <v>18</v>
      </c>
      <c r="N53" s="510">
        <v>1508011</v>
      </c>
      <c r="O53" s="532">
        <v>24</v>
      </c>
      <c r="P53" s="510">
        <v>1235794</v>
      </c>
      <c r="Q53" s="532">
        <v>27</v>
      </c>
      <c r="R53" s="510">
        <v>1377973</v>
      </c>
      <c r="S53" s="532">
        <v>27</v>
      </c>
      <c r="T53" s="510">
        <v>2645522</v>
      </c>
      <c r="U53" s="532">
        <v>21</v>
      </c>
      <c r="V53" s="510">
        <v>1775528</v>
      </c>
      <c r="W53" s="532">
        <v>14</v>
      </c>
      <c r="X53" s="510">
        <v>899190</v>
      </c>
      <c r="Y53" s="532"/>
      <c r="Z53" s="1849"/>
      <c r="AA53" s="930"/>
      <c r="AB53" s="108">
        <f>AVERAGE(W53,U53,Q53,S53,O53)</f>
        <v>22.6</v>
      </c>
      <c r="AC53" s="951">
        <f>AVERAGE(X53,V53,R53,T53,P53)</f>
        <v>1586801.4</v>
      </c>
    </row>
    <row r="54" spans="1:29" s="3" customFormat="1" ht="11.45" customHeight="1" x14ac:dyDescent="0.2">
      <c r="B54" s="472"/>
      <c r="C54" s="551"/>
      <c r="D54" s="468"/>
      <c r="E54" s="838"/>
      <c r="F54" s="306"/>
      <c r="G54" s="551"/>
      <c r="H54" s="418"/>
      <c r="I54" s="551"/>
      <c r="J54" s="452"/>
      <c r="K54" s="551"/>
      <c r="L54" s="528"/>
      <c r="M54" s="530"/>
      <c r="N54" s="545"/>
      <c r="O54" s="530"/>
      <c r="P54" s="545"/>
      <c r="Q54" s="530"/>
      <c r="R54" s="545"/>
      <c r="S54" s="530"/>
      <c r="T54" s="545"/>
      <c r="U54" s="530"/>
      <c r="V54" s="545"/>
      <c r="W54" s="530"/>
      <c r="X54" s="545"/>
      <c r="Y54" s="530"/>
      <c r="Z54" s="1937"/>
      <c r="AA54" s="930"/>
      <c r="AB54" s="1013"/>
      <c r="AC54" s="949"/>
    </row>
    <row r="55" spans="1:29" s="3" customFormat="1" thickBot="1" x14ac:dyDescent="0.25">
      <c r="B55" s="358" t="s">
        <v>16</v>
      </c>
      <c r="C55" s="913">
        <v>7</v>
      </c>
      <c r="D55" s="208">
        <v>687259</v>
      </c>
      <c r="E55" s="839">
        <v>7</v>
      </c>
      <c r="F55" s="69">
        <v>1197575.3</v>
      </c>
      <c r="G55" s="552">
        <v>6</v>
      </c>
      <c r="H55" s="524">
        <v>456933</v>
      </c>
      <c r="I55" s="552">
        <v>12</v>
      </c>
      <c r="J55" s="526">
        <v>316017</v>
      </c>
      <c r="K55" s="552">
        <v>4</v>
      </c>
      <c r="L55" s="253">
        <v>296582</v>
      </c>
      <c r="M55" s="552">
        <v>5</v>
      </c>
      <c r="N55" s="509">
        <v>263927</v>
      </c>
      <c r="O55" s="552">
        <v>9</v>
      </c>
      <c r="P55" s="509">
        <v>165536</v>
      </c>
      <c r="Q55" s="552">
        <v>13</v>
      </c>
      <c r="R55" s="509">
        <v>497609</v>
      </c>
      <c r="S55" s="552">
        <v>12</v>
      </c>
      <c r="T55" s="509">
        <v>423393</v>
      </c>
      <c r="U55" s="552">
        <v>8</v>
      </c>
      <c r="V55" s="509">
        <v>478709</v>
      </c>
      <c r="W55" s="552">
        <v>10</v>
      </c>
      <c r="X55" s="509">
        <v>1118409</v>
      </c>
      <c r="Y55" s="552"/>
      <c r="Z55" s="1850"/>
      <c r="AA55" s="930"/>
      <c r="AB55" s="839">
        <f>AVERAGE(W55,U55,Q55,S55,O55)</f>
        <v>10.4</v>
      </c>
      <c r="AC55" s="1009">
        <f>AVERAGE(X55,V55,R55,T55,P55)</f>
        <v>536731.19999999995</v>
      </c>
    </row>
    <row r="56" spans="1:29" s="3" customFormat="1" thickTop="1" x14ac:dyDescent="0.2">
      <c r="B56" s="355" t="s">
        <v>84</v>
      </c>
      <c r="C56" s="199"/>
      <c r="D56" s="209"/>
      <c r="E56" s="45"/>
      <c r="F56" s="323"/>
      <c r="G56" s="269"/>
      <c r="H56" s="419"/>
      <c r="I56" s="269"/>
      <c r="J56" s="307"/>
      <c r="K56" s="269"/>
      <c r="L56" s="307"/>
      <c r="M56" s="269"/>
      <c r="N56" s="419"/>
      <c r="O56" s="156"/>
      <c r="P56" s="419"/>
      <c r="Q56" s="156"/>
      <c r="R56" s="419"/>
      <c r="S56" s="156"/>
      <c r="T56" s="419"/>
      <c r="U56" s="156"/>
      <c r="V56" s="419"/>
      <c r="W56" s="156"/>
      <c r="X56" s="419"/>
      <c r="Y56" s="156"/>
      <c r="Z56" s="158"/>
      <c r="AA56" s="930"/>
      <c r="AB56" s="109"/>
      <c r="AC56" s="1030"/>
    </row>
    <row r="57" spans="1:29" s="3" customFormat="1" ht="12" x14ac:dyDescent="0.2">
      <c r="B57" s="359" t="s">
        <v>35</v>
      </c>
      <c r="C57" s="201"/>
      <c r="D57" s="210"/>
      <c r="E57" s="97"/>
      <c r="F57" s="34"/>
      <c r="G57" s="271"/>
      <c r="H57" s="420"/>
      <c r="I57" s="271"/>
      <c r="J57" s="135"/>
      <c r="K57" s="271"/>
      <c r="L57" s="135"/>
      <c r="M57" s="271"/>
      <c r="N57" s="420"/>
      <c r="O57" s="157"/>
      <c r="P57" s="420"/>
      <c r="Q57" s="157"/>
      <c r="R57" s="420"/>
      <c r="S57" s="157"/>
      <c r="T57" s="420"/>
      <c r="U57" s="157"/>
      <c r="V57" s="420"/>
      <c r="W57" s="157"/>
      <c r="X57" s="420"/>
      <c r="Y57" s="157"/>
      <c r="Z57" s="287"/>
      <c r="AA57" s="930"/>
      <c r="AB57" s="720"/>
      <c r="AC57" s="1011"/>
    </row>
    <row r="58" spans="1:29" s="3" customFormat="1" ht="12" x14ac:dyDescent="0.2">
      <c r="B58" s="360" t="s">
        <v>85</v>
      </c>
      <c r="C58" s="202"/>
      <c r="D58" s="232">
        <v>11202</v>
      </c>
      <c r="E58" s="35"/>
      <c r="F58" s="345">
        <v>6655</v>
      </c>
      <c r="G58" s="272"/>
      <c r="H58" s="535">
        <v>13851.5</v>
      </c>
      <c r="I58" s="272"/>
      <c r="J58" s="554">
        <v>15582</v>
      </c>
      <c r="K58" s="539"/>
      <c r="L58" s="812">
        <v>17255</v>
      </c>
      <c r="M58" s="539"/>
      <c r="N58" s="1241">
        <v>13665</v>
      </c>
      <c r="O58" s="612"/>
      <c r="P58" s="1241">
        <v>38789</v>
      </c>
      <c r="Q58" s="612"/>
      <c r="R58" s="1241">
        <v>64003</v>
      </c>
      <c r="S58" s="612"/>
      <c r="T58" s="1241">
        <v>9918</v>
      </c>
      <c r="U58" s="612"/>
      <c r="V58" s="1241">
        <v>14643</v>
      </c>
      <c r="W58" s="612"/>
      <c r="X58" s="543">
        <v>554493.01</v>
      </c>
      <c r="Y58" s="612"/>
      <c r="Z58" s="1570"/>
      <c r="AA58" s="930"/>
      <c r="AB58" s="1013"/>
      <c r="AC58" s="949">
        <f t="shared" ref="AC58:AC59" si="7">AVERAGE(X58,V58,R58,T58,P58)</f>
        <v>136369.20199999999</v>
      </c>
    </row>
    <row r="59" spans="1:29" s="3" customFormat="1" thickBot="1" x14ac:dyDescent="0.25">
      <c r="B59" s="361" t="s">
        <v>86</v>
      </c>
      <c r="C59" s="204"/>
      <c r="D59" s="211">
        <v>0</v>
      </c>
      <c r="E59" s="37"/>
      <c r="F59" s="324">
        <v>0</v>
      </c>
      <c r="G59" s="274"/>
      <c r="H59" s="324">
        <v>0</v>
      </c>
      <c r="I59" s="274"/>
      <c r="J59" s="324">
        <v>0</v>
      </c>
      <c r="K59" s="274"/>
      <c r="L59" s="455">
        <v>0</v>
      </c>
      <c r="M59" s="274"/>
      <c r="N59" s="485">
        <v>0</v>
      </c>
      <c r="O59" s="260"/>
      <c r="P59" s="485">
        <v>0</v>
      </c>
      <c r="Q59" s="260"/>
      <c r="R59" s="485">
        <v>0</v>
      </c>
      <c r="S59" s="260"/>
      <c r="T59" s="1252">
        <v>0</v>
      </c>
      <c r="U59" s="260"/>
      <c r="V59" s="1252">
        <v>0</v>
      </c>
      <c r="W59" s="260"/>
      <c r="X59" s="485">
        <v>0</v>
      </c>
      <c r="Y59" s="260"/>
      <c r="Z59" s="1578"/>
      <c r="AB59" s="1015"/>
      <c r="AC59" s="1024">
        <f t="shared" si="7"/>
        <v>0</v>
      </c>
    </row>
    <row r="60" spans="1:29" ht="13.5" thickTop="1" x14ac:dyDescent="0.2">
      <c r="A60" s="3"/>
      <c r="B60" s="96"/>
      <c r="C60" s="97"/>
      <c r="D60" s="98"/>
      <c r="E60" s="97"/>
      <c r="F60" s="34"/>
      <c r="G60" s="157"/>
      <c r="H60" s="135"/>
      <c r="I60" s="157"/>
      <c r="J60" s="135"/>
      <c r="K60" s="157"/>
      <c r="L60" s="135"/>
      <c r="M60" s="157"/>
      <c r="N60" s="135"/>
      <c r="O60" s="157"/>
      <c r="P60" s="135"/>
      <c r="Q60" s="157"/>
      <c r="R60" s="135"/>
      <c r="S60" s="157"/>
      <c r="T60" s="135"/>
      <c r="U60" s="157"/>
      <c r="V60" s="135"/>
      <c r="W60" s="157"/>
      <c r="X60" s="135"/>
      <c r="Y60" s="157"/>
      <c r="Z60" s="135"/>
    </row>
    <row r="61" spans="1:29" x14ac:dyDescent="0.2">
      <c r="A61" s="2" t="s">
        <v>76</v>
      </c>
      <c r="B61" s="96"/>
      <c r="C61" s="97"/>
      <c r="D61" s="98"/>
      <c r="E61" s="97"/>
      <c r="F61" s="34"/>
      <c r="G61" s="157"/>
      <c r="H61" s="135"/>
      <c r="I61" s="157"/>
      <c r="J61" s="135"/>
      <c r="K61" s="157"/>
      <c r="L61" s="135"/>
      <c r="M61" s="157"/>
      <c r="N61" s="135"/>
      <c r="O61" s="157"/>
      <c r="P61" s="135"/>
      <c r="Q61" s="157"/>
      <c r="R61" s="135"/>
      <c r="S61" s="157"/>
      <c r="T61" s="135"/>
      <c r="U61" s="157"/>
      <c r="V61" s="135"/>
      <c r="W61" s="157"/>
      <c r="X61" s="135"/>
      <c r="Y61" s="157"/>
      <c r="Z61" s="135"/>
    </row>
    <row r="62" spans="1:29" ht="13.5" thickBot="1" x14ac:dyDescent="0.25">
      <c r="A62" s="3"/>
      <c r="B62" s="96"/>
      <c r="C62" s="97"/>
      <c r="D62" s="98"/>
      <c r="E62" s="97"/>
      <c r="F62" s="34"/>
      <c r="G62" s="157"/>
      <c r="H62" s="135"/>
      <c r="I62" s="157"/>
      <c r="J62" s="135"/>
      <c r="K62" s="157"/>
      <c r="L62" s="135"/>
      <c r="M62" s="157"/>
      <c r="N62" s="135"/>
      <c r="O62" s="157"/>
      <c r="P62" s="135"/>
      <c r="Q62" s="157"/>
      <c r="R62" s="135"/>
      <c r="S62" s="157"/>
      <c r="T62" s="135"/>
      <c r="U62" s="157"/>
      <c r="V62" s="135"/>
      <c r="W62" s="157"/>
      <c r="X62" s="135"/>
      <c r="Y62" s="157"/>
      <c r="Z62" s="135"/>
    </row>
    <row r="63" spans="1:29" s="3" customFormat="1" ht="14.25" customHeight="1" thickTop="1" thickBot="1" x14ac:dyDescent="0.25">
      <c r="B63" s="340"/>
      <c r="C63" s="2013" t="s">
        <v>49</v>
      </c>
      <c r="D63" s="2014"/>
      <c r="E63" s="2015" t="s">
        <v>50</v>
      </c>
      <c r="F63" s="2015"/>
      <c r="G63" s="2002" t="s">
        <v>141</v>
      </c>
      <c r="H63" s="1982"/>
      <c r="I63" s="1974" t="s">
        <v>152</v>
      </c>
      <c r="J63" s="1974"/>
      <c r="K63" s="2002" t="s">
        <v>154</v>
      </c>
      <c r="L63" s="1974"/>
      <c r="M63" s="2002" t="s">
        <v>171</v>
      </c>
      <c r="N63" s="1982"/>
      <c r="O63" s="1974" t="s">
        <v>227</v>
      </c>
      <c r="P63" s="1982"/>
      <c r="Q63" s="1974" t="s">
        <v>237</v>
      </c>
      <c r="R63" s="1974"/>
      <c r="S63" s="2002" t="s">
        <v>272</v>
      </c>
      <c r="T63" s="1982"/>
      <c r="U63" s="1974" t="s">
        <v>274</v>
      </c>
      <c r="V63" s="1982"/>
      <c r="W63" s="1974" t="s">
        <v>280</v>
      </c>
      <c r="X63" s="1982"/>
      <c r="Y63" s="1974" t="s">
        <v>290</v>
      </c>
      <c r="Z63" s="1975"/>
      <c r="AB63" s="2003" t="s">
        <v>213</v>
      </c>
      <c r="AC63" s="2004"/>
    </row>
    <row r="64" spans="1:29" s="3" customFormat="1" ht="12" x14ac:dyDescent="0.2">
      <c r="B64" s="73" t="s">
        <v>53</v>
      </c>
      <c r="C64" s="54"/>
      <c r="D64" s="92"/>
      <c r="E64" s="30"/>
      <c r="F64" s="30"/>
      <c r="G64" s="243"/>
      <c r="H64" s="244"/>
      <c r="I64" s="138"/>
      <c r="J64" s="138"/>
      <c r="K64" s="243"/>
      <c r="L64" s="138"/>
      <c r="M64" s="243"/>
      <c r="N64" s="244"/>
      <c r="O64" s="138"/>
      <c r="P64" s="244"/>
      <c r="Q64" s="138"/>
      <c r="R64" s="248"/>
      <c r="S64" s="138"/>
      <c r="T64" s="244"/>
      <c r="U64" s="138"/>
      <c r="V64" s="244"/>
      <c r="W64" s="138"/>
      <c r="X64" s="244"/>
      <c r="Y64" s="138"/>
      <c r="Z64" s="140"/>
      <c r="AB64" s="831"/>
      <c r="AC64" s="930"/>
    </row>
    <row r="65" spans="2:29" s="3" customFormat="1" ht="12" x14ac:dyDescent="0.2">
      <c r="B65" s="74" t="s">
        <v>54</v>
      </c>
      <c r="C65" s="184"/>
      <c r="D65" s="165"/>
      <c r="E65" s="31"/>
      <c r="F65" s="171"/>
      <c r="G65" s="239"/>
      <c r="H65" s="261"/>
      <c r="I65" s="139"/>
      <c r="J65" s="183"/>
      <c r="K65" s="239"/>
      <c r="L65" s="183"/>
      <c r="M65" s="239"/>
      <c r="N65" s="261"/>
      <c r="O65" s="139"/>
      <c r="P65" s="261"/>
      <c r="Q65" s="139"/>
      <c r="R65" s="261"/>
      <c r="S65" s="139"/>
      <c r="T65" s="261"/>
      <c r="U65" s="139"/>
      <c r="V65" s="261"/>
      <c r="W65" s="139"/>
      <c r="X65" s="261"/>
      <c r="Y65" s="139"/>
      <c r="Z65" s="142"/>
      <c r="AB65" s="24"/>
      <c r="AC65" s="579"/>
    </row>
    <row r="66" spans="2:29" s="3" customFormat="1" ht="12" x14ac:dyDescent="0.2">
      <c r="B66" s="75" t="s">
        <v>55</v>
      </c>
      <c r="C66" s="184"/>
      <c r="D66" s="165">
        <v>11</v>
      </c>
      <c r="E66" s="31"/>
      <c r="F66" s="171">
        <v>12</v>
      </c>
      <c r="G66" s="239"/>
      <c r="H66" s="261">
        <v>12</v>
      </c>
      <c r="I66" s="139"/>
      <c r="J66" s="183">
        <v>13</v>
      </c>
      <c r="K66" s="239"/>
      <c r="L66" s="183">
        <v>13</v>
      </c>
      <c r="M66" s="239"/>
      <c r="N66" s="261">
        <v>15</v>
      </c>
      <c r="O66" s="139"/>
      <c r="P66" s="261">
        <v>14</v>
      </c>
      <c r="Q66" s="139"/>
      <c r="R66" s="261">
        <v>13</v>
      </c>
      <c r="S66" s="139"/>
      <c r="T66" s="261">
        <v>13</v>
      </c>
      <c r="U66" s="139"/>
      <c r="V66" s="261">
        <v>13</v>
      </c>
      <c r="W66" s="139"/>
      <c r="X66" s="261">
        <v>13</v>
      </c>
      <c r="Y66" s="139"/>
      <c r="Z66" s="142">
        <v>13</v>
      </c>
      <c r="AB66" s="12"/>
      <c r="AC66" s="1113">
        <f>AVERAGE(X66,V66,R66,T66,Z66)</f>
        <v>13</v>
      </c>
    </row>
    <row r="67" spans="2:29" s="3" customFormat="1" ht="12" x14ac:dyDescent="0.2">
      <c r="B67" s="75" t="s">
        <v>181</v>
      </c>
      <c r="C67" s="184"/>
      <c r="D67" s="165">
        <v>0</v>
      </c>
      <c r="E67" s="31"/>
      <c r="F67" s="171">
        <v>0</v>
      </c>
      <c r="G67" s="239"/>
      <c r="H67" s="261">
        <v>0</v>
      </c>
      <c r="I67" s="139"/>
      <c r="J67" s="183">
        <v>0</v>
      </c>
      <c r="K67" s="239"/>
      <c r="L67" s="183">
        <v>1</v>
      </c>
      <c r="M67" s="239"/>
      <c r="N67" s="261">
        <v>0</v>
      </c>
      <c r="O67" s="139"/>
      <c r="P67" s="261">
        <v>0</v>
      </c>
      <c r="Q67" s="139"/>
      <c r="R67" s="261">
        <v>1</v>
      </c>
      <c r="S67" s="139"/>
      <c r="T67" s="261">
        <v>2</v>
      </c>
      <c r="U67" s="139"/>
      <c r="V67" s="261">
        <v>1</v>
      </c>
      <c r="W67" s="139"/>
      <c r="X67" s="261">
        <v>0</v>
      </c>
      <c r="Y67" s="139"/>
      <c r="Z67" s="142">
        <v>0</v>
      </c>
      <c r="AB67" s="12"/>
      <c r="AC67" s="1113">
        <f t="shared" ref="AC67:AC71" si="8">AVERAGE(X67,V67,R67,T67,Z67)</f>
        <v>0.8</v>
      </c>
    </row>
    <row r="68" spans="2:29" s="3" customFormat="1" ht="12" x14ac:dyDescent="0.2">
      <c r="B68" s="74" t="s">
        <v>57</v>
      </c>
      <c r="C68" s="184"/>
      <c r="D68" s="94"/>
      <c r="E68" s="31"/>
      <c r="F68" s="39"/>
      <c r="G68" s="239"/>
      <c r="H68" s="240"/>
      <c r="I68" s="139"/>
      <c r="J68" s="241"/>
      <c r="K68" s="239"/>
      <c r="L68" s="241"/>
      <c r="M68" s="239"/>
      <c r="N68" s="240"/>
      <c r="O68" s="139"/>
      <c r="P68" s="240"/>
      <c r="Q68" s="139"/>
      <c r="R68" s="240"/>
      <c r="S68" s="139"/>
      <c r="T68" s="240"/>
      <c r="U68" s="139"/>
      <c r="V68" s="240"/>
      <c r="W68" s="139"/>
      <c r="X68" s="240"/>
      <c r="Y68" s="139"/>
      <c r="Z68" s="143"/>
      <c r="AB68" s="12"/>
      <c r="AC68" s="1113"/>
    </row>
    <row r="69" spans="2:29" s="3" customFormat="1" ht="12" x14ac:dyDescent="0.2">
      <c r="B69" s="75" t="s">
        <v>55</v>
      </c>
      <c r="C69" s="184"/>
      <c r="D69" s="94">
        <v>0</v>
      </c>
      <c r="E69" s="31"/>
      <c r="F69" s="39">
        <v>0</v>
      </c>
      <c r="G69" s="239"/>
      <c r="H69" s="240">
        <v>0</v>
      </c>
      <c r="I69" s="139"/>
      <c r="J69" s="241">
        <v>0</v>
      </c>
      <c r="K69" s="239"/>
      <c r="L69" s="241">
        <v>0</v>
      </c>
      <c r="M69" s="239"/>
      <c r="N69" s="240">
        <v>0</v>
      </c>
      <c r="O69" s="139"/>
      <c r="P69" s="240">
        <v>0</v>
      </c>
      <c r="Q69" s="139"/>
      <c r="R69" s="240">
        <v>0</v>
      </c>
      <c r="S69" s="139"/>
      <c r="T69" s="240">
        <v>0</v>
      </c>
      <c r="U69" s="139"/>
      <c r="V69" s="240">
        <v>0</v>
      </c>
      <c r="W69" s="139"/>
      <c r="X69" s="240">
        <v>0</v>
      </c>
      <c r="Y69" s="139"/>
      <c r="Z69" s="143">
        <v>0</v>
      </c>
      <c r="AB69" s="12"/>
      <c r="AC69" s="1113">
        <f t="shared" si="8"/>
        <v>0</v>
      </c>
    </row>
    <row r="70" spans="2:29" s="3" customFormat="1" ht="12" x14ac:dyDescent="0.2">
      <c r="B70" s="341" t="s">
        <v>181</v>
      </c>
      <c r="C70" s="184"/>
      <c r="D70" s="94">
        <v>0</v>
      </c>
      <c r="E70" s="31"/>
      <c r="F70" s="39">
        <v>0</v>
      </c>
      <c r="G70" s="239"/>
      <c r="H70" s="240">
        <v>0</v>
      </c>
      <c r="I70" s="139"/>
      <c r="J70" s="241">
        <v>0</v>
      </c>
      <c r="K70" s="239"/>
      <c r="L70" s="241">
        <v>0</v>
      </c>
      <c r="M70" s="239"/>
      <c r="N70" s="240">
        <v>0</v>
      </c>
      <c r="O70" s="139"/>
      <c r="P70" s="240">
        <v>0</v>
      </c>
      <c r="Q70" s="139"/>
      <c r="R70" s="240">
        <v>0</v>
      </c>
      <c r="S70" s="139"/>
      <c r="T70" s="240">
        <v>0</v>
      </c>
      <c r="U70" s="139"/>
      <c r="V70" s="240">
        <v>0</v>
      </c>
      <c r="W70" s="139"/>
      <c r="X70" s="240">
        <v>0</v>
      </c>
      <c r="Y70" s="139"/>
      <c r="Z70" s="143">
        <v>0</v>
      </c>
      <c r="AB70" s="12"/>
      <c r="AC70" s="1113">
        <f t="shared" si="8"/>
        <v>0</v>
      </c>
    </row>
    <row r="71" spans="2:29" s="3" customFormat="1" thickBot="1" x14ac:dyDescent="0.25">
      <c r="B71" s="79" t="s">
        <v>13</v>
      </c>
      <c r="C71" s="233"/>
      <c r="D71" s="234">
        <f>SUM(D66:D70)</f>
        <v>11</v>
      </c>
      <c r="E71" s="107"/>
      <c r="F71" s="106">
        <f>SUM(F66:F70)</f>
        <v>12</v>
      </c>
      <c r="G71" s="297"/>
      <c r="H71" s="427">
        <v>12</v>
      </c>
      <c r="I71" s="426"/>
      <c r="J71" s="454">
        <v>13</v>
      </c>
      <c r="K71" s="297"/>
      <c r="L71" s="454">
        <v>14</v>
      </c>
      <c r="M71" s="297"/>
      <c r="N71" s="427">
        <f>SUM(N66:N70)</f>
        <v>15</v>
      </c>
      <c r="O71" s="426"/>
      <c r="P71" s="427">
        <f>SUM(P66:P70)</f>
        <v>14</v>
      </c>
      <c r="Q71" s="426"/>
      <c r="R71" s="427">
        <f>SUM(R66:R70)</f>
        <v>14</v>
      </c>
      <c r="S71" s="426"/>
      <c r="T71" s="427">
        <f>SUM(T66:T70)</f>
        <v>15</v>
      </c>
      <c r="U71" s="426"/>
      <c r="V71" s="427">
        <f>SUM(V66:V70)</f>
        <v>14</v>
      </c>
      <c r="W71" s="426"/>
      <c r="X71" s="427">
        <f>SUM(X66:X70)</f>
        <v>13</v>
      </c>
      <c r="Y71" s="426"/>
      <c r="Z71" s="374">
        <f>SUM(Z66:Z70)</f>
        <v>13</v>
      </c>
      <c r="AB71" s="831"/>
      <c r="AC71" s="1114">
        <f t="shared" si="8"/>
        <v>13.8</v>
      </c>
    </row>
    <row r="72" spans="2:29" s="3" customFormat="1" thickTop="1" x14ac:dyDescent="0.2">
      <c r="B72" s="342" t="s">
        <v>135</v>
      </c>
      <c r="C72" s="392"/>
      <c r="D72" s="393"/>
      <c r="E72" s="43" t="s">
        <v>133</v>
      </c>
      <c r="F72" s="41" t="s">
        <v>134</v>
      </c>
      <c r="G72" s="317" t="s">
        <v>133</v>
      </c>
      <c r="H72" s="412" t="s">
        <v>134</v>
      </c>
      <c r="I72" s="411" t="s">
        <v>133</v>
      </c>
      <c r="J72" s="449" t="s">
        <v>134</v>
      </c>
      <c r="K72" s="317" t="s">
        <v>133</v>
      </c>
      <c r="L72" s="449" t="s">
        <v>134</v>
      </c>
      <c r="M72" s="317" t="s">
        <v>133</v>
      </c>
      <c r="N72" s="441" t="s">
        <v>134</v>
      </c>
      <c r="O72" s="411" t="s">
        <v>133</v>
      </c>
      <c r="P72" s="412" t="s">
        <v>134</v>
      </c>
      <c r="Q72" s="411" t="s">
        <v>133</v>
      </c>
      <c r="R72" s="412" t="s">
        <v>134</v>
      </c>
      <c r="S72" s="411" t="s">
        <v>133</v>
      </c>
      <c r="T72" s="412" t="s">
        <v>134</v>
      </c>
      <c r="U72" s="411" t="s">
        <v>133</v>
      </c>
      <c r="V72" s="412" t="s">
        <v>134</v>
      </c>
      <c r="W72" s="411" t="s">
        <v>133</v>
      </c>
      <c r="X72" s="412" t="s">
        <v>134</v>
      </c>
      <c r="Y72" s="411" t="s">
        <v>133</v>
      </c>
      <c r="Z72" s="289" t="s">
        <v>134</v>
      </c>
      <c r="AB72" s="952" t="s">
        <v>133</v>
      </c>
      <c r="AC72" s="862" t="s">
        <v>134</v>
      </c>
    </row>
    <row r="73" spans="2:29" s="3" customFormat="1" ht="12" x14ac:dyDescent="0.2">
      <c r="B73" s="75" t="s">
        <v>87</v>
      </c>
      <c r="C73" s="319">
        <v>8</v>
      </c>
      <c r="D73" s="216">
        <f>C73/D$71</f>
        <v>0.72727272727272729</v>
      </c>
      <c r="E73" s="173">
        <v>9</v>
      </c>
      <c r="F73" s="221">
        <f t="shared" ref="F73:H80" si="9">E73/F$71</f>
        <v>0.75</v>
      </c>
      <c r="G73" s="215">
        <v>9</v>
      </c>
      <c r="H73" s="216">
        <f t="shared" si="9"/>
        <v>0.75</v>
      </c>
      <c r="I73" s="173">
        <v>9</v>
      </c>
      <c r="J73" s="221">
        <f t="shared" ref="J73:L80" si="10">I73/J$71</f>
        <v>0.69230769230769229</v>
      </c>
      <c r="K73" s="215">
        <v>10</v>
      </c>
      <c r="L73" s="221">
        <f t="shared" si="10"/>
        <v>0.7142857142857143</v>
      </c>
      <c r="M73" s="215">
        <v>10</v>
      </c>
      <c r="N73" s="216">
        <f t="shared" ref="N73:T80" si="11">M73/N$71</f>
        <v>0.66666666666666663</v>
      </c>
      <c r="O73" s="173">
        <v>10</v>
      </c>
      <c r="P73" s="216">
        <f t="shared" si="11"/>
        <v>0.7142857142857143</v>
      </c>
      <c r="Q73" s="173">
        <v>9</v>
      </c>
      <c r="R73" s="216">
        <f t="shared" si="11"/>
        <v>0.6428571428571429</v>
      </c>
      <c r="S73" s="173">
        <f>2+9</f>
        <v>11</v>
      </c>
      <c r="T73" s="216">
        <f t="shared" si="11"/>
        <v>0.73333333333333328</v>
      </c>
      <c r="U73" s="173">
        <v>10</v>
      </c>
      <c r="V73" s="216">
        <f t="shared" ref="V73:V80" si="12">U73/V$71</f>
        <v>0.7142857142857143</v>
      </c>
      <c r="W73" s="173">
        <v>9</v>
      </c>
      <c r="X73" s="216">
        <f t="shared" ref="X73:Z80" si="13">W73/X$71</f>
        <v>0.69230769230769229</v>
      </c>
      <c r="Y73" s="173">
        <v>9</v>
      </c>
      <c r="Z73" s="1494">
        <f t="shared" si="13"/>
        <v>0.69230769230769229</v>
      </c>
      <c r="AA73" s="955"/>
      <c r="AB73" s="1016">
        <f t="shared" ref="AB73:AB92" si="14">AVERAGE(W73,U73,Q73,S73,Y73)</f>
        <v>9.6</v>
      </c>
      <c r="AC73" s="863">
        <f t="shared" ref="AB73:AC92" si="15">AVERAGE(X73,V73,R73,T73,Z73)</f>
        <v>0.69501831501831501</v>
      </c>
    </row>
    <row r="74" spans="2:29" s="3" customFormat="1" ht="12" x14ac:dyDescent="0.2">
      <c r="B74" s="85" t="s">
        <v>88</v>
      </c>
      <c r="C74" s="319">
        <v>0</v>
      </c>
      <c r="D74" s="216">
        <f t="shared" ref="D74:D92" si="16">C74/$D$71</f>
        <v>0</v>
      </c>
      <c r="E74" s="173">
        <v>0</v>
      </c>
      <c r="F74" s="221">
        <f t="shared" si="9"/>
        <v>0</v>
      </c>
      <c r="G74" s="215">
        <v>0</v>
      </c>
      <c r="H74" s="216">
        <f t="shared" si="9"/>
        <v>0</v>
      </c>
      <c r="I74" s="173">
        <v>0</v>
      </c>
      <c r="J74" s="221">
        <f t="shared" si="10"/>
        <v>0</v>
      </c>
      <c r="K74" s="215">
        <v>0</v>
      </c>
      <c r="L74" s="221">
        <f t="shared" si="10"/>
        <v>0</v>
      </c>
      <c r="M74" s="215">
        <v>0</v>
      </c>
      <c r="N74" s="216">
        <f t="shared" si="11"/>
        <v>0</v>
      </c>
      <c r="O74" s="173">
        <v>0</v>
      </c>
      <c r="P74" s="216">
        <f t="shared" si="11"/>
        <v>0</v>
      </c>
      <c r="Q74" s="173">
        <v>0</v>
      </c>
      <c r="R74" s="216">
        <f t="shared" si="11"/>
        <v>0</v>
      </c>
      <c r="S74" s="173">
        <f>0</f>
        <v>0</v>
      </c>
      <c r="T74" s="216">
        <f t="shared" si="11"/>
        <v>0</v>
      </c>
      <c r="U74" s="173">
        <v>0</v>
      </c>
      <c r="V74" s="216">
        <f t="shared" si="12"/>
        <v>0</v>
      </c>
      <c r="W74" s="173">
        <v>0</v>
      </c>
      <c r="X74" s="216">
        <f t="shared" si="13"/>
        <v>0</v>
      </c>
      <c r="Y74" s="173">
        <v>0</v>
      </c>
      <c r="Z74" s="1494">
        <f t="shared" si="13"/>
        <v>0</v>
      </c>
      <c r="AA74" s="955"/>
      <c r="AB74" s="1016">
        <f t="shared" si="14"/>
        <v>0</v>
      </c>
      <c r="AC74" s="863">
        <f t="shared" si="15"/>
        <v>0</v>
      </c>
    </row>
    <row r="75" spans="2:29" s="3" customFormat="1" ht="12" x14ac:dyDescent="0.2">
      <c r="B75" s="85" t="s">
        <v>89</v>
      </c>
      <c r="C75" s="319">
        <v>0</v>
      </c>
      <c r="D75" s="216">
        <f t="shared" si="16"/>
        <v>0</v>
      </c>
      <c r="E75" s="173">
        <v>0</v>
      </c>
      <c r="F75" s="221">
        <f t="shared" si="9"/>
        <v>0</v>
      </c>
      <c r="G75" s="215">
        <v>0</v>
      </c>
      <c r="H75" s="216">
        <f t="shared" si="9"/>
        <v>0</v>
      </c>
      <c r="I75" s="173">
        <v>0</v>
      </c>
      <c r="J75" s="221">
        <f t="shared" si="10"/>
        <v>0</v>
      </c>
      <c r="K75" s="215">
        <v>0</v>
      </c>
      <c r="L75" s="221">
        <f t="shared" si="10"/>
        <v>0</v>
      </c>
      <c r="M75" s="215">
        <v>0</v>
      </c>
      <c r="N75" s="216">
        <f t="shared" si="11"/>
        <v>0</v>
      </c>
      <c r="O75" s="173">
        <v>0</v>
      </c>
      <c r="P75" s="216">
        <f t="shared" si="11"/>
        <v>0</v>
      </c>
      <c r="Q75" s="173">
        <v>1</v>
      </c>
      <c r="R75" s="216">
        <f t="shared" si="11"/>
        <v>7.1428571428571425E-2</v>
      </c>
      <c r="S75" s="173">
        <f>1</f>
        <v>1</v>
      </c>
      <c r="T75" s="216">
        <f t="shared" si="11"/>
        <v>6.6666666666666666E-2</v>
      </c>
      <c r="U75" s="173">
        <v>1</v>
      </c>
      <c r="V75" s="216">
        <f t="shared" si="12"/>
        <v>7.1428571428571425E-2</v>
      </c>
      <c r="W75" s="173">
        <v>0</v>
      </c>
      <c r="X75" s="216">
        <f t="shared" si="13"/>
        <v>0</v>
      </c>
      <c r="Y75" s="173">
        <v>0</v>
      </c>
      <c r="Z75" s="1494">
        <f t="shared" si="13"/>
        <v>0</v>
      </c>
      <c r="AA75" s="955"/>
      <c r="AB75" s="1016">
        <f t="shared" si="14"/>
        <v>0.6</v>
      </c>
      <c r="AC75" s="863">
        <f t="shared" si="15"/>
        <v>4.1904761904761903E-2</v>
      </c>
    </row>
    <row r="76" spans="2:29" s="3" customFormat="1" ht="12" x14ac:dyDescent="0.2">
      <c r="B76" s="85" t="s">
        <v>90</v>
      </c>
      <c r="C76" s="319">
        <v>0</v>
      </c>
      <c r="D76" s="216">
        <f t="shared" si="16"/>
        <v>0</v>
      </c>
      <c r="E76" s="173">
        <v>0</v>
      </c>
      <c r="F76" s="221">
        <f t="shared" si="9"/>
        <v>0</v>
      </c>
      <c r="G76" s="215">
        <v>0</v>
      </c>
      <c r="H76" s="216">
        <f t="shared" si="9"/>
        <v>0</v>
      </c>
      <c r="I76" s="173">
        <v>0</v>
      </c>
      <c r="J76" s="221">
        <f t="shared" si="10"/>
        <v>0</v>
      </c>
      <c r="K76" s="215">
        <v>0</v>
      </c>
      <c r="L76" s="221">
        <f t="shared" si="10"/>
        <v>0</v>
      </c>
      <c r="M76" s="215">
        <v>0</v>
      </c>
      <c r="N76" s="216">
        <f t="shared" si="11"/>
        <v>0</v>
      </c>
      <c r="O76" s="173">
        <v>0</v>
      </c>
      <c r="P76" s="216">
        <f t="shared" si="11"/>
        <v>0</v>
      </c>
      <c r="Q76" s="173">
        <v>0</v>
      </c>
      <c r="R76" s="216">
        <f t="shared" si="11"/>
        <v>0</v>
      </c>
      <c r="S76" s="173">
        <f>0</f>
        <v>0</v>
      </c>
      <c r="T76" s="216">
        <f t="shared" si="11"/>
        <v>0</v>
      </c>
      <c r="U76" s="173">
        <v>0</v>
      </c>
      <c r="V76" s="216">
        <f t="shared" si="12"/>
        <v>0</v>
      </c>
      <c r="W76" s="173">
        <v>0</v>
      </c>
      <c r="X76" s="216">
        <f t="shared" si="13"/>
        <v>0</v>
      </c>
      <c r="Y76" s="173">
        <v>0</v>
      </c>
      <c r="Z76" s="1494">
        <f t="shared" si="13"/>
        <v>0</v>
      </c>
      <c r="AA76" s="955"/>
      <c r="AB76" s="1016">
        <f t="shared" si="14"/>
        <v>0</v>
      </c>
      <c r="AC76" s="863">
        <f t="shared" si="15"/>
        <v>0</v>
      </c>
    </row>
    <row r="77" spans="2:29" s="3" customFormat="1" ht="12" x14ac:dyDescent="0.2">
      <c r="B77" s="85" t="s">
        <v>91</v>
      </c>
      <c r="C77" s="319">
        <v>2</v>
      </c>
      <c r="D77" s="216">
        <f t="shared" si="16"/>
        <v>0.18181818181818182</v>
      </c>
      <c r="E77" s="173">
        <v>2</v>
      </c>
      <c r="F77" s="221">
        <f t="shared" si="9"/>
        <v>0.16666666666666666</v>
      </c>
      <c r="G77" s="215">
        <v>2</v>
      </c>
      <c r="H77" s="216">
        <f t="shared" si="9"/>
        <v>0.16666666666666666</v>
      </c>
      <c r="I77" s="173">
        <v>3</v>
      </c>
      <c r="J77" s="221">
        <f t="shared" si="10"/>
        <v>0.23076923076923078</v>
      </c>
      <c r="K77" s="215">
        <v>3</v>
      </c>
      <c r="L77" s="221">
        <f t="shared" si="10"/>
        <v>0.21428571428571427</v>
      </c>
      <c r="M77" s="215">
        <v>3</v>
      </c>
      <c r="N77" s="216">
        <f t="shared" si="11"/>
        <v>0.2</v>
      </c>
      <c r="O77" s="173">
        <v>2</v>
      </c>
      <c r="P77" s="216">
        <f t="shared" si="11"/>
        <v>0.14285714285714285</v>
      </c>
      <c r="Q77" s="173">
        <v>2</v>
      </c>
      <c r="R77" s="216">
        <f t="shared" si="11"/>
        <v>0.14285714285714285</v>
      </c>
      <c r="S77" s="173">
        <f>2</f>
        <v>2</v>
      </c>
      <c r="T77" s="216">
        <f t="shared" si="11"/>
        <v>0.13333333333333333</v>
      </c>
      <c r="U77" s="173">
        <v>2</v>
      </c>
      <c r="V77" s="216">
        <f t="shared" si="12"/>
        <v>0.14285714285714285</v>
      </c>
      <c r="W77" s="173">
        <v>2</v>
      </c>
      <c r="X77" s="216">
        <f t="shared" si="13"/>
        <v>0.15384615384615385</v>
      </c>
      <c r="Y77" s="173">
        <v>2</v>
      </c>
      <c r="Z77" s="1494">
        <f t="shared" si="13"/>
        <v>0.15384615384615385</v>
      </c>
      <c r="AA77" s="955"/>
      <c r="AB77" s="1016">
        <f t="shared" si="14"/>
        <v>2</v>
      </c>
      <c r="AC77" s="863">
        <f t="shared" si="15"/>
        <v>0.14534798534798535</v>
      </c>
    </row>
    <row r="78" spans="2:29" s="3" customFormat="1" ht="12" x14ac:dyDescent="0.2">
      <c r="B78" s="85" t="s">
        <v>92</v>
      </c>
      <c r="C78" s="319">
        <v>0</v>
      </c>
      <c r="D78" s="216">
        <f t="shared" si="16"/>
        <v>0</v>
      </c>
      <c r="E78" s="173">
        <v>0</v>
      </c>
      <c r="F78" s="221">
        <f t="shared" si="9"/>
        <v>0</v>
      </c>
      <c r="G78" s="215">
        <v>0</v>
      </c>
      <c r="H78" s="216">
        <f t="shared" si="9"/>
        <v>0</v>
      </c>
      <c r="I78" s="173">
        <v>0</v>
      </c>
      <c r="J78" s="221">
        <f t="shared" si="10"/>
        <v>0</v>
      </c>
      <c r="K78" s="215">
        <v>0</v>
      </c>
      <c r="L78" s="221">
        <f t="shared" si="10"/>
        <v>0</v>
      </c>
      <c r="M78" s="215">
        <v>1</v>
      </c>
      <c r="N78" s="216">
        <f t="shared" si="11"/>
        <v>6.6666666666666666E-2</v>
      </c>
      <c r="O78" s="173">
        <v>1</v>
      </c>
      <c r="P78" s="216">
        <f t="shared" si="11"/>
        <v>7.1428571428571425E-2</v>
      </c>
      <c r="Q78" s="173">
        <v>1</v>
      </c>
      <c r="R78" s="216">
        <f t="shared" si="11"/>
        <v>7.1428571428571425E-2</v>
      </c>
      <c r="S78" s="173">
        <f>0</f>
        <v>0</v>
      </c>
      <c r="T78" s="216">
        <f t="shared" si="11"/>
        <v>0</v>
      </c>
      <c r="U78" s="173">
        <v>0</v>
      </c>
      <c r="V78" s="216">
        <f t="shared" si="12"/>
        <v>0</v>
      </c>
      <c r="W78" s="173">
        <v>1</v>
      </c>
      <c r="X78" s="216">
        <f t="shared" si="13"/>
        <v>7.6923076923076927E-2</v>
      </c>
      <c r="Y78" s="173">
        <v>1</v>
      </c>
      <c r="Z78" s="1494">
        <f t="shared" si="13"/>
        <v>7.6923076923076927E-2</v>
      </c>
      <c r="AA78" s="955"/>
      <c r="AB78" s="1016">
        <f t="shared" si="14"/>
        <v>0.6</v>
      </c>
      <c r="AC78" s="863">
        <f t="shared" si="15"/>
        <v>4.5054945054945054E-2</v>
      </c>
    </row>
    <row r="79" spans="2:29" s="3" customFormat="1" ht="12" x14ac:dyDescent="0.2">
      <c r="B79" s="85" t="s">
        <v>256</v>
      </c>
      <c r="C79" s="346"/>
      <c r="D79" s="216"/>
      <c r="E79" s="174"/>
      <c r="F79" s="221"/>
      <c r="G79" s="1510"/>
      <c r="H79" s="1511"/>
      <c r="I79" s="1512"/>
      <c r="J79" s="1513"/>
      <c r="K79" s="1510"/>
      <c r="L79" s="1513"/>
      <c r="M79" s="1510"/>
      <c r="N79" s="1511"/>
      <c r="O79" s="1512"/>
      <c r="P79" s="1511"/>
      <c r="Q79" s="174">
        <v>1</v>
      </c>
      <c r="R79" s="216">
        <f t="shared" si="11"/>
        <v>7.1428571428571425E-2</v>
      </c>
      <c r="S79" s="174">
        <f>1</f>
        <v>1</v>
      </c>
      <c r="T79" s="216">
        <f t="shared" si="11"/>
        <v>6.6666666666666666E-2</v>
      </c>
      <c r="U79" s="174">
        <v>1</v>
      </c>
      <c r="V79" s="216">
        <f t="shared" si="12"/>
        <v>7.1428571428571425E-2</v>
      </c>
      <c r="W79" s="174">
        <v>1</v>
      </c>
      <c r="X79" s="216">
        <f t="shared" si="13"/>
        <v>7.6923076923076927E-2</v>
      </c>
      <c r="Y79" s="174">
        <v>1</v>
      </c>
      <c r="Z79" s="1494">
        <f t="shared" si="13"/>
        <v>7.6923076923076927E-2</v>
      </c>
      <c r="AA79" s="955"/>
      <c r="AB79" s="1016">
        <f t="shared" si="14"/>
        <v>1</v>
      </c>
      <c r="AC79" s="863">
        <f t="shared" si="15"/>
        <v>7.2673992673992674E-2</v>
      </c>
    </row>
    <row r="80" spans="2:29" s="3" customFormat="1" ht="12" x14ac:dyDescent="0.2">
      <c r="B80" s="85" t="s">
        <v>93</v>
      </c>
      <c r="C80" s="346">
        <v>1</v>
      </c>
      <c r="D80" s="216">
        <f t="shared" si="16"/>
        <v>9.0909090909090912E-2</v>
      </c>
      <c r="E80" s="174">
        <v>1</v>
      </c>
      <c r="F80" s="221">
        <f t="shared" si="9"/>
        <v>8.3333333333333329E-2</v>
      </c>
      <c r="G80" s="217">
        <v>1</v>
      </c>
      <c r="H80" s="216">
        <f t="shared" si="9"/>
        <v>8.3333333333333329E-2</v>
      </c>
      <c r="I80" s="174">
        <v>1</v>
      </c>
      <c r="J80" s="221">
        <f t="shared" si="10"/>
        <v>7.6923076923076927E-2</v>
      </c>
      <c r="K80" s="217">
        <v>1</v>
      </c>
      <c r="L80" s="221">
        <f t="shared" si="10"/>
        <v>7.1428571428571425E-2</v>
      </c>
      <c r="M80" s="217">
        <v>1</v>
      </c>
      <c r="N80" s="216">
        <f t="shared" si="11"/>
        <v>6.6666666666666666E-2</v>
      </c>
      <c r="O80" s="174">
        <v>1</v>
      </c>
      <c r="P80" s="216">
        <f t="shared" si="11"/>
        <v>7.1428571428571425E-2</v>
      </c>
      <c r="Q80" s="174">
        <v>0</v>
      </c>
      <c r="R80" s="216">
        <f t="shared" si="11"/>
        <v>0</v>
      </c>
      <c r="S80" s="174">
        <f>0</f>
        <v>0</v>
      </c>
      <c r="T80" s="216">
        <f t="shared" si="11"/>
        <v>0</v>
      </c>
      <c r="U80" s="174">
        <v>0</v>
      </c>
      <c r="V80" s="216">
        <f t="shared" si="12"/>
        <v>0</v>
      </c>
      <c r="W80" s="174">
        <v>0</v>
      </c>
      <c r="X80" s="216">
        <f t="shared" si="13"/>
        <v>0</v>
      </c>
      <c r="Y80" s="174">
        <v>0</v>
      </c>
      <c r="Z80" s="1494">
        <f t="shared" si="13"/>
        <v>0</v>
      </c>
      <c r="AA80" s="955"/>
      <c r="AB80" s="1016">
        <f t="shared" si="14"/>
        <v>0</v>
      </c>
      <c r="AC80" s="863">
        <f t="shared" si="15"/>
        <v>0</v>
      </c>
    </row>
    <row r="81" spans="1:29" s="3" customFormat="1" ht="12" x14ac:dyDescent="0.2">
      <c r="B81" s="343" t="s">
        <v>136</v>
      </c>
      <c r="C81" s="218"/>
      <c r="D81" s="216"/>
      <c r="E81" s="226"/>
      <c r="F81" s="310"/>
      <c r="G81" s="326"/>
      <c r="H81" s="394"/>
      <c r="I81" s="226"/>
      <c r="J81" s="310"/>
      <c r="K81" s="326"/>
      <c r="L81" s="310"/>
      <c r="M81" s="326"/>
      <c r="N81" s="394"/>
      <c r="O81" s="226"/>
      <c r="P81" s="394"/>
      <c r="Q81" s="226"/>
      <c r="R81" s="394"/>
      <c r="S81" s="226"/>
      <c r="T81" s="394"/>
      <c r="U81" s="226"/>
      <c r="V81" s="394"/>
      <c r="W81" s="226"/>
      <c r="X81" s="394"/>
      <c r="Y81" s="226"/>
      <c r="Z81" s="1500"/>
      <c r="AA81" s="955"/>
      <c r="AB81" s="1016"/>
      <c r="AC81" s="863"/>
    </row>
    <row r="82" spans="1:29" s="3" customFormat="1" ht="12" x14ac:dyDescent="0.2">
      <c r="B82" s="75" t="s">
        <v>124</v>
      </c>
      <c r="C82" s="230">
        <v>8</v>
      </c>
      <c r="D82" s="216">
        <f t="shared" si="16"/>
        <v>0.72727272727272729</v>
      </c>
      <c r="E82" s="171">
        <v>8</v>
      </c>
      <c r="F82" s="311">
        <f>E82/F$71</f>
        <v>0.66666666666666663</v>
      </c>
      <c r="G82" s="229">
        <v>9</v>
      </c>
      <c r="H82" s="395">
        <f>G82/H$71</f>
        <v>0.75</v>
      </c>
      <c r="I82" s="183">
        <v>9</v>
      </c>
      <c r="J82" s="221">
        <f>I82/J$71</f>
        <v>0.69230769230769229</v>
      </c>
      <c r="K82" s="229">
        <v>10</v>
      </c>
      <c r="L82" s="221">
        <f>K82/L$71</f>
        <v>0.7142857142857143</v>
      </c>
      <c r="M82" s="229">
        <v>10</v>
      </c>
      <c r="N82" s="216">
        <f>M82/N$71</f>
        <v>0.66666666666666663</v>
      </c>
      <c r="O82" s="183">
        <v>11</v>
      </c>
      <c r="P82" s="216">
        <f>O82/P$71</f>
        <v>0.7857142857142857</v>
      </c>
      <c r="Q82" s="183">
        <v>11</v>
      </c>
      <c r="R82" s="216">
        <f>Q82/R$71</f>
        <v>0.7857142857142857</v>
      </c>
      <c r="S82" s="183">
        <f>2+10</f>
        <v>12</v>
      </c>
      <c r="T82" s="216">
        <f>S82/T$71</f>
        <v>0.8</v>
      </c>
      <c r="U82" s="183">
        <v>11</v>
      </c>
      <c r="V82" s="216">
        <f>U82/V$71</f>
        <v>0.7857142857142857</v>
      </c>
      <c r="W82" s="183">
        <v>11</v>
      </c>
      <c r="X82" s="216">
        <f>W82/X$71</f>
        <v>0.84615384615384615</v>
      </c>
      <c r="Y82" s="183">
        <v>11</v>
      </c>
      <c r="Z82" s="1494">
        <f>Y82/Z$71</f>
        <v>0.84615384615384615</v>
      </c>
      <c r="AA82" s="955"/>
      <c r="AB82" s="1016">
        <f>AVERAGE(W82,U82,Q82,S82,Y82)</f>
        <v>11.2</v>
      </c>
      <c r="AC82" s="863">
        <f>AVERAGE(X82,V82,R82,T82,Z82)</f>
        <v>0.81274725274725268</v>
      </c>
    </row>
    <row r="83" spans="1:29" s="3" customFormat="1" ht="12" x14ac:dyDescent="0.2">
      <c r="B83" s="75" t="s">
        <v>125</v>
      </c>
      <c r="C83" s="230">
        <v>3</v>
      </c>
      <c r="D83" s="216">
        <f t="shared" si="16"/>
        <v>0.27272727272727271</v>
      </c>
      <c r="E83" s="223">
        <v>4</v>
      </c>
      <c r="F83" s="311">
        <f>E83/F$71</f>
        <v>0.33333333333333331</v>
      </c>
      <c r="G83" s="230">
        <v>3</v>
      </c>
      <c r="H83" s="395">
        <f>G83/H$71</f>
        <v>0.25</v>
      </c>
      <c r="I83" s="283">
        <v>4</v>
      </c>
      <c r="J83" s="221">
        <f>I83/J$71</f>
        <v>0.30769230769230771</v>
      </c>
      <c r="K83" s="230">
        <v>4</v>
      </c>
      <c r="L83" s="221">
        <f>K83/L$71</f>
        <v>0.2857142857142857</v>
      </c>
      <c r="M83" s="230">
        <v>5</v>
      </c>
      <c r="N83" s="216">
        <f>M83/N$71</f>
        <v>0.33333333333333331</v>
      </c>
      <c r="O83" s="283">
        <v>3</v>
      </c>
      <c r="P83" s="216">
        <f>O83/P$71</f>
        <v>0.21428571428571427</v>
      </c>
      <c r="Q83" s="283">
        <v>3</v>
      </c>
      <c r="R83" s="216">
        <f>Q83/R$71</f>
        <v>0.21428571428571427</v>
      </c>
      <c r="S83" s="283">
        <f>3</f>
        <v>3</v>
      </c>
      <c r="T83" s="216">
        <f>S83/T$71</f>
        <v>0.2</v>
      </c>
      <c r="U83" s="283">
        <v>3</v>
      </c>
      <c r="V83" s="216">
        <f>U83/V$71</f>
        <v>0.21428571428571427</v>
      </c>
      <c r="W83" s="283">
        <v>2</v>
      </c>
      <c r="X83" s="216">
        <f>W83/X$71</f>
        <v>0.15384615384615385</v>
      </c>
      <c r="Y83" s="283">
        <v>2</v>
      </c>
      <c r="Z83" s="1494">
        <f>Y83/Z$71</f>
        <v>0.15384615384615385</v>
      </c>
      <c r="AA83" s="955"/>
      <c r="AB83" s="1016">
        <f t="shared" si="15"/>
        <v>2.6</v>
      </c>
      <c r="AC83" s="863">
        <f t="shared" si="15"/>
        <v>0.18725274725274726</v>
      </c>
    </row>
    <row r="84" spans="1:29" s="3" customFormat="1" ht="12" x14ac:dyDescent="0.2">
      <c r="B84" s="343" t="s">
        <v>137</v>
      </c>
      <c r="C84" s="219"/>
      <c r="D84" s="216"/>
      <c r="E84" s="227"/>
      <c r="F84" s="311"/>
      <c r="G84" s="315"/>
      <c r="H84" s="395"/>
      <c r="I84" s="285"/>
      <c r="J84" s="221"/>
      <c r="K84" s="315"/>
      <c r="L84" s="221"/>
      <c r="M84" s="315"/>
      <c r="N84" s="216"/>
      <c r="O84" s="285"/>
      <c r="P84" s="216"/>
      <c r="Q84" s="285"/>
      <c r="R84" s="216"/>
      <c r="S84" s="285"/>
      <c r="T84" s="216"/>
      <c r="U84" s="285"/>
      <c r="V84" s="216"/>
      <c r="W84" s="285"/>
      <c r="X84" s="216"/>
      <c r="Y84" s="285"/>
      <c r="Z84" s="1494"/>
      <c r="AA84" s="955"/>
      <c r="AB84" s="1016"/>
      <c r="AC84" s="863"/>
    </row>
    <row r="85" spans="1:29" s="3" customFormat="1" ht="12" x14ac:dyDescent="0.2">
      <c r="B85" s="75" t="s">
        <v>126</v>
      </c>
      <c r="C85" s="224">
        <v>7</v>
      </c>
      <c r="D85" s="216">
        <f t="shared" si="16"/>
        <v>0.63636363636363635</v>
      </c>
      <c r="E85" s="223">
        <v>9</v>
      </c>
      <c r="F85" s="311">
        <f>E85/F$71</f>
        <v>0.75</v>
      </c>
      <c r="G85" s="230">
        <v>10</v>
      </c>
      <c r="H85" s="395">
        <f>G85/H$71</f>
        <v>0.83333333333333337</v>
      </c>
      <c r="I85" s="283">
        <v>10</v>
      </c>
      <c r="J85" s="221">
        <f t="shared" ref="J85:L92" si="17">I85/J$71</f>
        <v>0.76923076923076927</v>
      </c>
      <c r="K85" s="230">
        <v>11</v>
      </c>
      <c r="L85" s="221">
        <f t="shared" si="17"/>
        <v>0.7857142857142857</v>
      </c>
      <c r="M85" s="230">
        <v>11</v>
      </c>
      <c r="N85" s="216">
        <f t="shared" ref="N85:T92" si="18">M85/N$71</f>
        <v>0.73333333333333328</v>
      </c>
      <c r="O85" s="283">
        <v>11</v>
      </c>
      <c r="P85" s="216">
        <f t="shared" si="18"/>
        <v>0.7857142857142857</v>
      </c>
      <c r="Q85" s="283">
        <v>12</v>
      </c>
      <c r="R85" s="216">
        <f t="shared" si="18"/>
        <v>0.8571428571428571</v>
      </c>
      <c r="S85" s="283">
        <f>1+11</f>
        <v>12</v>
      </c>
      <c r="T85" s="216">
        <f t="shared" si="18"/>
        <v>0.8</v>
      </c>
      <c r="U85" s="283">
        <v>12</v>
      </c>
      <c r="V85" s="216">
        <f>U85/V$71</f>
        <v>0.8571428571428571</v>
      </c>
      <c r="W85" s="283">
        <v>10</v>
      </c>
      <c r="X85" s="216">
        <f>W85/X$71</f>
        <v>0.76923076923076927</v>
      </c>
      <c r="Y85" s="283">
        <v>10</v>
      </c>
      <c r="Z85" s="1494">
        <f>Y85/Z$71</f>
        <v>0.76923076923076927</v>
      </c>
      <c r="AA85" s="955"/>
      <c r="AB85" s="1016">
        <f t="shared" si="14"/>
        <v>11.2</v>
      </c>
      <c r="AC85" s="863">
        <f t="shared" si="15"/>
        <v>0.81054945054945049</v>
      </c>
    </row>
    <row r="86" spans="1:29" s="3" customFormat="1" ht="12" x14ac:dyDescent="0.2">
      <c r="B86" s="75" t="s">
        <v>127</v>
      </c>
      <c r="C86" s="224">
        <v>3</v>
      </c>
      <c r="D86" s="216">
        <f t="shared" si="16"/>
        <v>0.27272727272727271</v>
      </c>
      <c r="E86" s="223">
        <v>1</v>
      </c>
      <c r="F86" s="311">
        <f>E86/F$71</f>
        <v>8.3333333333333329E-2</v>
      </c>
      <c r="G86" s="230">
        <v>1</v>
      </c>
      <c r="H86" s="395">
        <f>G86/H$71</f>
        <v>8.3333333333333329E-2</v>
      </c>
      <c r="I86" s="283">
        <v>2</v>
      </c>
      <c r="J86" s="221">
        <f t="shared" si="17"/>
        <v>0.15384615384615385</v>
      </c>
      <c r="K86" s="230">
        <v>2</v>
      </c>
      <c r="L86" s="221">
        <f t="shared" si="17"/>
        <v>0.14285714285714285</v>
      </c>
      <c r="M86" s="230">
        <v>4</v>
      </c>
      <c r="N86" s="216">
        <f t="shared" si="18"/>
        <v>0.26666666666666666</v>
      </c>
      <c r="O86" s="283">
        <v>3</v>
      </c>
      <c r="P86" s="216">
        <f t="shared" si="18"/>
        <v>0.21428571428571427</v>
      </c>
      <c r="Q86" s="283">
        <v>2</v>
      </c>
      <c r="R86" s="216">
        <f t="shared" si="18"/>
        <v>0.14285714285714285</v>
      </c>
      <c r="S86" s="283">
        <f>0+2</f>
        <v>2</v>
      </c>
      <c r="T86" s="216">
        <f t="shared" si="18"/>
        <v>0.13333333333333333</v>
      </c>
      <c r="U86" s="283">
        <v>2</v>
      </c>
      <c r="V86" s="216">
        <f>U86/V$71</f>
        <v>0.14285714285714285</v>
      </c>
      <c r="W86" s="283">
        <v>1</v>
      </c>
      <c r="X86" s="216">
        <f>W86/X$71</f>
        <v>7.6923076923076927E-2</v>
      </c>
      <c r="Y86" s="283">
        <v>2</v>
      </c>
      <c r="Z86" s="1494">
        <f>Y86/Z$71</f>
        <v>0.15384615384615385</v>
      </c>
      <c r="AA86" s="955"/>
      <c r="AB86" s="1016">
        <f t="shared" si="14"/>
        <v>1.8</v>
      </c>
      <c r="AC86" s="863">
        <f t="shared" si="15"/>
        <v>0.12996336996336996</v>
      </c>
    </row>
    <row r="87" spans="1:29" s="3" customFormat="1" ht="12" x14ac:dyDescent="0.2">
      <c r="B87" s="75" t="s">
        <v>128</v>
      </c>
      <c r="C87" s="224">
        <v>1</v>
      </c>
      <c r="D87" s="216">
        <f t="shared" si="16"/>
        <v>9.0909090909090912E-2</v>
      </c>
      <c r="E87" s="223">
        <v>2</v>
      </c>
      <c r="F87" s="311">
        <f>E87/F$71</f>
        <v>0.16666666666666666</v>
      </c>
      <c r="G87" s="230">
        <v>1</v>
      </c>
      <c r="H87" s="395">
        <f>G87/H$71</f>
        <v>8.3333333333333329E-2</v>
      </c>
      <c r="I87" s="283">
        <v>1</v>
      </c>
      <c r="J87" s="221">
        <f t="shared" si="17"/>
        <v>7.6923076923076927E-2</v>
      </c>
      <c r="K87" s="230">
        <v>1</v>
      </c>
      <c r="L87" s="221">
        <f t="shared" si="17"/>
        <v>7.1428571428571425E-2</v>
      </c>
      <c r="M87" s="230">
        <v>0</v>
      </c>
      <c r="N87" s="216">
        <f t="shared" si="18"/>
        <v>0</v>
      </c>
      <c r="O87" s="283">
        <v>0</v>
      </c>
      <c r="P87" s="216">
        <f t="shared" si="18"/>
        <v>0</v>
      </c>
      <c r="Q87" s="283">
        <v>0</v>
      </c>
      <c r="R87" s="216">
        <f t="shared" si="18"/>
        <v>0</v>
      </c>
      <c r="S87" s="283">
        <f>1</f>
        <v>1</v>
      </c>
      <c r="T87" s="216">
        <f t="shared" si="18"/>
        <v>6.6666666666666666E-2</v>
      </c>
      <c r="U87" s="283">
        <v>0</v>
      </c>
      <c r="V87" s="216">
        <f>U87/V$71</f>
        <v>0</v>
      </c>
      <c r="W87" s="283">
        <v>2</v>
      </c>
      <c r="X87" s="216">
        <f>W87/X$71</f>
        <v>0.15384615384615385</v>
      </c>
      <c r="Y87" s="283">
        <v>1</v>
      </c>
      <c r="Z87" s="1494">
        <f>Y87/Z$71</f>
        <v>7.6923076923076927E-2</v>
      </c>
      <c r="AA87" s="955"/>
      <c r="AB87" s="1016">
        <f t="shared" si="14"/>
        <v>0.8</v>
      </c>
      <c r="AC87" s="863">
        <f t="shared" si="15"/>
        <v>5.9487179487179485E-2</v>
      </c>
    </row>
    <row r="88" spans="1:29" s="3" customFormat="1" ht="12" x14ac:dyDescent="0.2">
      <c r="B88" s="343" t="s">
        <v>138</v>
      </c>
      <c r="C88" s="219"/>
      <c r="D88" s="216"/>
      <c r="E88" s="227"/>
      <c r="F88" s="311"/>
      <c r="G88" s="315"/>
      <c r="H88" s="395"/>
      <c r="I88" s="285"/>
      <c r="J88" s="221"/>
      <c r="K88" s="315"/>
      <c r="L88" s="221"/>
      <c r="M88" s="315"/>
      <c r="N88" s="216"/>
      <c r="O88" s="285"/>
      <c r="P88" s="216"/>
      <c r="Q88" s="285"/>
      <c r="R88" s="216"/>
      <c r="S88" s="285"/>
      <c r="T88" s="216"/>
      <c r="U88" s="285"/>
      <c r="V88" s="216"/>
      <c r="W88" s="285"/>
      <c r="X88" s="216"/>
      <c r="Y88" s="285"/>
      <c r="Z88" s="1494"/>
      <c r="AB88" s="1016"/>
      <c r="AC88" s="863"/>
    </row>
    <row r="89" spans="1:29" s="3" customFormat="1" ht="12" x14ac:dyDescent="0.2">
      <c r="B89" s="75" t="s">
        <v>129</v>
      </c>
      <c r="C89" s="224">
        <v>10</v>
      </c>
      <c r="D89" s="216">
        <f t="shared" si="16"/>
        <v>0.90909090909090906</v>
      </c>
      <c r="E89" s="223">
        <v>11</v>
      </c>
      <c r="F89" s="311">
        <f>E89/F$71</f>
        <v>0.91666666666666663</v>
      </c>
      <c r="G89" s="230">
        <v>12</v>
      </c>
      <c r="H89" s="395">
        <f>G89/H$71</f>
        <v>1</v>
      </c>
      <c r="I89" s="283">
        <v>13</v>
      </c>
      <c r="J89" s="221">
        <f t="shared" si="17"/>
        <v>1</v>
      </c>
      <c r="K89" s="230">
        <v>13</v>
      </c>
      <c r="L89" s="221">
        <f t="shared" si="17"/>
        <v>0.9285714285714286</v>
      </c>
      <c r="M89" s="230">
        <v>15</v>
      </c>
      <c r="N89" s="216">
        <f t="shared" si="18"/>
        <v>1</v>
      </c>
      <c r="O89" s="283">
        <v>14</v>
      </c>
      <c r="P89" s="216">
        <f t="shared" si="18"/>
        <v>1</v>
      </c>
      <c r="Q89" s="283">
        <v>14</v>
      </c>
      <c r="R89" s="216">
        <f t="shared" si="18"/>
        <v>1</v>
      </c>
      <c r="S89" s="283">
        <f>2+13</f>
        <v>15</v>
      </c>
      <c r="T89" s="216">
        <f t="shared" si="18"/>
        <v>1</v>
      </c>
      <c r="U89" s="283">
        <v>14</v>
      </c>
      <c r="V89" s="216">
        <f>U89/V$71</f>
        <v>1</v>
      </c>
      <c r="W89" s="283">
        <v>13</v>
      </c>
      <c r="X89" s="216">
        <f>W89/X$71</f>
        <v>1</v>
      </c>
      <c r="Y89" s="283">
        <v>13</v>
      </c>
      <c r="Z89" s="1494">
        <f>Y89/Z$71</f>
        <v>1</v>
      </c>
      <c r="AB89" s="1016">
        <f t="shared" si="14"/>
        <v>13.8</v>
      </c>
      <c r="AC89" s="863">
        <f t="shared" si="15"/>
        <v>1</v>
      </c>
    </row>
    <row r="90" spans="1:29" s="3" customFormat="1" ht="12" x14ac:dyDescent="0.2">
      <c r="B90" s="75" t="s">
        <v>130</v>
      </c>
      <c r="C90" s="224">
        <v>1</v>
      </c>
      <c r="D90" s="216">
        <f t="shared" si="16"/>
        <v>9.0909090909090912E-2</v>
      </c>
      <c r="E90" s="223">
        <v>1</v>
      </c>
      <c r="F90" s="311">
        <f>E90/F$71</f>
        <v>8.3333333333333329E-2</v>
      </c>
      <c r="G90" s="230">
        <v>0</v>
      </c>
      <c r="H90" s="395">
        <f>G90/H$71</f>
        <v>0</v>
      </c>
      <c r="I90" s="283">
        <v>0</v>
      </c>
      <c r="J90" s="221">
        <f t="shared" si="17"/>
        <v>0</v>
      </c>
      <c r="K90" s="230">
        <v>0</v>
      </c>
      <c r="L90" s="221">
        <f t="shared" si="17"/>
        <v>0</v>
      </c>
      <c r="M90" s="230">
        <v>0</v>
      </c>
      <c r="N90" s="216">
        <f t="shared" si="18"/>
        <v>0</v>
      </c>
      <c r="O90" s="283">
        <v>0</v>
      </c>
      <c r="P90" s="216">
        <f t="shared" si="18"/>
        <v>0</v>
      </c>
      <c r="Q90" s="283">
        <v>0</v>
      </c>
      <c r="R90" s="216">
        <f t="shared" si="18"/>
        <v>0</v>
      </c>
      <c r="S90" s="283">
        <f>0</f>
        <v>0</v>
      </c>
      <c r="T90" s="216">
        <f t="shared" si="18"/>
        <v>0</v>
      </c>
      <c r="U90" s="283">
        <v>0</v>
      </c>
      <c r="V90" s="216">
        <f>U90/V$71</f>
        <v>0</v>
      </c>
      <c r="W90" s="283">
        <v>0</v>
      </c>
      <c r="X90" s="216">
        <f>W90/X$71</f>
        <v>0</v>
      </c>
      <c r="Y90" s="283">
        <v>0</v>
      </c>
      <c r="Z90" s="1494">
        <f>Y90/Z$71</f>
        <v>0</v>
      </c>
      <c r="AB90" s="1016">
        <f t="shared" si="14"/>
        <v>0</v>
      </c>
      <c r="AC90" s="863">
        <f t="shared" si="15"/>
        <v>0</v>
      </c>
    </row>
    <row r="91" spans="1:29" s="3" customFormat="1" ht="12" x14ac:dyDescent="0.2">
      <c r="B91" s="75" t="s">
        <v>131</v>
      </c>
      <c r="C91" s="224">
        <v>0</v>
      </c>
      <c r="D91" s="216">
        <f t="shared" si="16"/>
        <v>0</v>
      </c>
      <c r="E91" s="223">
        <v>0</v>
      </c>
      <c r="F91" s="311">
        <f>E91/F$71</f>
        <v>0</v>
      </c>
      <c r="G91" s="230">
        <v>0</v>
      </c>
      <c r="H91" s="395">
        <f>G91/H$71</f>
        <v>0</v>
      </c>
      <c r="I91" s="283">
        <v>0</v>
      </c>
      <c r="J91" s="221">
        <f t="shared" si="17"/>
        <v>0</v>
      </c>
      <c r="K91" s="230">
        <v>1</v>
      </c>
      <c r="L91" s="221">
        <f t="shared" si="17"/>
        <v>7.1428571428571425E-2</v>
      </c>
      <c r="M91" s="230">
        <v>0</v>
      </c>
      <c r="N91" s="216">
        <f t="shared" si="18"/>
        <v>0</v>
      </c>
      <c r="O91" s="283">
        <v>0</v>
      </c>
      <c r="P91" s="216">
        <f t="shared" si="18"/>
        <v>0</v>
      </c>
      <c r="Q91" s="283">
        <v>0</v>
      </c>
      <c r="R91" s="216">
        <f t="shared" si="18"/>
        <v>0</v>
      </c>
      <c r="S91" s="283">
        <f>0</f>
        <v>0</v>
      </c>
      <c r="T91" s="216">
        <f t="shared" si="18"/>
        <v>0</v>
      </c>
      <c r="U91" s="283">
        <v>0</v>
      </c>
      <c r="V91" s="216">
        <f>U91/V$71</f>
        <v>0</v>
      </c>
      <c r="W91" s="283">
        <v>0</v>
      </c>
      <c r="X91" s="216">
        <f>W91/X$71</f>
        <v>0</v>
      </c>
      <c r="Y91" s="283">
        <v>0</v>
      </c>
      <c r="Z91" s="1494">
        <f>Y91/Z$71</f>
        <v>0</v>
      </c>
      <c r="AB91" s="1016">
        <f t="shared" si="14"/>
        <v>0</v>
      </c>
      <c r="AC91" s="863">
        <f t="shared" si="15"/>
        <v>0</v>
      </c>
    </row>
    <row r="92" spans="1:29" s="3" customFormat="1" thickBot="1" x14ac:dyDescent="0.25">
      <c r="B92" s="344" t="s">
        <v>132</v>
      </c>
      <c r="C92" s="61">
        <v>0</v>
      </c>
      <c r="D92" s="220">
        <f t="shared" si="16"/>
        <v>0</v>
      </c>
      <c r="E92" s="228">
        <v>0</v>
      </c>
      <c r="F92" s="312">
        <f>E92/F$71</f>
        <v>0</v>
      </c>
      <c r="G92" s="375">
        <v>0</v>
      </c>
      <c r="H92" s="397">
        <f>G92/H$71</f>
        <v>0</v>
      </c>
      <c r="I92" s="284">
        <v>0</v>
      </c>
      <c r="J92" s="222">
        <f t="shared" si="17"/>
        <v>0</v>
      </c>
      <c r="K92" s="375">
        <v>0</v>
      </c>
      <c r="L92" s="222">
        <f t="shared" si="17"/>
        <v>0</v>
      </c>
      <c r="M92" s="375">
        <v>0</v>
      </c>
      <c r="N92" s="220">
        <f t="shared" si="18"/>
        <v>0</v>
      </c>
      <c r="O92" s="284">
        <v>0</v>
      </c>
      <c r="P92" s="220">
        <f t="shared" si="18"/>
        <v>0</v>
      </c>
      <c r="Q92" s="284">
        <v>0</v>
      </c>
      <c r="R92" s="220">
        <f t="shared" si="18"/>
        <v>0</v>
      </c>
      <c r="S92" s="284">
        <f>0</f>
        <v>0</v>
      </c>
      <c r="T92" s="220">
        <f t="shared" si="18"/>
        <v>0</v>
      </c>
      <c r="U92" s="284">
        <v>0</v>
      </c>
      <c r="V92" s="220">
        <f>U92/V$71</f>
        <v>0</v>
      </c>
      <c r="W92" s="284">
        <v>0</v>
      </c>
      <c r="X92" s="220">
        <f>W92/X$71</f>
        <v>0</v>
      </c>
      <c r="Y92" s="284">
        <v>0</v>
      </c>
      <c r="Z92" s="1495">
        <f>Y92/Z$71</f>
        <v>0</v>
      </c>
      <c r="AB92" s="1016">
        <f t="shared" si="14"/>
        <v>0</v>
      </c>
      <c r="AC92" s="863">
        <f t="shared" si="15"/>
        <v>0</v>
      </c>
    </row>
    <row r="93" spans="1:29" ht="14.25" thickTop="1" thickBot="1" x14ac:dyDescent="0.25">
      <c r="A93" s="1"/>
      <c r="B93" s="956" t="s">
        <v>186</v>
      </c>
      <c r="C93" s="1992" t="s">
        <v>51</v>
      </c>
      <c r="D93" s="1993"/>
      <c r="E93" s="1992" t="s">
        <v>52</v>
      </c>
      <c r="F93" s="1993"/>
      <c r="G93" s="1989" t="s">
        <v>184</v>
      </c>
      <c r="H93" s="1990"/>
      <c r="I93" s="1989" t="s">
        <v>185</v>
      </c>
      <c r="J93" s="1990"/>
      <c r="K93" s="1989" t="s">
        <v>202</v>
      </c>
      <c r="L93" s="1990"/>
      <c r="M93" s="1991" t="s">
        <v>203</v>
      </c>
      <c r="N93" s="1979"/>
      <c r="O93" s="1970" t="s">
        <v>228</v>
      </c>
      <c r="P93" s="1979"/>
      <c r="Q93" s="1970" t="s">
        <v>238</v>
      </c>
      <c r="R93" s="1979"/>
      <c r="S93" s="1970" t="s">
        <v>273</v>
      </c>
      <c r="T93" s="1979"/>
      <c r="U93" s="1970" t="s">
        <v>275</v>
      </c>
      <c r="V93" s="1979"/>
      <c r="W93" s="1970" t="s">
        <v>281</v>
      </c>
      <c r="X93" s="1979"/>
      <c r="Y93" s="1970" t="s">
        <v>291</v>
      </c>
      <c r="Z93" s="1976"/>
      <c r="AB93" s="2003" t="s">
        <v>213</v>
      </c>
      <c r="AC93" s="2004"/>
    </row>
    <row r="94" spans="1:29" x14ac:dyDescent="0.2">
      <c r="A94" s="1"/>
      <c r="B94" s="957"/>
      <c r="C94" s="958"/>
      <c r="D94" s="959"/>
      <c r="E94" s="1273" t="s">
        <v>133</v>
      </c>
      <c r="F94" s="1180" t="s">
        <v>17</v>
      </c>
      <c r="G94" s="958" t="s">
        <v>133</v>
      </c>
      <c r="H94" s="1242" t="s">
        <v>17</v>
      </c>
      <c r="I94" s="1273" t="s">
        <v>133</v>
      </c>
      <c r="J94" s="1242" t="s">
        <v>17</v>
      </c>
      <c r="K94" s="1273" t="s">
        <v>133</v>
      </c>
      <c r="L94" s="1242" t="s">
        <v>17</v>
      </c>
      <c r="M94" s="1273" t="s">
        <v>133</v>
      </c>
      <c r="N94" s="1242" t="s">
        <v>17</v>
      </c>
      <c r="O94" s="1448" t="s">
        <v>133</v>
      </c>
      <c r="P94" s="1450" t="s">
        <v>17</v>
      </c>
      <c r="Q94" s="1451" t="s">
        <v>133</v>
      </c>
      <c r="R94" s="1450" t="s">
        <v>17</v>
      </c>
      <c r="S94" s="1451" t="s">
        <v>133</v>
      </c>
      <c r="T94" s="1450" t="s">
        <v>17</v>
      </c>
      <c r="U94" s="1768" t="s">
        <v>133</v>
      </c>
      <c r="V94" s="1450" t="s">
        <v>17</v>
      </c>
      <c r="W94" s="1768" t="s">
        <v>133</v>
      </c>
      <c r="X94" s="1450" t="s">
        <v>17</v>
      </c>
      <c r="Y94" s="1768" t="s">
        <v>133</v>
      </c>
      <c r="Z94" s="1452" t="s">
        <v>17</v>
      </c>
      <c r="AB94" s="953" t="s">
        <v>133</v>
      </c>
      <c r="AC94" s="954" t="s">
        <v>17</v>
      </c>
    </row>
    <row r="95" spans="1:29" x14ac:dyDescent="0.2">
      <c r="A95" s="1"/>
      <c r="B95" s="341" t="s">
        <v>187</v>
      </c>
      <c r="C95" s="960">
        <v>7</v>
      </c>
      <c r="D95" s="961">
        <v>3.5</v>
      </c>
      <c r="E95" s="960">
        <v>7</v>
      </c>
      <c r="F95" s="961">
        <v>3.5</v>
      </c>
      <c r="G95" s="960">
        <v>6</v>
      </c>
      <c r="H95" s="961">
        <v>3</v>
      </c>
      <c r="I95" s="960">
        <v>8</v>
      </c>
      <c r="J95" s="961">
        <v>3.6</v>
      </c>
      <c r="K95" s="960">
        <v>11</v>
      </c>
      <c r="L95" s="961">
        <v>5.5</v>
      </c>
      <c r="M95" s="960">
        <v>5</v>
      </c>
      <c r="N95" s="961">
        <v>3.3</v>
      </c>
      <c r="O95" s="960">
        <v>7</v>
      </c>
      <c r="P95" s="961">
        <v>3.5</v>
      </c>
      <c r="Q95" s="960">
        <v>3</v>
      </c>
      <c r="R95" s="961">
        <v>1.5</v>
      </c>
      <c r="S95" s="960">
        <v>6</v>
      </c>
      <c r="T95" s="961">
        <v>3</v>
      </c>
      <c r="U95" s="960">
        <v>9</v>
      </c>
      <c r="V95" s="961">
        <v>4.5</v>
      </c>
      <c r="W95" s="960">
        <v>4</v>
      </c>
      <c r="X95" s="961">
        <v>2</v>
      </c>
      <c r="Y95" s="960">
        <v>2</v>
      </c>
      <c r="Z95" s="1517">
        <v>1</v>
      </c>
      <c r="AB95" s="1115">
        <f t="shared" ref="AB95:AB97" si="19">AVERAGE(W95,U95,Q95,S95,Y95)</f>
        <v>4.8</v>
      </c>
      <c r="AC95" s="1116">
        <f t="shared" ref="AC95:AC97" si="20">AVERAGE(X95,V95,R95,T95,Z95)</f>
        <v>2.4</v>
      </c>
    </row>
    <row r="96" spans="1:29" x14ac:dyDescent="0.2">
      <c r="A96" s="1"/>
      <c r="B96" s="341" t="s">
        <v>188</v>
      </c>
      <c r="C96" s="960">
        <v>14</v>
      </c>
      <c r="D96" s="961">
        <v>7.5</v>
      </c>
      <c r="E96" s="960">
        <v>16</v>
      </c>
      <c r="F96" s="961">
        <v>8</v>
      </c>
      <c r="G96" s="960">
        <v>19</v>
      </c>
      <c r="H96" s="961">
        <v>9.5</v>
      </c>
      <c r="I96" s="960">
        <v>18</v>
      </c>
      <c r="J96" s="961">
        <v>7.7</v>
      </c>
      <c r="K96" s="960">
        <v>19</v>
      </c>
      <c r="L96" s="961">
        <v>9.5</v>
      </c>
      <c r="M96" s="960">
        <v>18</v>
      </c>
      <c r="N96" s="961">
        <v>9</v>
      </c>
      <c r="O96" s="960">
        <v>17</v>
      </c>
      <c r="P96" s="961">
        <v>8</v>
      </c>
      <c r="Q96" s="960">
        <v>17</v>
      </c>
      <c r="R96" s="961">
        <v>8.5</v>
      </c>
      <c r="S96" s="960">
        <v>16</v>
      </c>
      <c r="T96" s="961">
        <v>8</v>
      </c>
      <c r="U96" s="960">
        <v>18</v>
      </c>
      <c r="V96" s="961">
        <v>9</v>
      </c>
      <c r="W96" s="960">
        <v>20</v>
      </c>
      <c r="X96" s="961">
        <v>10</v>
      </c>
      <c r="Y96" s="960">
        <v>18</v>
      </c>
      <c r="Z96" s="1517">
        <v>9</v>
      </c>
      <c r="AB96" s="1115">
        <f t="shared" si="19"/>
        <v>17.8</v>
      </c>
      <c r="AC96" s="1116">
        <f t="shared" si="20"/>
        <v>8.9</v>
      </c>
    </row>
    <row r="97" spans="1:31" ht="13.5" thickBot="1" x14ac:dyDescent="0.25">
      <c r="A97" s="1"/>
      <c r="B97" s="344" t="s">
        <v>211</v>
      </c>
      <c r="C97" s="962">
        <v>0</v>
      </c>
      <c r="D97" s="963">
        <v>0</v>
      </c>
      <c r="E97" s="964">
        <v>0</v>
      </c>
      <c r="F97" s="963">
        <v>0</v>
      </c>
      <c r="G97" s="964">
        <v>0</v>
      </c>
      <c r="H97" s="963">
        <v>0</v>
      </c>
      <c r="I97" s="964">
        <v>0</v>
      </c>
      <c r="J97" s="963">
        <v>0</v>
      </c>
      <c r="K97" s="964">
        <v>0</v>
      </c>
      <c r="L97" s="963">
        <v>0</v>
      </c>
      <c r="M97" s="964">
        <v>0</v>
      </c>
      <c r="N97" s="963">
        <v>0</v>
      </c>
      <c r="O97" s="964">
        <v>0</v>
      </c>
      <c r="P97" s="963">
        <v>0</v>
      </c>
      <c r="Q97" s="964">
        <v>0</v>
      </c>
      <c r="R97" s="963">
        <v>0</v>
      </c>
      <c r="S97" s="964">
        <v>0</v>
      </c>
      <c r="T97" s="963">
        <v>0</v>
      </c>
      <c r="U97" s="964">
        <v>0</v>
      </c>
      <c r="V97" s="963">
        <v>0</v>
      </c>
      <c r="W97" s="964">
        <v>0</v>
      </c>
      <c r="X97" s="963">
        <v>0</v>
      </c>
      <c r="Y97" s="964">
        <v>0</v>
      </c>
      <c r="Z97" s="1518">
        <v>0</v>
      </c>
      <c r="AB97" s="1115">
        <f t="shared" si="19"/>
        <v>0</v>
      </c>
      <c r="AC97" s="1116">
        <f t="shared" si="20"/>
        <v>0</v>
      </c>
    </row>
    <row r="98" spans="1:31" ht="17.25" thickTop="1" thickBot="1" x14ac:dyDescent="0.3">
      <c r="A98" s="966"/>
      <c r="B98" s="967"/>
      <c r="C98" s="1992" t="s">
        <v>51</v>
      </c>
      <c r="D98" s="1993"/>
      <c r="E98" s="1992" t="s">
        <v>52</v>
      </c>
      <c r="F98" s="1993"/>
      <c r="G98" s="1989" t="s">
        <v>184</v>
      </c>
      <c r="H98" s="1990"/>
      <c r="I98" s="1989" t="s">
        <v>185</v>
      </c>
      <c r="J98" s="1990"/>
      <c r="K98" s="1989" t="s">
        <v>202</v>
      </c>
      <c r="L98" s="1990"/>
      <c r="M98" s="1991" t="s">
        <v>203</v>
      </c>
      <c r="N98" s="1979"/>
      <c r="O98" s="1970" t="s">
        <v>254</v>
      </c>
      <c r="P98" s="1979"/>
      <c r="Q98" s="1970" t="s">
        <v>238</v>
      </c>
      <c r="R98" s="1979"/>
      <c r="S98" s="1970" t="s">
        <v>273</v>
      </c>
      <c r="T98" s="1979"/>
      <c r="U98" s="1970" t="s">
        <v>275</v>
      </c>
      <c r="V98" s="1979"/>
      <c r="W98" s="1970" t="s">
        <v>281</v>
      </c>
      <c r="X98" s="1979"/>
      <c r="Y98" s="1970" t="s">
        <v>291</v>
      </c>
      <c r="Z98" s="1976"/>
      <c r="AA98" s="968"/>
      <c r="AB98" s="1987"/>
      <c r="AC98" s="1988"/>
      <c r="AD98" s="28"/>
      <c r="AE98" s="3"/>
    </row>
    <row r="99" spans="1:31" x14ac:dyDescent="0.2">
      <c r="A99" s="3"/>
      <c r="B99" s="342" t="s">
        <v>210</v>
      </c>
      <c r="C99" s="3"/>
      <c r="D99" s="969"/>
      <c r="E99" s="970"/>
      <c r="F99" s="971"/>
      <c r="G99" s="972"/>
      <c r="H99" s="973"/>
      <c r="I99" s="974"/>
      <c r="J99" s="593"/>
      <c r="K99" s="975"/>
      <c r="L99" s="976"/>
      <c r="M99" s="975"/>
      <c r="N99" s="991"/>
      <c r="O99" s="117"/>
      <c r="P99" s="1422"/>
      <c r="Q99" s="975"/>
      <c r="R99" s="991"/>
      <c r="S99" s="975"/>
      <c r="T99" s="991"/>
      <c r="U99" s="117"/>
      <c r="V99" s="1422"/>
      <c r="W99" s="975"/>
      <c r="X99" s="991"/>
      <c r="Y99" s="975"/>
      <c r="Z99" s="977"/>
      <c r="AA99" s="28"/>
      <c r="AB99" s="28"/>
      <c r="AC99" s="28"/>
      <c r="AD99" s="3"/>
      <c r="AE99" s="3"/>
    </row>
    <row r="100" spans="1:31" x14ac:dyDescent="0.2">
      <c r="A100" s="930"/>
      <c r="B100" s="1331" t="s">
        <v>192</v>
      </c>
      <c r="C100" s="1983">
        <v>3.8</v>
      </c>
      <c r="D100" s="1984"/>
      <c r="E100" s="980"/>
      <c r="F100" s="981"/>
      <c r="G100" s="982"/>
      <c r="H100" s="983"/>
      <c r="I100" s="1983">
        <v>4.45</v>
      </c>
      <c r="J100" s="1984"/>
      <c r="K100" s="984"/>
      <c r="L100" s="985"/>
      <c r="M100" s="984"/>
      <c r="N100" s="991"/>
      <c r="O100" s="136"/>
      <c r="P100" s="1401">
        <v>13.5</v>
      </c>
      <c r="Q100" s="984"/>
      <c r="R100" s="991"/>
      <c r="S100" s="984"/>
      <c r="T100" s="991"/>
      <c r="U100" s="136"/>
      <c r="V100" s="1401">
        <v>13.9</v>
      </c>
      <c r="W100" s="984"/>
      <c r="X100" s="991"/>
      <c r="Y100" s="984"/>
      <c r="Z100" s="977"/>
      <c r="AA100" s="28"/>
      <c r="AB100" s="28"/>
      <c r="AC100" s="1106"/>
      <c r="AD100" s="3"/>
      <c r="AE100" s="3"/>
    </row>
    <row r="101" spans="1:31" x14ac:dyDescent="0.2">
      <c r="A101" s="930"/>
      <c r="B101" s="1332" t="s">
        <v>193</v>
      </c>
      <c r="C101" s="1983"/>
      <c r="D101" s="1984"/>
      <c r="E101" s="980"/>
      <c r="F101" s="981"/>
      <c r="G101" s="982"/>
      <c r="H101" s="983"/>
      <c r="I101" s="1983"/>
      <c r="J101" s="1984"/>
      <c r="K101" s="984"/>
      <c r="L101" s="985"/>
      <c r="M101" s="984"/>
      <c r="N101" s="991"/>
      <c r="O101" s="136"/>
      <c r="P101" s="1401"/>
      <c r="Q101" s="984"/>
      <c r="R101" s="991"/>
      <c r="S101" s="984"/>
      <c r="T101" s="991"/>
      <c r="U101" s="136"/>
      <c r="V101" s="1401"/>
      <c r="W101" s="984"/>
      <c r="X101" s="991"/>
      <c r="Y101" s="984"/>
      <c r="Z101" s="977"/>
      <c r="AA101" s="28"/>
      <c r="AB101" s="28"/>
      <c r="AC101" s="1106" t="s">
        <v>29</v>
      </c>
      <c r="AD101" s="3"/>
      <c r="AE101" s="3"/>
    </row>
    <row r="102" spans="1:31" x14ac:dyDescent="0.2">
      <c r="A102" s="930"/>
      <c r="B102" s="1332" t="s">
        <v>194</v>
      </c>
      <c r="C102" s="1983">
        <v>5.5</v>
      </c>
      <c r="D102" s="1984"/>
      <c r="E102" s="980"/>
      <c r="F102" s="981"/>
      <c r="G102" s="982"/>
      <c r="H102" s="983"/>
      <c r="I102" s="1983">
        <v>5.9</v>
      </c>
      <c r="J102" s="1984"/>
      <c r="K102" s="984"/>
      <c r="L102" s="985"/>
      <c r="M102" s="984"/>
      <c r="N102" s="991"/>
      <c r="O102" s="136"/>
      <c r="P102" s="1401">
        <v>7.5</v>
      </c>
      <c r="Q102" s="984"/>
      <c r="R102" s="991"/>
      <c r="S102" s="984"/>
      <c r="T102" s="991"/>
      <c r="U102" s="136"/>
      <c r="V102" s="1401">
        <v>6.5</v>
      </c>
      <c r="W102" s="984"/>
      <c r="X102" s="991"/>
      <c r="Y102" s="984"/>
      <c r="Z102" s="977"/>
      <c r="AA102" s="28"/>
      <c r="AB102" s="28"/>
      <c r="AC102" s="1106"/>
      <c r="AD102" s="3"/>
      <c r="AE102" s="3"/>
    </row>
    <row r="103" spans="1:31" x14ac:dyDescent="0.2">
      <c r="A103" s="930"/>
      <c r="B103" s="1331" t="s">
        <v>195</v>
      </c>
      <c r="C103" s="1983">
        <v>2</v>
      </c>
      <c r="D103" s="1984"/>
      <c r="E103" s="980"/>
      <c r="F103" s="981"/>
      <c r="G103" s="982"/>
      <c r="H103" s="983"/>
      <c r="I103" s="1983">
        <v>1.8</v>
      </c>
      <c r="J103" s="1984"/>
      <c r="K103" s="984"/>
      <c r="L103" s="985"/>
      <c r="M103" s="984"/>
      <c r="N103" s="991"/>
      <c r="O103" s="136"/>
      <c r="P103" s="1401">
        <v>0.5</v>
      </c>
      <c r="Q103" s="984"/>
      <c r="R103" s="991"/>
      <c r="S103" s="984"/>
      <c r="T103" s="991"/>
      <c r="U103" s="136"/>
      <c r="V103" s="1401">
        <v>2.5</v>
      </c>
      <c r="W103" s="984"/>
      <c r="X103" s="991"/>
      <c r="Y103" s="984"/>
      <c r="Z103" s="977"/>
      <c r="AA103" s="28"/>
      <c r="AB103" s="28"/>
      <c r="AC103" s="1106"/>
      <c r="AD103" s="3"/>
      <c r="AE103" s="3"/>
    </row>
    <row r="104" spans="1:31" x14ac:dyDescent="0.2">
      <c r="A104" s="930"/>
      <c r="B104" s="1333" t="s">
        <v>196</v>
      </c>
      <c r="C104" s="1983">
        <v>1</v>
      </c>
      <c r="D104" s="1984"/>
      <c r="E104" s="980"/>
      <c r="F104" s="981"/>
      <c r="G104" s="982"/>
      <c r="H104" s="983"/>
      <c r="I104" s="1983">
        <v>1</v>
      </c>
      <c r="J104" s="1984"/>
      <c r="K104" s="984"/>
      <c r="L104" s="985"/>
      <c r="M104" s="984"/>
      <c r="N104" s="991"/>
      <c r="O104" s="136"/>
      <c r="P104" s="1401">
        <v>0.5</v>
      </c>
      <c r="Q104" s="984"/>
      <c r="R104" s="991"/>
      <c r="S104" s="984"/>
      <c r="T104" s="991"/>
      <c r="U104" s="136"/>
      <c r="V104" s="1401">
        <v>0.4</v>
      </c>
      <c r="W104" s="984"/>
      <c r="X104" s="991"/>
      <c r="Y104" s="984"/>
      <c r="Z104" s="977"/>
      <c r="AA104" s="28"/>
      <c r="AB104" s="28"/>
      <c r="AC104" s="1106"/>
      <c r="AD104" s="3"/>
      <c r="AE104" s="3"/>
    </row>
    <row r="105" spans="1:31" x14ac:dyDescent="0.2">
      <c r="A105" s="930"/>
      <c r="B105" s="1333" t="s">
        <v>197</v>
      </c>
      <c r="C105" s="1983">
        <f>SUM(C100:D104)</f>
        <v>12.3</v>
      </c>
      <c r="D105" s="1984"/>
      <c r="E105" s="980"/>
      <c r="F105" s="981"/>
      <c r="G105" s="982"/>
      <c r="H105" s="983"/>
      <c r="I105" s="1983">
        <f>SUM(I100:J104)</f>
        <v>13.150000000000002</v>
      </c>
      <c r="J105" s="1984"/>
      <c r="K105" s="984"/>
      <c r="L105" s="985"/>
      <c r="M105" s="984"/>
      <c r="N105" s="991"/>
      <c r="O105" s="136"/>
      <c r="P105" s="1401">
        <f>SUM(P100:P104)</f>
        <v>22</v>
      </c>
      <c r="Q105" s="984"/>
      <c r="R105" s="991"/>
      <c r="S105" s="984"/>
      <c r="T105" s="991"/>
      <c r="U105" s="136"/>
      <c r="V105" s="1401">
        <f>SUM(V100:V104)</f>
        <v>23.299999999999997</v>
      </c>
      <c r="W105" s="984"/>
      <c r="X105" s="991"/>
      <c r="Y105" s="984"/>
      <c r="Z105" s="977"/>
      <c r="AA105" s="28"/>
      <c r="AB105" s="28"/>
      <c r="AC105" s="1106"/>
      <c r="AD105" s="3"/>
      <c r="AE105" s="3"/>
    </row>
    <row r="106" spans="1:31" ht="13.5" thickBot="1" x14ac:dyDescent="0.25">
      <c r="A106" s="930"/>
      <c r="B106" s="1334" t="s">
        <v>204</v>
      </c>
      <c r="C106" s="2056"/>
      <c r="D106" s="2055"/>
      <c r="E106" s="989"/>
      <c r="F106" s="990"/>
      <c r="G106" s="975"/>
      <c r="H106" s="991"/>
      <c r="I106" s="2056"/>
      <c r="J106" s="2055"/>
      <c r="K106" s="984"/>
      <c r="L106" s="985"/>
      <c r="M106" s="984"/>
      <c r="N106" s="991"/>
      <c r="O106" s="136"/>
      <c r="P106" s="1422"/>
      <c r="Q106" s="984"/>
      <c r="R106" s="991"/>
      <c r="S106" s="984"/>
      <c r="T106" s="991"/>
      <c r="U106" s="136"/>
      <c r="V106" s="1422"/>
      <c r="W106" s="984"/>
      <c r="X106" s="991"/>
      <c r="Y106" s="984"/>
      <c r="Z106" s="977"/>
      <c r="AA106" s="28"/>
      <c r="AB106" s="28"/>
      <c r="AC106" s="1106"/>
      <c r="AD106" s="3"/>
      <c r="AE106" s="3"/>
    </row>
    <row r="107" spans="1:31" x14ac:dyDescent="0.2">
      <c r="A107" s="930"/>
      <c r="B107" s="1331" t="s">
        <v>198</v>
      </c>
      <c r="C107" s="2043">
        <v>3867</v>
      </c>
      <c r="D107" s="2044"/>
      <c r="E107" s="992"/>
      <c r="F107" s="993"/>
      <c r="G107" s="994"/>
      <c r="H107" s="995"/>
      <c r="I107" s="2043">
        <v>3186</v>
      </c>
      <c r="J107" s="2044"/>
      <c r="K107" s="984"/>
      <c r="L107" s="985"/>
      <c r="M107" s="984"/>
      <c r="N107" s="991"/>
      <c r="O107" s="136"/>
      <c r="P107" s="1462">
        <v>3739</v>
      </c>
      <c r="Q107" s="984"/>
      <c r="R107" s="991"/>
      <c r="S107" s="984"/>
      <c r="T107" s="991"/>
      <c r="U107" s="136"/>
      <c r="V107" s="1462">
        <v>3827</v>
      </c>
      <c r="W107" s="984"/>
      <c r="X107" s="991"/>
      <c r="Y107" s="984"/>
      <c r="Z107" s="977"/>
      <c r="AA107" s="28"/>
      <c r="AB107" s="28"/>
      <c r="AC107" s="1473"/>
      <c r="AD107" s="3"/>
      <c r="AE107" s="3"/>
    </row>
    <row r="108" spans="1:31" x14ac:dyDescent="0.2">
      <c r="A108" s="930"/>
      <c r="B108" s="1333" t="s">
        <v>199</v>
      </c>
      <c r="C108" s="2043">
        <v>1262</v>
      </c>
      <c r="D108" s="2044"/>
      <c r="E108" s="992"/>
      <c r="F108" s="993"/>
      <c r="G108" s="994"/>
      <c r="H108" s="995"/>
      <c r="I108" s="2043">
        <v>1159</v>
      </c>
      <c r="J108" s="2044"/>
      <c r="K108" s="984"/>
      <c r="L108" s="985"/>
      <c r="M108" s="984"/>
      <c r="N108" s="991"/>
      <c r="O108" s="136"/>
      <c r="P108" s="1462">
        <v>3072</v>
      </c>
      <c r="Q108" s="984"/>
      <c r="R108" s="991"/>
      <c r="S108" s="984"/>
      <c r="T108" s="991"/>
      <c r="U108" s="136"/>
      <c r="V108" s="1462">
        <v>1410</v>
      </c>
      <c r="W108" s="984"/>
      <c r="X108" s="991"/>
      <c r="Y108" s="984"/>
      <c r="Z108" s="977"/>
      <c r="AA108" s="28"/>
      <c r="AB108" s="28"/>
      <c r="AC108" s="1473"/>
      <c r="AD108" s="3"/>
      <c r="AE108" s="3"/>
    </row>
    <row r="109" spans="1:31" x14ac:dyDescent="0.2">
      <c r="A109" s="930"/>
      <c r="B109" s="1333" t="s">
        <v>200</v>
      </c>
      <c r="C109" s="2043">
        <v>1530</v>
      </c>
      <c r="D109" s="2044"/>
      <c r="E109" s="992"/>
      <c r="F109" s="993"/>
      <c r="G109" s="994"/>
      <c r="H109" s="995"/>
      <c r="I109" s="2043">
        <v>1542</v>
      </c>
      <c r="J109" s="2044"/>
      <c r="K109" s="984"/>
      <c r="L109" s="985"/>
      <c r="M109" s="984"/>
      <c r="N109" s="991"/>
      <c r="O109" s="136"/>
      <c r="P109" s="1462">
        <v>177</v>
      </c>
      <c r="Q109" s="984"/>
      <c r="R109" s="991"/>
      <c r="S109" s="984"/>
      <c r="T109" s="991"/>
      <c r="U109" s="136"/>
      <c r="V109" s="1462">
        <v>345</v>
      </c>
      <c r="W109" s="984"/>
      <c r="X109" s="991"/>
      <c r="Y109" s="984"/>
      <c r="Z109" s="977"/>
      <c r="AA109" s="28"/>
      <c r="AB109" s="28"/>
      <c r="AC109" s="1473"/>
      <c r="AD109" s="3"/>
      <c r="AE109" s="3"/>
    </row>
    <row r="110" spans="1:31" x14ac:dyDescent="0.2">
      <c r="A110" s="930"/>
      <c r="B110" s="1333" t="s">
        <v>209</v>
      </c>
      <c r="C110" s="2043">
        <f>SUM(C107:D109)</f>
        <v>6659</v>
      </c>
      <c r="D110" s="2044"/>
      <c r="E110" s="992"/>
      <c r="F110" s="993"/>
      <c r="G110" s="994"/>
      <c r="H110" s="995"/>
      <c r="I110" s="2043">
        <f>SUM(I107:J109)</f>
        <v>5887</v>
      </c>
      <c r="J110" s="2044"/>
      <c r="K110" s="984"/>
      <c r="L110" s="985"/>
      <c r="M110" s="984"/>
      <c r="N110" s="991"/>
      <c r="O110" s="136"/>
      <c r="P110" s="1462">
        <f>SUM(P107:P109)</f>
        <v>6988</v>
      </c>
      <c r="Q110" s="984"/>
      <c r="R110" s="991"/>
      <c r="S110" s="984"/>
      <c r="T110" s="991"/>
      <c r="U110" s="136"/>
      <c r="V110" s="1462">
        <f>SUM(V107:V109)</f>
        <v>5582</v>
      </c>
      <c r="W110" s="984"/>
      <c r="X110" s="991"/>
      <c r="Y110" s="984"/>
      <c r="Z110" s="977"/>
      <c r="AA110" s="28"/>
      <c r="AB110" s="28"/>
      <c r="AC110" s="1473"/>
      <c r="AD110" s="3"/>
      <c r="AE110" s="3"/>
    </row>
    <row r="111" spans="1:31" ht="13.5" thickBot="1" x14ac:dyDescent="0.25">
      <c r="A111" s="930"/>
      <c r="B111" s="1334" t="s">
        <v>205</v>
      </c>
      <c r="C111" s="2056"/>
      <c r="D111" s="2055"/>
      <c r="E111" s="989"/>
      <c r="F111" s="990"/>
      <c r="G111" s="975"/>
      <c r="H111" s="991"/>
      <c r="I111" s="2056"/>
      <c r="J111" s="2055"/>
      <c r="K111" s="984"/>
      <c r="L111" s="985"/>
      <c r="M111" s="984"/>
      <c r="N111" s="991"/>
      <c r="O111" s="136"/>
      <c r="P111" s="1462"/>
      <c r="Q111" s="984"/>
      <c r="R111" s="991"/>
      <c r="S111" s="984"/>
      <c r="T111" s="991"/>
      <c r="U111" s="136"/>
      <c r="V111" s="1462"/>
      <c r="W111" s="984"/>
      <c r="X111" s="991"/>
      <c r="Y111" s="984"/>
      <c r="Z111" s="977"/>
      <c r="AA111" s="28"/>
      <c r="AB111" s="28"/>
      <c r="AC111" s="1106"/>
      <c r="AD111" s="28"/>
      <c r="AE111" s="28"/>
    </row>
    <row r="112" spans="1:31" x14ac:dyDescent="0.2">
      <c r="A112" s="930"/>
      <c r="B112" s="1331" t="s">
        <v>206</v>
      </c>
      <c r="C112" s="1985">
        <f>C107/C100</f>
        <v>1017.6315789473684</v>
      </c>
      <c r="D112" s="1986"/>
      <c r="E112" s="996"/>
      <c r="F112" s="997"/>
      <c r="G112" s="998"/>
      <c r="H112" s="999"/>
      <c r="I112" s="1985">
        <f>I107/I100</f>
        <v>715.95505617977528</v>
      </c>
      <c r="J112" s="1986"/>
      <c r="K112" s="1000"/>
      <c r="L112" s="1001"/>
      <c r="M112" s="1000"/>
      <c r="N112" s="999"/>
      <c r="O112" s="494"/>
      <c r="P112" s="1402">
        <f>P107/P100</f>
        <v>276.96296296296299</v>
      </c>
      <c r="Q112" s="1000"/>
      <c r="R112" s="999"/>
      <c r="S112" s="1000"/>
      <c r="T112" s="999"/>
      <c r="U112" s="494"/>
      <c r="V112" s="1402">
        <f>V107/V100</f>
        <v>275.32374100719426</v>
      </c>
      <c r="W112" s="1000"/>
      <c r="X112" s="999"/>
      <c r="Y112" s="1000"/>
      <c r="Z112" s="1460"/>
      <c r="AA112" s="668"/>
      <c r="AB112" s="668"/>
      <c r="AC112" s="1106"/>
      <c r="AD112" s="21"/>
      <c r="AE112" s="21"/>
    </row>
    <row r="113" spans="1:31" x14ac:dyDescent="0.2">
      <c r="A113" s="930"/>
      <c r="B113" s="1333" t="s">
        <v>207</v>
      </c>
      <c r="C113" s="1985">
        <f>C108/C102</f>
        <v>229.45454545454547</v>
      </c>
      <c r="D113" s="1986"/>
      <c r="E113" s="996"/>
      <c r="F113" s="997"/>
      <c r="G113" s="998"/>
      <c r="H113" s="999"/>
      <c r="I113" s="1985">
        <f>I108/I102</f>
        <v>196.44067796610167</v>
      </c>
      <c r="J113" s="1986"/>
      <c r="K113" s="1000"/>
      <c r="L113" s="1001"/>
      <c r="M113" s="1000"/>
      <c r="N113" s="999"/>
      <c r="O113" s="494"/>
      <c r="P113" s="1402">
        <f>P108/P102</f>
        <v>409.6</v>
      </c>
      <c r="Q113" s="1000"/>
      <c r="R113" s="999"/>
      <c r="S113" s="1000"/>
      <c r="T113" s="999"/>
      <c r="U113" s="494"/>
      <c r="V113" s="1402">
        <f>V108/(V102+V103)</f>
        <v>156.66666666666666</v>
      </c>
      <c r="W113" s="1000"/>
      <c r="X113" s="999"/>
      <c r="Y113" s="1000"/>
      <c r="Z113" s="1460"/>
      <c r="AA113" s="668"/>
      <c r="AB113" s="668"/>
      <c r="AC113" s="1106"/>
      <c r="AD113" s="21"/>
      <c r="AE113" s="21"/>
    </row>
    <row r="114" spans="1:31" x14ac:dyDescent="0.2">
      <c r="A114" s="930"/>
      <c r="B114" s="1333" t="s">
        <v>208</v>
      </c>
      <c r="C114" s="1985">
        <f>C109/C104</f>
        <v>1530</v>
      </c>
      <c r="D114" s="1986"/>
      <c r="E114" s="996"/>
      <c r="F114" s="997"/>
      <c r="G114" s="998"/>
      <c r="H114" s="999"/>
      <c r="I114" s="1985">
        <f>I109/I104</f>
        <v>1542</v>
      </c>
      <c r="J114" s="1986"/>
      <c r="K114" s="1000"/>
      <c r="L114" s="1001"/>
      <c r="M114" s="1000"/>
      <c r="N114" s="999"/>
      <c r="O114" s="494"/>
      <c r="P114" s="1402">
        <f>P109/P104</f>
        <v>354</v>
      </c>
      <c r="Q114" s="1000"/>
      <c r="R114" s="999"/>
      <c r="S114" s="1000"/>
      <c r="T114" s="999"/>
      <c r="U114" s="494"/>
      <c r="V114" s="1402">
        <f>V109/V104</f>
        <v>862.5</v>
      </c>
      <c r="W114" s="1000"/>
      <c r="X114" s="999"/>
      <c r="Y114" s="1000"/>
      <c r="Z114" s="1460"/>
      <c r="AA114" s="668"/>
      <c r="AB114" s="668"/>
      <c r="AC114" s="1106"/>
      <c r="AD114" s="21"/>
      <c r="AE114" s="21"/>
    </row>
    <row r="115" spans="1:31" ht="13.5" thickBot="1" x14ac:dyDescent="0.25">
      <c r="A115" s="930"/>
      <c r="B115" s="1335" t="s">
        <v>201</v>
      </c>
      <c r="C115" s="2045">
        <f>C110/C105</f>
        <v>541.3821138211382</v>
      </c>
      <c r="D115" s="2046"/>
      <c r="E115" s="1003"/>
      <c r="F115" s="1004"/>
      <c r="G115" s="1005"/>
      <c r="H115" s="1006"/>
      <c r="I115" s="2045">
        <f>I110/I105</f>
        <v>447.68060836501894</v>
      </c>
      <c r="J115" s="2046"/>
      <c r="K115" s="1005"/>
      <c r="L115" s="1006"/>
      <c r="M115" s="1005"/>
      <c r="N115" s="1006"/>
      <c r="O115" s="1233"/>
      <c r="P115" s="1423">
        <f>P110/P105</f>
        <v>317.63636363636363</v>
      </c>
      <c r="Q115" s="1005"/>
      <c r="R115" s="1006"/>
      <c r="S115" s="1005"/>
      <c r="T115" s="1006"/>
      <c r="U115" s="1233"/>
      <c r="V115" s="1423">
        <f>V110/V105</f>
        <v>239.57081545064381</v>
      </c>
      <c r="W115" s="1005"/>
      <c r="X115" s="1006"/>
      <c r="Y115" s="1005"/>
      <c r="Z115" s="1461"/>
      <c r="AA115" s="668"/>
      <c r="AB115" s="668"/>
      <c r="AC115" s="1106"/>
      <c r="AD115" s="21"/>
      <c r="AE115" s="21"/>
    </row>
    <row r="116" spans="1:31" ht="13.5" thickTop="1" x14ac:dyDescent="0.2">
      <c r="A116" s="3"/>
      <c r="B116" s="3" t="str">
        <f>Dean_AS!B169</f>
        <v>*Note: Beginning with the 2009 collection cycle, Instructional FTE was defined according to the national Delaware Study of Instructional Costs and Productivity</v>
      </c>
      <c r="AC116" s="91"/>
    </row>
    <row r="117" spans="1:31" x14ac:dyDescent="0.2">
      <c r="A117" s="3"/>
      <c r="B117" s="3"/>
    </row>
    <row r="118" spans="1:31" x14ac:dyDescent="0.2">
      <c r="A118" s="3"/>
      <c r="B118" s="3"/>
    </row>
    <row r="119" spans="1:31" x14ac:dyDescent="0.2">
      <c r="A119" s="3"/>
      <c r="B119" s="3"/>
      <c r="P119" s="1" t="s">
        <v>29</v>
      </c>
    </row>
    <row r="120" spans="1:31" x14ac:dyDescent="0.2">
      <c r="A120" s="3"/>
      <c r="B120" s="3"/>
    </row>
    <row r="121" spans="1:31" x14ac:dyDescent="0.2">
      <c r="A121" s="3"/>
      <c r="B121" s="3"/>
    </row>
    <row r="122" spans="1:31" x14ac:dyDescent="0.2">
      <c r="A122" s="3"/>
      <c r="B122" s="3"/>
    </row>
    <row r="123" spans="1:31" x14ac:dyDescent="0.2">
      <c r="A123" s="3"/>
      <c r="B123" s="3"/>
    </row>
    <row r="124" spans="1:31" x14ac:dyDescent="0.2">
      <c r="A124" s="3"/>
      <c r="B124" s="3"/>
    </row>
    <row r="125" spans="1:31" x14ac:dyDescent="0.2">
      <c r="A125" s="3"/>
      <c r="B125" s="3"/>
    </row>
    <row r="126" spans="1:31" x14ac:dyDescent="0.2">
      <c r="A126" s="3"/>
      <c r="B126" s="3"/>
    </row>
    <row r="127" spans="1:31" x14ac:dyDescent="0.2">
      <c r="A127" s="3"/>
      <c r="B127" s="3"/>
    </row>
    <row r="128" spans="1:31" x14ac:dyDescent="0.2">
      <c r="A128" s="3"/>
      <c r="B128" s="3"/>
    </row>
    <row r="129" spans="1:2" x14ac:dyDescent="0.2">
      <c r="A129" s="3"/>
      <c r="B129" s="3"/>
    </row>
    <row r="130" spans="1:2" x14ac:dyDescent="0.2">
      <c r="A130" s="3"/>
      <c r="B130" s="3"/>
    </row>
    <row r="131" spans="1:2" x14ac:dyDescent="0.2">
      <c r="A131" s="3"/>
      <c r="B131" s="3"/>
    </row>
    <row r="132" spans="1:2" x14ac:dyDescent="0.2">
      <c r="A132" s="3"/>
      <c r="B132" s="3"/>
    </row>
    <row r="133" spans="1:2" x14ac:dyDescent="0.2">
      <c r="A133" s="3"/>
      <c r="B133" s="3"/>
    </row>
    <row r="134" spans="1:2" x14ac:dyDescent="0.2">
      <c r="A134" s="3"/>
      <c r="B134" s="3"/>
    </row>
    <row r="135" spans="1:2" x14ac:dyDescent="0.2">
      <c r="A135" s="3"/>
      <c r="B135" s="3"/>
    </row>
    <row r="136" spans="1:2" x14ac:dyDescent="0.2">
      <c r="A136" s="3"/>
      <c r="B136" s="3"/>
    </row>
    <row r="137" spans="1:2" x14ac:dyDescent="0.2">
      <c r="A137" s="3"/>
      <c r="B137" s="3"/>
    </row>
    <row r="138" spans="1:2" x14ac:dyDescent="0.2">
      <c r="A138" s="3"/>
      <c r="B138" s="3"/>
    </row>
    <row r="139" spans="1:2" x14ac:dyDescent="0.2">
      <c r="A139" s="3"/>
      <c r="B139" s="3"/>
    </row>
    <row r="140" spans="1:2" x14ac:dyDescent="0.2">
      <c r="A140" s="3"/>
      <c r="B140" s="3"/>
    </row>
    <row r="141" spans="1:2" x14ac:dyDescent="0.2">
      <c r="A141" s="3"/>
      <c r="B141" s="3"/>
    </row>
    <row r="142" spans="1:2" x14ac:dyDescent="0.2">
      <c r="A142" s="3"/>
      <c r="B142" s="3"/>
    </row>
    <row r="143" spans="1:2" x14ac:dyDescent="0.2">
      <c r="A143" s="3"/>
      <c r="B143" s="3"/>
    </row>
    <row r="144" spans="1:2" x14ac:dyDescent="0.2">
      <c r="A144" s="3"/>
      <c r="B144" s="3"/>
    </row>
    <row r="145" spans="1:2" x14ac:dyDescent="0.2">
      <c r="A145" s="3"/>
      <c r="B145" s="3"/>
    </row>
    <row r="146" spans="1:2" x14ac:dyDescent="0.2">
      <c r="A146" s="3"/>
      <c r="B146" s="3"/>
    </row>
    <row r="147" spans="1:2" x14ac:dyDescent="0.2">
      <c r="A147" s="3"/>
      <c r="B147" s="3"/>
    </row>
    <row r="148" spans="1:2" x14ac:dyDescent="0.2">
      <c r="A148" s="3"/>
      <c r="B148" s="3"/>
    </row>
    <row r="149" spans="1:2" x14ac:dyDescent="0.2">
      <c r="A149" s="3"/>
      <c r="B149" s="3"/>
    </row>
    <row r="150" spans="1:2" x14ac:dyDescent="0.2">
      <c r="A150" s="3"/>
      <c r="B150" s="3"/>
    </row>
    <row r="151" spans="1:2" x14ac:dyDescent="0.2">
      <c r="A151" s="3"/>
      <c r="B151" s="3"/>
    </row>
    <row r="152" spans="1:2" x14ac:dyDescent="0.2">
      <c r="A152" s="3"/>
      <c r="B152" s="3"/>
    </row>
    <row r="153" spans="1:2" x14ac:dyDescent="0.2">
      <c r="A153" s="3"/>
      <c r="B153" s="3"/>
    </row>
    <row r="154" spans="1:2" x14ac:dyDescent="0.2">
      <c r="A154" s="3"/>
      <c r="B154" s="3"/>
    </row>
    <row r="155" spans="1:2" x14ac:dyDescent="0.2">
      <c r="A155" s="3"/>
      <c r="B155" s="3"/>
    </row>
    <row r="156" spans="1:2" x14ac:dyDescent="0.2">
      <c r="A156" s="3"/>
      <c r="B156" s="3"/>
    </row>
    <row r="157" spans="1:2" x14ac:dyDescent="0.2">
      <c r="A157" s="3"/>
      <c r="B157" s="3"/>
    </row>
    <row r="158" spans="1:2" x14ac:dyDescent="0.2">
      <c r="A158" s="3"/>
      <c r="B158" s="3"/>
    </row>
    <row r="159" spans="1:2" x14ac:dyDescent="0.2">
      <c r="A159" s="3"/>
      <c r="B159" s="3"/>
    </row>
    <row r="160" spans="1:2" x14ac:dyDescent="0.2">
      <c r="A160" s="3"/>
      <c r="B160" s="3"/>
    </row>
    <row r="161" spans="1:2" x14ac:dyDescent="0.2">
      <c r="A161" s="3"/>
      <c r="B161" s="3"/>
    </row>
    <row r="162" spans="1:2" x14ac:dyDescent="0.2">
      <c r="A162" s="3"/>
      <c r="B162" s="3"/>
    </row>
    <row r="163" spans="1:2" x14ac:dyDescent="0.2">
      <c r="A163" s="3"/>
      <c r="B163" s="3"/>
    </row>
    <row r="164" spans="1:2" x14ac:dyDescent="0.2">
      <c r="A164" s="3"/>
      <c r="B164" s="3"/>
    </row>
    <row r="165" spans="1:2" x14ac:dyDescent="0.2">
      <c r="A165" s="3"/>
      <c r="B165" s="3"/>
    </row>
    <row r="166" spans="1:2" x14ac:dyDescent="0.2">
      <c r="A166" s="3"/>
      <c r="B166" s="3"/>
    </row>
    <row r="167" spans="1:2" x14ac:dyDescent="0.2">
      <c r="A167" s="3"/>
      <c r="B167" s="3"/>
    </row>
    <row r="168" spans="1:2" x14ac:dyDescent="0.2">
      <c r="A168" s="3"/>
      <c r="B168" s="3"/>
    </row>
    <row r="169" spans="1:2" x14ac:dyDescent="0.2">
      <c r="A169" s="3"/>
      <c r="B169" s="3"/>
    </row>
    <row r="170" spans="1:2" x14ac:dyDescent="0.2">
      <c r="A170" s="3"/>
      <c r="B170" s="3"/>
    </row>
    <row r="171" spans="1:2" x14ac:dyDescent="0.2">
      <c r="A171" s="3"/>
      <c r="B171" s="3"/>
    </row>
    <row r="172" spans="1:2" x14ac:dyDescent="0.2">
      <c r="A172" s="3"/>
      <c r="B172" s="3"/>
    </row>
    <row r="173" spans="1:2" x14ac:dyDescent="0.2">
      <c r="A173" s="3"/>
      <c r="B173" s="3"/>
    </row>
    <row r="174" spans="1:2" x14ac:dyDescent="0.2">
      <c r="A174" s="3"/>
      <c r="B174" s="3"/>
    </row>
    <row r="175" spans="1:2" x14ac:dyDescent="0.2">
      <c r="A175" s="3"/>
      <c r="B175" s="3"/>
    </row>
    <row r="176" spans="1:2" x14ac:dyDescent="0.2">
      <c r="A176" s="3"/>
      <c r="B176" s="3"/>
    </row>
    <row r="177" spans="1:2" x14ac:dyDescent="0.2">
      <c r="A177" s="3"/>
      <c r="B177" s="3"/>
    </row>
    <row r="178" spans="1:2" x14ac:dyDescent="0.2">
      <c r="A178" s="3"/>
      <c r="B178" s="3"/>
    </row>
    <row r="179" spans="1:2" x14ac:dyDescent="0.2">
      <c r="A179" s="3"/>
      <c r="B179" s="3"/>
    </row>
    <row r="180" spans="1:2" x14ac:dyDescent="0.2">
      <c r="A180" s="3"/>
      <c r="B180" s="3"/>
    </row>
    <row r="181" spans="1:2" x14ac:dyDescent="0.2">
      <c r="A181" s="3"/>
      <c r="B181" s="3"/>
    </row>
    <row r="182" spans="1:2" x14ac:dyDescent="0.2">
      <c r="A182" s="3"/>
      <c r="B182" s="3"/>
    </row>
    <row r="183" spans="1:2" x14ac:dyDescent="0.2">
      <c r="A183" s="3"/>
      <c r="B183" s="3"/>
    </row>
    <row r="184" spans="1:2" x14ac:dyDescent="0.2">
      <c r="A184" s="3"/>
      <c r="B184" s="3"/>
    </row>
    <row r="185" spans="1:2" x14ac:dyDescent="0.2">
      <c r="A185" s="3"/>
      <c r="B185" s="3"/>
    </row>
    <row r="186" spans="1:2" x14ac:dyDescent="0.2">
      <c r="A186" s="3"/>
      <c r="B186" s="3"/>
    </row>
    <row r="187" spans="1:2" x14ac:dyDescent="0.2">
      <c r="A187" s="3"/>
      <c r="B187" s="3"/>
    </row>
    <row r="188" spans="1:2" x14ac:dyDescent="0.2">
      <c r="A188" s="3"/>
      <c r="B188" s="3"/>
    </row>
    <row r="189" spans="1:2" x14ac:dyDescent="0.2">
      <c r="A189" s="3"/>
      <c r="B189" s="3"/>
    </row>
    <row r="190" spans="1:2" x14ac:dyDescent="0.2">
      <c r="A190" s="3"/>
      <c r="B190" s="3"/>
    </row>
    <row r="191" spans="1:2" x14ac:dyDescent="0.2">
      <c r="A191" s="3"/>
      <c r="B191" s="3"/>
    </row>
    <row r="192" spans="1:2" x14ac:dyDescent="0.2">
      <c r="A192" s="3"/>
      <c r="B192" s="3"/>
    </row>
    <row r="193" spans="1:2" x14ac:dyDescent="0.2">
      <c r="A193" s="3"/>
      <c r="B193" s="3"/>
    </row>
    <row r="194" spans="1:2" x14ac:dyDescent="0.2">
      <c r="A194" s="3"/>
      <c r="B194" s="3"/>
    </row>
    <row r="195" spans="1:2" x14ac:dyDescent="0.2">
      <c r="A195" s="3"/>
      <c r="B195" s="3"/>
    </row>
    <row r="196" spans="1:2" x14ac:dyDescent="0.2">
      <c r="A196" s="3"/>
      <c r="B196" s="3"/>
    </row>
    <row r="197" spans="1:2" x14ac:dyDescent="0.2">
      <c r="A197" s="3"/>
      <c r="B197" s="3"/>
    </row>
    <row r="198" spans="1:2" x14ac:dyDescent="0.2">
      <c r="A198" s="3"/>
      <c r="B198" s="3"/>
    </row>
    <row r="199" spans="1:2" x14ac:dyDescent="0.2">
      <c r="A199" s="3"/>
      <c r="B199" s="3"/>
    </row>
    <row r="200" spans="1:2" x14ac:dyDescent="0.2">
      <c r="A200" s="3"/>
      <c r="B200" s="3"/>
    </row>
    <row r="201" spans="1:2" x14ac:dyDescent="0.2">
      <c r="A201" s="3"/>
      <c r="B201" s="3"/>
    </row>
    <row r="202" spans="1:2" x14ac:dyDescent="0.2">
      <c r="A202" s="3"/>
      <c r="B202" s="3"/>
    </row>
    <row r="203" spans="1:2" x14ac:dyDescent="0.2">
      <c r="A203" s="3"/>
      <c r="B203" s="3"/>
    </row>
    <row r="204" spans="1:2" x14ac:dyDescent="0.2">
      <c r="A204" s="3"/>
      <c r="B204" s="3"/>
    </row>
    <row r="205" spans="1:2" x14ac:dyDescent="0.2">
      <c r="A205" s="3"/>
      <c r="B205" s="3"/>
    </row>
    <row r="206" spans="1:2" x14ac:dyDescent="0.2">
      <c r="A206" s="3"/>
      <c r="B206" s="3"/>
    </row>
    <row r="207" spans="1:2" x14ac:dyDescent="0.2">
      <c r="A207" s="3"/>
      <c r="B207" s="3"/>
    </row>
    <row r="208" spans="1:2" x14ac:dyDescent="0.2">
      <c r="A208" s="3"/>
      <c r="B208" s="3"/>
    </row>
    <row r="209" spans="1:2" x14ac:dyDescent="0.2">
      <c r="A209" s="3"/>
      <c r="B209" s="3"/>
    </row>
    <row r="210" spans="1:2" x14ac:dyDescent="0.2">
      <c r="A210" s="3"/>
      <c r="B210" s="3"/>
    </row>
    <row r="211" spans="1:2" x14ac:dyDescent="0.2">
      <c r="A211" s="3"/>
      <c r="B211" s="3"/>
    </row>
    <row r="212" spans="1:2" x14ac:dyDescent="0.2">
      <c r="A212" s="3"/>
      <c r="B212" s="3"/>
    </row>
    <row r="213" spans="1:2" x14ac:dyDescent="0.2">
      <c r="A213" s="3"/>
      <c r="B213" s="3"/>
    </row>
    <row r="214" spans="1:2" x14ac:dyDescent="0.2">
      <c r="A214" s="3"/>
      <c r="B214" s="3"/>
    </row>
    <row r="215" spans="1:2" x14ac:dyDescent="0.2">
      <c r="A215" s="3"/>
      <c r="B215" s="3"/>
    </row>
    <row r="216" spans="1:2" x14ac:dyDescent="0.2">
      <c r="A216" s="3"/>
      <c r="B216" s="3"/>
    </row>
    <row r="217" spans="1:2" x14ac:dyDescent="0.2">
      <c r="A217" s="3"/>
      <c r="B217" s="3"/>
    </row>
    <row r="218" spans="1:2" x14ac:dyDescent="0.2">
      <c r="A218" s="3"/>
      <c r="B218" s="3"/>
    </row>
    <row r="219" spans="1:2" x14ac:dyDescent="0.2">
      <c r="A219" s="3"/>
      <c r="B219" s="3"/>
    </row>
    <row r="220" spans="1:2" x14ac:dyDescent="0.2">
      <c r="A220" s="3"/>
      <c r="B220" s="3"/>
    </row>
    <row r="221" spans="1:2" x14ac:dyDescent="0.2">
      <c r="A221" s="3"/>
      <c r="B221" s="3"/>
    </row>
    <row r="222" spans="1:2" x14ac:dyDescent="0.2">
      <c r="A222" s="3"/>
      <c r="B222" s="3"/>
    </row>
    <row r="223" spans="1:2" x14ac:dyDescent="0.2">
      <c r="A223" s="3"/>
      <c r="B223" s="3"/>
    </row>
    <row r="224" spans="1:2" x14ac:dyDescent="0.2">
      <c r="A224" s="3"/>
      <c r="B224" s="3"/>
    </row>
    <row r="225" spans="1:2" x14ac:dyDescent="0.2">
      <c r="A225" s="3"/>
      <c r="B225" s="3"/>
    </row>
    <row r="226" spans="1:2" x14ac:dyDescent="0.2">
      <c r="A226" s="3"/>
      <c r="B226" s="3"/>
    </row>
    <row r="227" spans="1:2" x14ac:dyDescent="0.2">
      <c r="A227" s="3"/>
      <c r="B227" s="3"/>
    </row>
    <row r="228" spans="1:2" x14ac:dyDescent="0.2">
      <c r="A228" s="3"/>
      <c r="B228" s="3"/>
    </row>
    <row r="229" spans="1:2" x14ac:dyDescent="0.2">
      <c r="A229" s="3"/>
      <c r="B229" s="3"/>
    </row>
    <row r="230" spans="1:2" x14ac:dyDescent="0.2">
      <c r="A230" s="3"/>
      <c r="B230" s="3"/>
    </row>
    <row r="231" spans="1:2" x14ac:dyDescent="0.2">
      <c r="A231" s="3"/>
      <c r="B231" s="3"/>
    </row>
    <row r="232" spans="1:2" x14ac:dyDescent="0.2">
      <c r="A232" s="3"/>
      <c r="B232" s="3"/>
    </row>
    <row r="233" spans="1:2" x14ac:dyDescent="0.2">
      <c r="A233" s="3"/>
      <c r="B233" s="3"/>
    </row>
    <row r="234" spans="1:2" x14ac:dyDescent="0.2">
      <c r="A234" s="3"/>
      <c r="B234" s="3"/>
    </row>
    <row r="235" spans="1:2" x14ac:dyDescent="0.2">
      <c r="A235" s="3"/>
      <c r="B235" s="3"/>
    </row>
    <row r="236" spans="1:2" x14ac:dyDescent="0.2">
      <c r="A236" s="3"/>
      <c r="B236" s="3"/>
    </row>
    <row r="237" spans="1:2" x14ac:dyDescent="0.2">
      <c r="A237" s="3"/>
      <c r="B237" s="3"/>
    </row>
    <row r="238" spans="1:2" x14ac:dyDescent="0.2">
      <c r="A238" s="3"/>
      <c r="B238" s="3"/>
    </row>
    <row r="239" spans="1:2" x14ac:dyDescent="0.2">
      <c r="A239" s="3"/>
      <c r="B239" s="3"/>
    </row>
    <row r="240" spans="1:2" x14ac:dyDescent="0.2">
      <c r="A240" s="3"/>
      <c r="B240" s="3"/>
    </row>
    <row r="241" spans="1:2" x14ac:dyDescent="0.2">
      <c r="A241" s="3"/>
      <c r="B241" s="3"/>
    </row>
    <row r="242" spans="1:2" x14ac:dyDescent="0.2">
      <c r="A242" s="3"/>
      <c r="B242" s="3"/>
    </row>
    <row r="243" spans="1:2" x14ac:dyDescent="0.2">
      <c r="A243" s="3"/>
      <c r="B243" s="3"/>
    </row>
    <row r="244" spans="1:2" x14ac:dyDescent="0.2">
      <c r="A244" s="3"/>
      <c r="B244" s="3"/>
    </row>
    <row r="245" spans="1:2" x14ac:dyDescent="0.2">
      <c r="A245" s="3"/>
      <c r="B245" s="3"/>
    </row>
    <row r="246" spans="1:2" x14ac:dyDescent="0.2">
      <c r="A246" s="3"/>
      <c r="B246" s="3"/>
    </row>
    <row r="247" spans="1:2" x14ac:dyDescent="0.2">
      <c r="A247" s="3"/>
      <c r="B247" s="3"/>
    </row>
    <row r="248" spans="1:2" x14ac:dyDescent="0.2">
      <c r="A248" s="3"/>
      <c r="B248" s="3"/>
    </row>
    <row r="249" spans="1:2" x14ac:dyDescent="0.2">
      <c r="A249" s="3"/>
      <c r="B249" s="3"/>
    </row>
    <row r="250" spans="1:2" x14ac:dyDescent="0.2">
      <c r="A250" s="3"/>
      <c r="B250" s="3"/>
    </row>
    <row r="251" spans="1:2" x14ac:dyDescent="0.2">
      <c r="A251" s="3"/>
      <c r="B251" s="3"/>
    </row>
    <row r="252" spans="1:2" x14ac:dyDescent="0.2">
      <c r="A252" s="3"/>
      <c r="B252" s="3"/>
    </row>
    <row r="253" spans="1:2" x14ac:dyDescent="0.2">
      <c r="A253" s="3"/>
      <c r="B253" s="3"/>
    </row>
    <row r="254" spans="1:2" x14ac:dyDescent="0.2">
      <c r="A254" s="3"/>
      <c r="B254" s="3"/>
    </row>
    <row r="255" spans="1:2" x14ac:dyDescent="0.2">
      <c r="A255" s="3"/>
      <c r="B255" s="3"/>
    </row>
    <row r="256" spans="1:2" x14ac:dyDescent="0.2">
      <c r="A256" s="3"/>
      <c r="B256" s="3"/>
    </row>
    <row r="257" spans="1:2" x14ac:dyDescent="0.2">
      <c r="A257" s="3"/>
      <c r="B257" s="3"/>
    </row>
    <row r="258" spans="1:2" x14ac:dyDescent="0.2">
      <c r="A258" s="3"/>
      <c r="B258" s="3"/>
    </row>
    <row r="259" spans="1:2" x14ac:dyDescent="0.2">
      <c r="A259" s="3"/>
      <c r="B259" s="3"/>
    </row>
    <row r="260" spans="1:2" x14ac:dyDescent="0.2">
      <c r="A260" s="3"/>
      <c r="B260" s="3"/>
    </row>
    <row r="261" spans="1:2" x14ac:dyDescent="0.2">
      <c r="A261" s="3"/>
      <c r="B261" s="3"/>
    </row>
    <row r="262" spans="1:2" x14ac:dyDescent="0.2">
      <c r="A262" s="3"/>
      <c r="B262" s="3"/>
    </row>
    <row r="263" spans="1:2" x14ac:dyDescent="0.2">
      <c r="A263" s="3"/>
      <c r="B263" s="3"/>
    </row>
    <row r="264" spans="1:2" x14ac:dyDescent="0.2">
      <c r="A264" s="3"/>
      <c r="B264" s="3"/>
    </row>
    <row r="265" spans="1:2" x14ac:dyDescent="0.2">
      <c r="A265" s="3"/>
      <c r="B265" s="3"/>
    </row>
    <row r="266" spans="1:2" x14ac:dyDescent="0.2">
      <c r="A266" s="3"/>
      <c r="B266" s="3"/>
    </row>
    <row r="267" spans="1:2" x14ac:dyDescent="0.2">
      <c r="A267" s="3"/>
      <c r="B267" s="3"/>
    </row>
    <row r="268" spans="1:2" x14ac:dyDescent="0.2">
      <c r="A268" s="3"/>
      <c r="B268" s="3"/>
    </row>
    <row r="269" spans="1:2" x14ac:dyDescent="0.2">
      <c r="A269" s="3"/>
      <c r="B269" s="3"/>
    </row>
    <row r="270" spans="1:2" x14ac:dyDescent="0.2">
      <c r="A270" s="3"/>
      <c r="B270" s="3"/>
    </row>
    <row r="271" spans="1:2" x14ac:dyDescent="0.2">
      <c r="A271" s="3"/>
      <c r="B271" s="3"/>
    </row>
    <row r="272" spans="1:2" x14ac:dyDescent="0.2">
      <c r="A272" s="3"/>
      <c r="B272" s="3"/>
    </row>
    <row r="273" spans="1:2" x14ac:dyDescent="0.2">
      <c r="A273" s="3"/>
      <c r="B273" s="3"/>
    </row>
    <row r="274" spans="1:2" x14ac:dyDescent="0.2">
      <c r="A274" s="3"/>
      <c r="B274" s="3"/>
    </row>
    <row r="275" spans="1:2" x14ac:dyDescent="0.2">
      <c r="A275" s="3"/>
      <c r="B275" s="3"/>
    </row>
    <row r="276" spans="1:2" x14ac:dyDescent="0.2">
      <c r="A276" s="3"/>
      <c r="B276" s="3"/>
    </row>
    <row r="277" spans="1:2" x14ac:dyDescent="0.2">
      <c r="A277" s="3"/>
      <c r="B277" s="3"/>
    </row>
    <row r="278" spans="1:2" x14ac:dyDescent="0.2">
      <c r="A278" s="3"/>
      <c r="B278" s="3"/>
    </row>
    <row r="279" spans="1:2" x14ac:dyDescent="0.2">
      <c r="A279" s="3"/>
      <c r="B279" s="3"/>
    </row>
    <row r="280" spans="1:2" x14ac:dyDescent="0.2">
      <c r="A280" s="3"/>
      <c r="B280" s="3"/>
    </row>
    <row r="281" spans="1:2" x14ac:dyDescent="0.2">
      <c r="A281" s="3"/>
      <c r="B281" s="3"/>
    </row>
    <row r="282" spans="1:2" x14ac:dyDescent="0.2">
      <c r="A282" s="3"/>
      <c r="B282" s="3"/>
    </row>
    <row r="283" spans="1:2" x14ac:dyDescent="0.2">
      <c r="A283" s="3"/>
      <c r="B283" s="3"/>
    </row>
    <row r="284" spans="1:2" x14ac:dyDescent="0.2">
      <c r="A284" s="3"/>
      <c r="B284" s="3"/>
    </row>
    <row r="285" spans="1:2" x14ac:dyDescent="0.2">
      <c r="A285" s="3"/>
      <c r="B285" s="3"/>
    </row>
    <row r="286" spans="1:2" x14ac:dyDescent="0.2">
      <c r="A286" s="3"/>
      <c r="B286" s="3"/>
    </row>
    <row r="287" spans="1:2" x14ac:dyDescent="0.2">
      <c r="A287" s="3"/>
      <c r="B287" s="3"/>
    </row>
    <row r="288" spans="1:2" x14ac:dyDescent="0.2">
      <c r="A288" s="3"/>
      <c r="B288" s="3"/>
    </row>
    <row r="289" spans="1:2" x14ac:dyDescent="0.2">
      <c r="A289" s="3"/>
      <c r="B289" s="3"/>
    </row>
    <row r="290" spans="1:2" x14ac:dyDescent="0.2">
      <c r="A290" s="3"/>
      <c r="B290" s="3"/>
    </row>
    <row r="291" spans="1:2" x14ac:dyDescent="0.2">
      <c r="A291" s="3"/>
      <c r="B291" s="3"/>
    </row>
    <row r="292" spans="1:2" x14ac:dyDescent="0.2">
      <c r="A292" s="3"/>
      <c r="B292" s="3"/>
    </row>
    <row r="293" spans="1:2" x14ac:dyDescent="0.2">
      <c r="A293" s="3"/>
      <c r="B293" s="3"/>
    </row>
    <row r="294" spans="1:2" x14ac:dyDescent="0.2">
      <c r="A294" s="3"/>
      <c r="B294" s="3"/>
    </row>
    <row r="295" spans="1:2" x14ac:dyDescent="0.2">
      <c r="A295" s="3"/>
      <c r="B295" s="3"/>
    </row>
    <row r="296" spans="1:2" x14ac:dyDescent="0.2">
      <c r="A296" s="3"/>
      <c r="B296" s="3"/>
    </row>
    <row r="297" spans="1:2" x14ac:dyDescent="0.2">
      <c r="A297" s="3"/>
      <c r="B297" s="3"/>
    </row>
    <row r="298" spans="1:2" x14ac:dyDescent="0.2">
      <c r="A298" s="3"/>
      <c r="B298" s="3"/>
    </row>
    <row r="299" spans="1:2" x14ac:dyDescent="0.2">
      <c r="A299" s="3"/>
      <c r="B299" s="3"/>
    </row>
    <row r="300" spans="1:2" x14ac:dyDescent="0.2">
      <c r="A300" s="3"/>
      <c r="B300" s="3"/>
    </row>
    <row r="301" spans="1:2" x14ac:dyDescent="0.2">
      <c r="A301" s="3"/>
      <c r="B301" s="3"/>
    </row>
    <row r="302" spans="1:2" x14ac:dyDescent="0.2">
      <c r="A302" s="3"/>
      <c r="B302" s="3"/>
    </row>
    <row r="303" spans="1:2" x14ac:dyDescent="0.2">
      <c r="A303" s="3"/>
      <c r="B303" s="3"/>
    </row>
    <row r="304" spans="1:2" x14ac:dyDescent="0.2">
      <c r="A304" s="3"/>
      <c r="B304" s="3"/>
    </row>
    <row r="305" spans="1:2" x14ac:dyDescent="0.2">
      <c r="A305" s="3"/>
      <c r="B305" s="3"/>
    </row>
    <row r="306" spans="1:2" x14ac:dyDescent="0.2">
      <c r="A306" s="3"/>
      <c r="B306" s="3"/>
    </row>
    <row r="307" spans="1:2" x14ac:dyDescent="0.2">
      <c r="A307" s="3"/>
      <c r="B307" s="3"/>
    </row>
    <row r="308" spans="1:2" x14ac:dyDescent="0.2">
      <c r="A308" s="3"/>
      <c r="B308" s="3"/>
    </row>
    <row r="309" spans="1:2" x14ac:dyDescent="0.2">
      <c r="A309" s="3"/>
      <c r="B309" s="3"/>
    </row>
    <row r="310" spans="1:2" x14ac:dyDescent="0.2">
      <c r="A310" s="3"/>
      <c r="B310" s="3"/>
    </row>
    <row r="311" spans="1:2" x14ac:dyDescent="0.2">
      <c r="A311" s="3"/>
      <c r="B311" s="3"/>
    </row>
    <row r="312" spans="1:2" x14ac:dyDescent="0.2">
      <c r="A312" s="3"/>
      <c r="B312" s="3"/>
    </row>
    <row r="313" spans="1:2" x14ac:dyDescent="0.2">
      <c r="A313" s="3"/>
      <c r="B313" s="3"/>
    </row>
    <row r="314" spans="1:2" x14ac:dyDescent="0.2">
      <c r="A314" s="3"/>
      <c r="B314" s="3"/>
    </row>
    <row r="315" spans="1:2" x14ac:dyDescent="0.2">
      <c r="A315" s="3"/>
      <c r="B315" s="3"/>
    </row>
    <row r="316" spans="1:2" x14ac:dyDescent="0.2">
      <c r="A316" s="3"/>
      <c r="B316" s="3"/>
    </row>
    <row r="317" spans="1:2" x14ac:dyDescent="0.2">
      <c r="A317" s="3"/>
      <c r="B317" s="3"/>
    </row>
    <row r="318" spans="1:2" x14ac:dyDescent="0.2">
      <c r="A318" s="3"/>
      <c r="B318" s="3"/>
    </row>
    <row r="319" spans="1:2" x14ac:dyDescent="0.2">
      <c r="A319" s="3"/>
      <c r="B319" s="3"/>
    </row>
    <row r="320" spans="1:2" x14ac:dyDescent="0.2">
      <c r="A320" s="3"/>
      <c r="B320" s="3"/>
    </row>
    <row r="321" spans="1:2" x14ac:dyDescent="0.2">
      <c r="A321" s="3"/>
      <c r="B321" s="3"/>
    </row>
    <row r="322" spans="1:2" x14ac:dyDescent="0.2">
      <c r="A322" s="3"/>
      <c r="B322" s="3"/>
    </row>
    <row r="323" spans="1:2" x14ac:dyDescent="0.2">
      <c r="A323" s="3"/>
      <c r="B323" s="3"/>
    </row>
    <row r="324" spans="1:2" x14ac:dyDescent="0.2">
      <c r="A324" s="3"/>
      <c r="B324" s="3"/>
    </row>
    <row r="325" spans="1:2" x14ac:dyDescent="0.2">
      <c r="A325" s="3"/>
      <c r="B325" s="3"/>
    </row>
    <row r="326" spans="1:2" x14ac:dyDescent="0.2">
      <c r="A326" s="3"/>
      <c r="B326" s="3"/>
    </row>
    <row r="327" spans="1:2" x14ac:dyDescent="0.2">
      <c r="A327" s="3"/>
      <c r="B327" s="3"/>
    </row>
    <row r="328" spans="1:2" x14ac:dyDescent="0.2">
      <c r="A328" s="3"/>
      <c r="B328" s="3"/>
    </row>
    <row r="329" spans="1:2" x14ac:dyDescent="0.2">
      <c r="A329" s="3"/>
      <c r="B329" s="3"/>
    </row>
    <row r="330" spans="1:2" x14ac:dyDescent="0.2">
      <c r="A330" s="3"/>
      <c r="B330" s="3"/>
    </row>
    <row r="331" spans="1:2" x14ac:dyDescent="0.2">
      <c r="A331" s="3"/>
      <c r="B331" s="3"/>
    </row>
    <row r="332" spans="1:2" x14ac:dyDescent="0.2">
      <c r="A332" s="3"/>
      <c r="B332" s="3"/>
    </row>
    <row r="333" spans="1:2" x14ac:dyDescent="0.2">
      <c r="A333" s="3"/>
      <c r="B333" s="3"/>
    </row>
    <row r="334" spans="1:2" x14ac:dyDescent="0.2">
      <c r="A334" s="3"/>
      <c r="B334" s="3"/>
    </row>
    <row r="335" spans="1:2" x14ac:dyDescent="0.2">
      <c r="A335" s="3"/>
      <c r="B335" s="3"/>
    </row>
    <row r="336" spans="1:2" x14ac:dyDescent="0.2">
      <c r="A336" s="3"/>
      <c r="B336" s="3"/>
    </row>
    <row r="337" spans="1:2" x14ac:dyDescent="0.2">
      <c r="A337" s="3"/>
      <c r="B337" s="3"/>
    </row>
    <row r="338" spans="1:2" x14ac:dyDescent="0.2">
      <c r="A338" s="3"/>
      <c r="B338" s="3"/>
    </row>
    <row r="339" spans="1:2" x14ac:dyDescent="0.2">
      <c r="A339" s="3"/>
      <c r="B339" s="3"/>
    </row>
    <row r="340" spans="1:2" x14ac:dyDescent="0.2">
      <c r="A340" s="3"/>
      <c r="B340" s="3"/>
    </row>
    <row r="341" spans="1:2" x14ac:dyDescent="0.2">
      <c r="A341" s="3"/>
      <c r="B341" s="3"/>
    </row>
    <row r="342" spans="1:2" x14ac:dyDescent="0.2">
      <c r="A342" s="3"/>
      <c r="B342" s="3"/>
    </row>
    <row r="343" spans="1:2" x14ac:dyDescent="0.2">
      <c r="A343" s="3"/>
      <c r="B343" s="3"/>
    </row>
    <row r="344" spans="1:2" x14ac:dyDescent="0.2">
      <c r="A344" s="3"/>
      <c r="B344" s="3"/>
    </row>
    <row r="345" spans="1:2" x14ac:dyDescent="0.2">
      <c r="A345" s="3"/>
      <c r="B345" s="3"/>
    </row>
    <row r="346" spans="1:2" x14ac:dyDescent="0.2">
      <c r="A346" s="3"/>
      <c r="B346" s="3"/>
    </row>
    <row r="347" spans="1:2" x14ac:dyDescent="0.2">
      <c r="A347" s="3"/>
      <c r="B347" s="3"/>
    </row>
    <row r="348" spans="1:2" x14ac:dyDescent="0.2">
      <c r="A348" s="3"/>
      <c r="B348" s="3"/>
    </row>
    <row r="349" spans="1:2" x14ac:dyDescent="0.2">
      <c r="A349" s="3"/>
      <c r="B349" s="3"/>
    </row>
    <row r="350" spans="1:2" x14ac:dyDescent="0.2">
      <c r="A350" s="3"/>
      <c r="B350" s="3"/>
    </row>
    <row r="351" spans="1:2" x14ac:dyDescent="0.2">
      <c r="A351" s="3"/>
      <c r="B351" s="3"/>
    </row>
    <row r="352" spans="1:2" x14ac:dyDescent="0.2">
      <c r="A352" s="3"/>
      <c r="B352" s="3"/>
    </row>
    <row r="353" spans="1:2" x14ac:dyDescent="0.2">
      <c r="A353" s="3"/>
      <c r="B353" s="3"/>
    </row>
    <row r="354" spans="1:2" x14ac:dyDescent="0.2">
      <c r="A354" s="3"/>
      <c r="B354" s="3"/>
    </row>
    <row r="355" spans="1:2" x14ac:dyDescent="0.2">
      <c r="A355" s="3"/>
      <c r="B355" s="3"/>
    </row>
    <row r="356" spans="1:2" x14ac:dyDescent="0.2">
      <c r="A356" s="3"/>
      <c r="B356" s="3"/>
    </row>
    <row r="357" spans="1:2" x14ac:dyDescent="0.2">
      <c r="A357" s="3"/>
      <c r="B357" s="3"/>
    </row>
    <row r="358" spans="1:2" x14ac:dyDescent="0.2">
      <c r="A358" s="3"/>
      <c r="B358" s="3"/>
    </row>
    <row r="359" spans="1:2" x14ac:dyDescent="0.2">
      <c r="A359" s="3"/>
      <c r="B359" s="3"/>
    </row>
    <row r="360" spans="1:2" x14ac:dyDescent="0.2">
      <c r="A360" s="3"/>
      <c r="B360" s="3"/>
    </row>
    <row r="361" spans="1:2" x14ac:dyDescent="0.2">
      <c r="A361" s="3"/>
      <c r="B361" s="3"/>
    </row>
    <row r="362" spans="1:2" x14ac:dyDescent="0.2">
      <c r="A362" s="3"/>
      <c r="B362" s="3"/>
    </row>
    <row r="363" spans="1:2" x14ac:dyDescent="0.2">
      <c r="A363" s="3"/>
      <c r="B363" s="3"/>
    </row>
    <row r="364" spans="1:2" x14ac:dyDescent="0.2">
      <c r="A364" s="3"/>
      <c r="B364" s="3"/>
    </row>
    <row r="365" spans="1:2" x14ac:dyDescent="0.2">
      <c r="A365" s="3"/>
      <c r="B365" s="3"/>
    </row>
    <row r="366" spans="1:2" x14ac:dyDescent="0.2">
      <c r="A366" s="3"/>
      <c r="B366" s="3"/>
    </row>
    <row r="367" spans="1:2" x14ac:dyDescent="0.2">
      <c r="A367" s="3"/>
      <c r="B367" s="3"/>
    </row>
  </sheetData>
  <mergeCells count="140">
    <mergeCell ref="C107:D107"/>
    <mergeCell ref="I107:J107"/>
    <mergeCell ref="C104:D104"/>
    <mergeCell ref="I104:J104"/>
    <mergeCell ref="C105:D105"/>
    <mergeCell ref="I105:J105"/>
    <mergeCell ref="C110:D110"/>
    <mergeCell ref="I110:J110"/>
    <mergeCell ref="I106:J106"/>
    <mergeCell ref="C114:D114"/>
    <mergeCell ref="I114:J114"/>
    <mergeCell ref="C115:D115"/>
    <mergeCell ref="I115:J115"/>
    <mergeCell ref="C112:D112"/>
    <mergeCell ref="I112:J112"/>
    <mergeCell ref="C113:D113"/>
    <mergeCell ref="I113:J113"/>
    <mergeCell ref="O98:P98"/>
    <mergeCell ref="C111:D111"/>
    <mergeCell ref="I111:J111"/>
    <mergeCell ref="C108:D108"/>
    <mergeCell ref="I108:J108"/>
    <mergeCell ref="C109:D109"/>
    <mergeCell ref="I109:J109"/>
    <mergeCell ref="C102:D102"/>
    <mergeCell ref="I102:J102"/>
    <mergeCell ref="C103:D103"/>
    <mergeCell ref="I103:J103"/>
    <mergeCell ref="C100:D100"/>
    <mergeCell ref="I100:J100"/>
    <mergeCell ref="C101:D101"/>
    <mergeCell ref="I101:J101"/>
    <mergeCell ref="C106:D106"/>
    <mergeCell ref="AB7:AC7"/>
    <mergeCell ref="AB22:AC22"/>
    <mergeCell ref="AB37:AC37"/>
    <mergeCell ref="AB63:AC63"/>
    <mergeCell ref="AB33:AC33"/>
    <mergeCell ref="AB30:AC30"/>
    <mergeCell ref="O37:P37"/>
    <mergeCell ref="O63:P63"/>
    <mergeCell ref="O93:P93"/>
    <mergeCell ref="O7:P7"/>
    <mergeCell ref="O22:P22"/>
    <mergeCell ref="O30:P30"/>
    <mergeCell ref="O33:P33"/>
    <mergeCell ref="Q93:R93"/>
    <mergeCell ref="Q7:R7"/>
    <mergeCell ref="Q22:R22"/>
    <mergeCell ref="Q30:R30"/>
    <mergeCell ref="Q33:R33"/>
    <mergeCell ref="W7:X7"/>
    <mergeCell ref="W22:X22"/>
    <mergeCell ref="W30:X30"/>
    <mergeCell ref="W33:X33"/>
    <mergeCell ref="W37:X37"/>
    <mergeCell ref="W63:X63"/>
    <mergeCell ref="I93:J93"/>
    <mergeCell ref="K93:L93"/>
    <mergeCell ref="M93:N93"/>
    <mergeCell ref="G37:H37"/>
    <mergeCell ref="G63:H63"/>
    <mergeCell ref="AB93:AC93"/>
    <mergeCell ref="C98:D98"/>
    <mergeCell ref="E98:F98"/>
    <mergeCell ref="G98:H98"/>
    <mergeCell ref="I98:J98"/>
    <mergeCell ref="K98:L98"/>
    <mergeCell ref="M98:N98"/>
    <mergeCell ref="AB98:AC98"/>
    <mergeCell ref="C93:D93"/>
    <mergeCell ref="E93:F93"/>
    <mergeCell ref="Q37:R37"/>
    <mergeCell ref="Q63:R63"/>
    <mergeCell ref="U93:V93"/>
    <mergeCell ref="U98:V98"/>
    <mergeCell ref="C63:D63"/>
    <mergeCell ref="E63:F63"/>
    <mergeCell ref="M63:N63"/>
    <mergeCell ref="E37:F37"/>
    <mergeCell ref="Q98:R98"/>
    <mergeCell ref="C37:D37"/>
    <mergeCell ref="Y98:Z98"/>
    <mergeCell ref="S98:T98"/>
    <mergeCell ref="M37:N37"/>
    <mergeCell ref="M30:N30"/>
    <mergeCell ref="M33:N33"/>
    <mergeCell ref="G31:H31"/>
    <mergeCell ref="G32:H32"/>
    <mergeCell ref="G22:H22"/>
    <mergeCell ref="E22:F22"/>
    <mergeCell ref="I22:J22"/>
    <mergeCell ref="C30:D30"/>
    <mergeCell ref="E30:F30"/>
    <mergeCell ref="G30:H30"/>
    <mergeCell ref="C22:D22"/>
    <mergeCell ref="C31:D31"/>
    <mergeCell ref="E31:F31"/>
    <mergeCell ref="I30:J30"/>
    <mergeCell ref="C33:D33"/>
    <mergeCell ref="C32:D32"/>
    <mergeCell ref="E32:F32"/>
    <mergeCell ref="I63:J63"/>
    <mergeCell ref="W98:X98"/>
    <mergeCell ref="G93:H93"/>
    <mergeCell ref="K7:L7"/>
    <mergeCell ref="K22:L22"/>
    <mergeCell ref="K37:L37"/>
    <mergeCell ref="K63:L63"/>
    <mergeCell ref="I37:J37"/>
    <mergeCell ref="I31:J31"/>
    <mergeCell ref="I32:J32"/>
    <mergeCell ref="K30:L30"/>
    <mergeCell ref="E33:F33"/>
    <mergeCell ref="G33:H33"/>
    <mergeCell ref="I33:J33"/>
    <mergeCell ref="K33:L33"/>
    <mergeCell ref="M7:N7"/>
    <mergeCell ref="M22:N22"/>
    <mergeCell ref="Y7:Z7"/>
    <mergeCell ref="Y22:Z22"/>
    <mergeCell ref="Y30:Z30"/>
    <mergeCell ref="Y33:Z33"/>
    <mergeCell ref="Y37:Z37"/>
    <mergeCell ref="Y63:Z63"/>
    <mergeCell ref="Y93:Z93"/>
    <mergeCell ref="S93:T93"/>
    <mergeCell ref="S7:T7"/>
    <mergeCell ref="S22:T22"/>
    <mergeCell ref="S30:T30"/>
    <mergeCell ref="S33:T33"/>
    <mergeCell ref="S37:T37"/>
    <mergeCell ref="S63:T63"/>
    <mergeCell ref="U7:V7"/>
    <mergeCell ref="U22:V22"/>
    <mergeCell ref="U30:V30"/>
    <mergeCell ref="U33:V33"/>
    <mergeCell ref="U37:V37"/>
    <mergeCell ref="U63:V63"/>
    <mergeCell ref="W93:X93"/>
  </mergeCells>
  <phoneticPr fontId="3" type="noConversion"/>
  <printOptions horizontalCentered="1"/>
  <pageMargins left="0.5" right="0.5" top="0.5" bottom="0.5" header="0.5" footer="0.25"/>
  <pageSetup scale="68" orientation="landscape" r:id="rId1"/>
  <headerFooter alignWithMargins="0">
    <oddFooter>&amp;R&amp;P of &amp;N
&amp;D</oddFooter>
  </headerFooter>
  <rowBreaks count="1" manualBreakCount="1">
    <brk id="59" max="24" man="1"/>
  </rowBreaks>
  <ignoredErrors>
    <ignoredError sqref="S73:S9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6"/>
  <sheetViews>
    <sheetView view="pageBreakPreview" zoomScaleNormal="100" zoomScaleSheetLayoutView="100" workbookViewId="0">
      <pane xSplit="2" ySplit="1" topLeftCell="O2" activePane="bottomRight" state="frozen"/>
      <selection activeCell="AF81" sqref="AF81"/>
      <selection pane="topRight" activeCell="AF81" sqref="AF81"/>
      <selection pane="bottomLeft" activeCell="AF81" sqref="AF81"/>
      <selection pane="bottomRight" activeCell="AF81" sqref="AF81"/>
    </sheetView>
  </sheetViews>
  <sheetFormatPr defaultColWidth="10.28515625" defaultRowHeight="12.75" x14ac:dyDescent="0.2"/>
  <cols>
    <col min="1" max="1" width="3.7109375" customWidth="1"/>
    <col min="2" max="2" width="29.7109375" customWidth="1"/>
    <col min="3" max="3" width="7.7109375" hidden="1" customWidth="1"/>
    <col min="4" max="4" width="10.7109375" hidden="1" customWidth="1"/>
    <col min="5" max="5" width="7.7109375" hidden="1" customWidth="1"/>
    <col min="6" max="6" width="10.7109375" hidden="1" customWidth="1"/>
    <col min="7" max="7" width="7.7109375" style="115" hidden="1" customWidth="1"/>
    <col min="8" max="8" width="10.7109375" style="115" hidden="1" customWidth="1"/>
    <col min="9" max="9" width="7.7109375" style="115" hidden="1" customWidth="1"/>
    <col min="10" max="10" width="10.7109375" style="115" hidden="1" customWidth="1"/>
    <col min="11" max="11" width="7.7109375" hidden="1" customWidth="1"/>
    <col min="12" max="12" width="10.7109375" hidden="1" customWidth="1"/>
    <col min="13" max="13" width="7.7109375" hidden="1" customWidth="1"/>
    <col min="14" max="14" width="10.7109375" hidden="1" customWidth="1"/>
    <col min="15" max="15" width="7.7109375" customWidth="1"/>
    <col min="16" max="16" width="10.7109375" customWidth="1"/>
    <col min="17" max="17" width="7.7109375" customWidth="1"/>
    <col min="18" max="18" width="10.7109375" customWidth="1"/>
    <col min="19" max="19" width="7.7109375" customWidth="1"/>
    <col min="20" max="20" width="10.7109375" customWidth="1"/>
    <col min="21" max="21" width="7.7109375" customWidth="1"/>
    <col min="22" max="22" width="10.7109375" customWidth="1"/>
    <col min="23" max="23" width="7.7109375" customWidth="1"/>
    <col min="24" max="24" width="10.7109375" customWidth="1"/>
    <col min="25" max="25" width="7.7109375" customWidth="1"/>
    <col min="26" max="26" width="10.7109375" customWidth="1"/>
    <col min="27" max="27" width="1.85546875" customWidth="1"/>
    <col min="28" max="28" width="7.7109375" customWidth="1"/>
    <col min="29" max="29" width="10.7109375" customWidth="1"/>
    <col min="30" max="30" width="1.42578125" customWidth="1"/>
  </cols>
  <sheetData>
    <row r="1" spans="1:34" ht="18" x14ac:dyDescent="0.25">
      <c r="A1" s="1183" t="str">
        <f>Dean_AS!A1</f>
        <v>Department Profile Report - FY 2015</v>
      </c>
      <c r="B1" s="1183"/>
      <c r="C1" s="1183"/>
      <c r="D1" s="1183"/>
      <c r="E1" s="1183"/>
      <c r="F1" s="1183"/>
      <c r="G1" s="1183"/>
      <c r="H1" s="1183"/>
      <c r="I1" s="1239"/>
      <c r="J1" s="1239"/>
      <c r="K1" s="1228"/>
      <c r="L1" s="1228"/>
      <c r="M1" s="1228"/>
      <c r="N1" s="1228"/>
      <c r="O1" s="1228"/>
      <c r="P1" s="1228"/>
      <c r="Q1" s="1228"/>
      <c r="R1" s="1228"/>
      <c r="S1" s="1228"/>
      <c r="T1" s="1228"/>
      <c r="U1" s="1228"/>
      <c r="V1" s="1228"/>
      <c r="W1" s="1228"/>
      <c r="X1" s="1228"/>
      <c r="Y1" s="1228"/>
      <c r="Z1" s="1228"/>
      <c r="AA1" s="1228"/>
      <c r="AB1" s="1228"/>
      <c r="AC1" s="1228"/>
      <c r="AD1" s="3"/>
      <c r="AE1" s="3"/>
      <c r="AF1" s="3"/>
      <c r="AG1" s="3"/>
      <c r="AH1" s="3"/>
    </row>
    <row r="2" spans="1:34" ht="11.25" customHeight="1" x14ac:dyDescent="0.2">
      <c r="A2" s="3"/>
      <c r="B2" s="3"/>
      <c r="C2" s="3"/>
      <c r="D2" s="3"/>
      <c r="E2" s="3"/>
      <c r="F2" s="3"/>
      <c r="G2" s="117"/>
      <c r="H2" s="117"/>
      <c r="I2" s="117"/>
      <c r="J2" s="11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">
      <c r="A3" s="2" t="s">
        <v>22</v>
      </c>
      <c r="B3" s="117"/>
      <c r="C3" s="3"/>
      <c r="D3" s="3"/>
      <c r="E3" s="3"/>
      <c r="F3" s="3"/>
      <c r="G3" s="117"/>
      <c r="H3" s="117"/>
      <c r="I3" s="117"/>
      <c r="J3" s="11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1.25" customHeight="1" x14ac:dyDescent="0.2">
      <c r="A4" s="3"/>
      <c r="B4" s="3"/>
      <c r="C4" s="3"/>
      <c r="D4" s="3"/>
      <c r="E4" s="3"/>
      <c r="F4" s="3"/>
      <c r="G4" s="117"/>
      <c r="H4" s="117"/>
      <c r="I4" s="117"/>
      <c r="J4" s="11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x14ac:dyDescent="0.2">
      <c r="A5" s="2" t="s">
        <v>77</v>
      </c>
      <c r="B5" s="3"/>
      <c r="C5" s="3"/>
      <c r="D5" s="3"/>
      <c r="E5" s="3"/>
      <c r="F5" s="3"/>
      <c r="G5" s="117"/>
      <c r="H5" s="117"/>
      <c r="I5" s="117"/>
      <c r="J5" s="117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2" customHeight="1" thickBot="1" x14ac:dyDescent="0.25">
      <c r="A6" s="2"/>
      <c r="B6" s="3"/>
      <c r="C6" s="3"/>
      <c r="D6" s="3"/>
      <c r="E6" s="3"/>
      <c r="F6" s="3"/>
      <c r="G6" s="117"/>
      <c r="H6" s="117"/>
      <c r="I6" s="117"/>
      <c r="J6" s="11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4.25" thickTop="1" thickBot="1" x14ac:dyDescent="0.25">
      <c r="A7" s="3"/>
      <c r="B7" s="22"/>
      <c r="C7" s="29" t="s">
        <v>49</v>
      </c>
      <c r="D7" s="51"/>
      <c r="E7" s="29" t="s">
        <v>50</v>
      </c>
      <c r="F7" s="7"/>
      <c r="G7" s="302" t="s">
        <v>141</v>
      </c>
      <c r="H7" s="121"/>
      <c r="I7" s="120" t="s">
        <v>152</v>
      </c>
      <c r="J7" s="299"/>
      <c r="K7" s="1994" t="s">
        <v>154</v>
      </c>
      <c r="L7" s="1968"/>
      <c r="M7" s="1994" t="s">
        <v>171</v>
      </c>
      <c r="N7" s="1980"/>
      <c r="O7" s="1968" t="s">
        <v>227</v>
      </c>
      <c r="P7" s="1980"/>
      <c r="Q7" s="1968" t="s">
        <v>237</v>
      </c>
      <c r="R7" s="1980"/>
      <c r="S7" s="1968" t="s">
        <v>272</v>
      </c>
      <c r="T7" s="1980"/>
      <c r="U7" s="1968" t="s">
        <v>274</v>
      </c>
      <c r="V7" s="1980"/>
      <c r="W7" s="1968" t="s">
        <v>280</v>
      </c>
      <c r="X7" s="1980"/>
      <c r="Y7" s="1968" t="s">
        <v>290</v>
      </c>
      <c r="Z7" s="1969"/>
      <c r="AA7" s="3"/>
      <c r="AB7" s="2003" t="s">
        <v>213</v>
      </c>
      <c r="AC7" s="2004"/>
      <c r="AD7" s="3"/>
      <c r="AE7" s="3"/>
      <c r="AF7" s="3"/>
      <c r="AG7" s="3"/>
      <c r="AH7" s="3"/>
    </row>
    <row r="8" spans="1:34" x14ac:dyDescent="0.2">
      <c r="A8" s="3"/>
      <c r="B8" s="71"/>
      <c r="C8" s="42" t="s">
        <v>1</v>
      </c>
      <c r="D8" s="47" t="s">
        <v>2</v>
      </c>
      <c r="E8" s="42" t="s">
        <v>1</v>
      </c>
      <c r="F8" s="8" t="s">
        <v>2</v>
      </c>
      <c r="G8" s="303" t="s">
        <v>1</v>
      </c>
      <c r="H8" s="125" t="s">
        <v>2</v>
      </c>
      <c r="I8" s="124" t="s">
        <v>1</v>
      </c>
      <c r="J8" s="300" t="s">
        <v>2</v>
      </c>
      <c r="K8" s="303" t="s">
        <v>1</v>
      </c>
      <c r="L8" s="300" t="s">
        <v>2</v>
      </c>
      <c r="M8" s="303" t="s">
        <v>1</v>
      </c>
      <c r="N8" s="125" t="s">
        <v>2</v>
      </c>
      <c r="O8" s="124" t="s">
        <v>1</v>
      </c>
      <c r="P8" s="125" t="s">
        <v>2</v>
      </c>
      <c r="Q8" s="124" t="s">
        <v>1</v>
      </c>
      <c r="R8" s="125" t="s">
        <v>2</v>
      </c>
      <c r="S8" s="124" t="s">
        <v>1</v>
      </c>
      <c r="T8" s="125" t="s">
        <v>2</v>
      </c>
      <c r="U8" s="124" t="s">
        <v>1</v>
      </c>
      <c r="V8" s="125" t="s">
        <v>2</v>
      </c>
      <c r="W8" s="124" t="s">
        <v>1</v>
      </c>
      <c r="X8" s="125" t="s">
        <v>2</v>
      </c>
      <c r="Y8" s="124" t="s">
        <v>1</v>
      </c>
      <c r="Z8" s="126" t="s">
        <v>2</v>
      </c>
      <c r="AA8" s="3"/>
      <c r="AB8" s="921" t="s">
        <v>214</v>
      </c>
      <c r="AC8" s="922" t="s">
        <v>215</v>
      </c>
      <c r="AD8" s="3"/>
      <c r="AE8" s="3"/>
      <c r="AF8" s="3"/>
      <c r="AG8" s="3"/>
      <c r="AH8" s="3"/>
    </row>
    <row r="9" spans="1:34" ht="13.5" thickBot="1" x14ac:dyDescent="0.25">
      <c r="A9" s="3"/>
      <c r="B9" s="72"/>
      <c r="C9" s="46" t="s">
        <v>3</v>
      </c>
      <c r="D9" s="48" t="s">
        <v>4</v>
      </c>
      <c r="E9" s="46" t="s">
        <v>3</v>
      </c>
      <c r="F9" s="26" t="s">
        <v>4</v>
      </c>
      <c r="G9" s="304" t="s">
        <v>3</v>
      </c>
      <c r="H9" s="123" t="s">
        <v>4</v>
      </c>
      <c r="I9" s="127" t="s">
        <v>3</v>
      </c>
      <c r="J9" s="301" t="s">
        <v>4</v>
      </c>
      <c r="K9" s="304" t="s">
        <v>3</v>
      </c>
      <c r="L9" s="301" t="s">
        <v>4</v>
      </c>
      <c r="M9" s="304" t="s">
        <v>3</v>
      </c>
      <c r="N9" s="123" t="s">
        <v>4</v>
      </c>
      <c r="O9" s="127" t="s">
        <v>3</v>
      </c>
      <c r="P9" s="123" t="s">
        <v>4</v>
      </c>
      <c r="Q9" s="127" t="s">
        <v>3</v>
      </c>
      <c r="R9" s="123" t="s">
        <v>4</v>
      </c>
      <c r="S9" s="127" t="s">
        <v>3</v>
      </c>
      <c r="T9" s="123" t="s">
        <v>4</v>
      </c>
      <c r="U9" s="127" t="s">
        <v>3</v>
      </c>
      <c r="V9" s="123" t="s">
        <v>4</v>
      </c>
      <c r="W9" s="127" t="s">
        <v>3</v>
      </c>
      <c r="X9" s="123" t="s">
        <v>4</v>
      </c>
      <c r="Y9" s="127" t="s">
        <v>3</v>
      </c>
      <c r="Z9" s="128" t="s">
        <v>4</v>
      </c>
      <c r="AA9" s="3"/>
      <c r="AB9" s="923" t="s">
        <v>3</v>
      </c>
      <c r="AC9" s="924" t="s">
        <v>4</v>
      </c>
      <c r="AD9" s="3"/>
      <c r="AE9" s="3"/>
      <c r="AF9" s="3"/>
      <c r="AG9" s="3"/>
      <c r="AH9" s="3"/>
    </row>
    <row r="10" spans="1:34" x14ac:dyDescent="0.2">
      <c r="A10" s="3"/>
      <c r="B10" s="73" t="s">
        <v>5</v>
      </c>
      <c r="C10" s="15"/>
      <c r="D10" s="49"/>
      <c r="E10" s="15"/>
      <c r="F10" s="13"/>
      <c r="G10" s="305"/>
      <c r="H10" s="131"/>
      <c r="I10" s="130"/>
      <c r="J10" s="150"/>
      <c r="K10" s="305"/>
      <c r="L10" s="150"/>
      <c r="M10" s="305"/>
      <c r="N10" s="131"/>
      <c r="O10" s="130"/>
      <c r="P10" s="131"/>
      <c r="Q10" s="130"/>
      <c r="R10" s="131"/>
      <c r="S10" s="130"/>
      <c r="T10" s="131"/>
      <c r="U10" s="130"/>
      <c r="V10" s="131"/>
      <c r="W10" s="130"/>
      <c r="X10" s="131"/>
      <c r="Y10" s="130"/>
      <c r="Z10" s="296"/>
      <c r="AA10" s="3"/>
      <c r="AB10" s="925"/>
      <c r="AC10" s="581"/>
      <c r="AD10" s="3"/>
      <c r="AE10" s="3"/>
      <c r="AF10" s="3"/>
      <c r="AG10" s="3"/>
      <c r="AH10" s="3"/>
    </row>
    <row r="11" spans="1:34" x14ac:dyDescent="0.2">
      <c r="A11" s="3"/>
      <c r="B11" s="74" t="s">
        <v>65</v>
      </c>
      <c r="C11" s="14"/>
      <c r="D11" s="50"/>
      <c r="E11" s="14"/>
      <c r="F11" s="9"/>
      <c r="G11" s="318"/>
      <c r="H11" s="405"/>
      <c r="I11" s="404"/>
      <c r="J11" s="129"/>
      <c r="K11" s="318"/>
      <c r="L11" s="129"/>
      <c r="M11" s="318"/>
      <c r="N11" s="405"/>
      <c r="O11" s="404"/>
      <c r="P11" s="405"/>
      <c r="Q11" s="404"/>
      <c r="R11" s="405"/>
      <c r="S11" s="404"/>
      <c r="T11" s="405"/>
      <c r="U11" s="404"/>
      <c r="V11" s="405"/>
      <c r="W11" s="404"/>
      <c r="X11" s="405"/>
      <c r="Y11" s="404"/>
      <c r="Z11" s="291"/>
      <c r="AA11" s="3"/>
      <c r="AB11" s="926"/>
      <c r="AC11" s="927"/>
      <c r="AD11" s="3"/>
      <c r="AE11" s="3"/>
      <c r="AF11" s="3"/>
      <c r="AG11" s="3"/>
      <c r="AH11" s="3"/>
    </row>
    <row r="12" spans="1:34" s="617" customFormat="1" x14ac:dyDescent="0.2">
      <c r="A12" s="618"/>
      <c r="B12" s="654" t="s">
        <v>221</v>
      </c>
      <c r="C12" s="672">
        <v>32</v>
      </c>
      <c r="D12" s="700">
        <v>6</v>
      </c>
      <c r="E12" s="672">
        <f>30+6</f>
        <v>36</v>
      </c>
      <c r="F12" s="701">
        <v>6</v>
      </c>
      <c r="G12" s="742">
        <v>36</v>
      </c>
      <c r="H12" s="663">
        <v>4</v>
      </c>
      <c r="I12" s="667">
        <v>37</v>
      </c>
      <c r="J12" s="665">
        <v>10</v>
      </c>
      <c r="K12" s="770">
        <v>37</v>
      </c>
      <c r="L12" s="665">
        <v>7</v>
      </c>
      <c r="M12" s="770">
        <v>41</v>
      </c>
      <c r="N12" s="663">
        <v>11</v>
      </c>
      <c r="O12" s="667">
        <v>49</v>
      </c>
      <c r="P12" s="663">
        <v>6</v>
      </c>
      <c r="Q12" s="667">
        <v>59</v>
      </c>
      <c r="R12" s="663">
        <v>8</v>
      </c>
      <c r="S12" s="667">
        <v>60</v>
      </c>
      <c r="T12" s="663">
        <v>13</v>
      </c>
      <c r="U12" s="667">
        <f>72+1</f>
        <v>73</v>
      </c>
      <c r="V12" s="663">
        <v>16</v>
      </c>
      <c r="W12" s="667">
        <v>63</v>
      </c>
      <c r="X12" s="663">
        <v>14</v>
      </c>
      <c r="Y12" s="667">
        <v>83</v>
      </c>
      <c r="Z12" s="1646"/>
      <c r="AA12" s="1032"/>
      <c r="AB12" s="926">
        <f>AVERAGE(W12,U12,Q12,S12,Y12)</f>
        <v>67.599999999999994</v>
      </c>
      <c r="AC12" s="928">
        <f>AVERAGE(X12,V12,R12,T12,P12)</f>
        <v>11.4</v>
      </c>
      <c r="AD12" s="618"/>
      <c r="AE12" s="618"/>
      <c r="AF12" s="618"/>
      <c r="AG12" s="618"/>
      <c r="AH12" s="618"/>
    </row>
    <row r="13" spans="1:34" s="617" customFormat="1" x14ac:dyDescent="0.2">
      <c r="A13" s="618"/>
      <c r="B13" s="669" t="s">
        <v>169</v>
      </c>
      <c r="C13" s="734">
        <v>2</v>
      </c>
      <c r="D13" s="703"/>
      <c r="E13" s="705">
        <v>3</v>
      </c>
      <c r="F13" s="704">
        <v>0</v>
      </c>
      <c r="G13" s="743">
        <v>5</v>
      </c>
      <c r="H13" s="729">
        <v>0</v>
      </c>
      <c r="I13" s="734">
        <v>2</v>
      </c>
      <c r="J13" s="730">
        <v>0</v>
      </c>
      <c r="K13" s="710">
        <v>1</v>
      </c>
      <c r="L13" s="730">
        <v>0</v>
      </c>
      <c r="M13" s="710">
        <v>1</v>
      </c>
      <c r="N13" s="729">
        <v>0</v>
      </c>
      <c r="O13" s="734">
        <v>2</v>
      </c>
      <c r="P13" s="729">
        <v>0</v>
      </c>
      <c r="Q13" s="734">
        <v>4</v>
      </c>
      <c r="R13" s="729">
        <v>0</v>
      </c>
      <c r="S13" s="734">
        <v>4</v>
      </c>
      <c r="T13" s="729">
        <v>0</v>
      </c>
      <c r="U13" s="734">
        <v>3</v>
      </c>
      <c r="V13" s="729">
        <v>0</v>
      </c>
      <c r="W13" s="734">
        <v>2</v>
      </c>
      <c r="X13" s="729">
        <v>0</v>
      </c>
      <c r="Y13" s="734">
        <v>3</v>
      </c>
      <c r="Z13" s="1647"/>
      <c r="AA13" s="1032"/>
      <c r="AB13" s="926">
        <f>AVERAGE(W13,U13,Q13,S13,Y13)</f>
        <v>3.2</v>
      </c>
      <c r="AC13" s="928">
        <f t="shared" ref="AC13:AC14" si="0">AVERAGE(X13,V13,R13,T13,P13)</f>
        <v>0</v>
      </c>
      <c r="AD13" s="618"/>
      <c r="AE13" s="618"/>
      <c r="AF13" s="618"/>
      <c r="AG13" s="618"/>
      <c r="AH13" s="618"/>
    </row>
    <row r="14" spans="1:34" s="617" customFormat="1" ht="13.5" thickBot="1" x14ac:dyDescent="0.25">
      <c r="A14" s="618"/>
      <c r="B14" s="737" t="s">
        <v>167</v>
      </c>
      <c r="C14" s="714">
        <v>11</v>
      </c>
      <c r="D14" s="712">
        <f>4</f>
        <v>4</v>
      </c>
      <c r="E14" s="714">
        <v>16</v>
      </c>
      <c r="F14" s="713">
        <v>4</v>
      </c>
      <c r="G14" s="744">
        <v>19</v>
      </c>
      <c r="H14" s="716">
        <v>9</v>
      </c>
      <c r="I14" s="717">
        <v>12</v>
      </c>
      <c r="J14" s="718">
        <v>7</v>
      </c>
      <c r="K14" s="715">
        <v>11</v>
      </c>
      <c r="L14" s="718">
        <v>1</v>
      </c>
      <c r="M14" s="715">
        <v>9</v>
      </c>
      <c r="N14" s="716">
        <v>8</v>
      </c>
      <c r="O14" s="717">
        <v>10</v>
      </c>
      <c r="P14" s="716">
        <v>2</v>
      </c>
      <c r="Q14" s="717">
        <v>17</v>
      </c>
      <c r="R14" s="716">
        <v>6</v>
      </c>
      <c r="S14" s="717">
        <v>20</v>
      </c>
      <c r="T14" s="716">
        <v>6</v>
      </c>
      <c r="U14" s="717">
        <v>22</v>
      </c>
      <c r="V14" s="716">
        <v>5</v>
      </c>
      <c r="W14" s="717">
        <v>26</v>
      </c>
      <c r="X14" s="716">
        <v>8</v>
      </c>
      <c r="Y14" s="717">
        <v>32</v>
      </c>
      <c r="Z14" s="1648"/>
      <c r="AA14" s="1032"/>
      <c r="AB14" s="929">
        <f>AVERAGE(W14,U14,Q14,S14,Y14)</f>
        <v>23.4</v>
      </c>
      <c r="AC14" s="1019">
        <f t="shared" si="0"/>
        <v>5.4</v>
      </c>
      <c r="AD14" s="618"/>
      <c r="AE14" s="618"/>
      <c r="AF14" s="618"/>
      <c r="AG14" s="618"/>
      <c r="AH14" s="618"/>
    </row>
    <row r="15" spans="1:34" ht="13.5" thickTop="1" x14ac:dyDescent="0.2">
      <c r="A15" s="3"/>
      <c r="B15" s="70" t="s">
        <v>170</v>
      </c>
      <c r="C15" s="33"/>
      <c r="D15" s="34"/>
      <c r="E15" s="33"/>
      <c r="F15" s="34"/>
      <c r="G15" s="133"/>
      <c r="H15" s="135"/>
      <c r="I15" s="133"/>
      <c r="J15" s="135"/>
      <c r="K15" s="133"/>
      <c r="L15" s="135"/>
      <c r="M15" s="133"/>
      <c r="N15" s="135"/>
      <c r="O15" s="133"/>
      <c r="P15" s="135"/>
      <c r="Q15" s="133"/>
      <c r="R15" s="135"/>
      <c r="S15" s="133"/>
      <c r="T15" s="135"/>
      <c r="U15" s="133"/>
      <c r="V15" s="135"/>
      <c r="W15" s="133"/>
      <c r="X15" s="135"/>
      <c r="Y15" s="133"/>
      <c r="Z15" s="135"/>
      <c r="AA15" s="3"/>
      <c r="AB15" s="3"/>
      <c r="AC15" s="578"/>
      <c r="AD15" s="3"/>
      <c r="AE15" s="3"/>
      <c r="AF15" s="3"/>
      <c r="AG15" s="3"/>
      <c r="AH15" s="3"/>
    </row>
    <row r="16" spans="1:34" ht="12" customHeight="1" thickBot="1" x14ac:dyDescent="0.25">
      <c r="A16" s="3"/>
      <c r="B16" s="3"/>
      <c r="C16" s="33"/>
      <c r="D16" s="34"/>
      <c r="E16" s="33"/>
      <c r="F16" s="34"/>
      <c r="G16" s="133"/>
      <c r="H16" s="135"/>
      <c r="I16" s="133"/>
      <c r="J16" s="135"/>
      <c r="K16" s="133"/>
      <c r="L16" s="135"/>
      <c r="M16" s="133"/>
      <c r="N16" s="135"/>
      <c r="O16" s="133"/>
      <c r="P16" s="135"/>
      <c r="Q16" s="133"/>
      <c r="R16" s="135"/>
      <c r="S16" s="133"/>
      <c r="T16" s="135"/>
      <c r="U16" s="133"/>
      <c r="V16" s="135"/>
      <c r="W16" s="133"/>
      <c r="X16" s="135"/>
      <c r="Y16" s="133"/>
      <c r="Z16" s="135"/>
      <c r="AA16" s="3"/>
      <c r="AB16" s="3"/>
      <c r="AC16" s="3"/>
      <c r="AD16" s="3"/>
      <c r="AE16" s="3" t="s">
        <v>29</v>
      </c>
      <c r="AF16" s="3"/>
      <c r="AG16" s="3"/>
      <c r="AH16" s="3"/>
    </row>
    <row r="17" spans="1:34" ht="14.25" thickTop="1" thickBot="1" x14ac:dyDescent="0.25">
      <c r="A17" s="3"/>
      <c r="B17" s="340"/>
      <c r="C17" s="2013" t="s">
        <v>49</v>
      </c>
      <c r="D17" s="2014"/>
      <c r="E17" s="2015" t="s">
        <v>50</v>
      </c>
      <c r="F17" s="2015"/>
      <c r="G17" s="2002" t="s">
        <v>141</v>
      </c>
      <c r="H17" s="1982"/>
      <c r="I17" s="1974" t="s">
        <v>152</v>
      </c>
      <c r="J17" s="1974"/>
      <c r="K17" s="2002" t="s">
        <v>154</v>
      </c>
      <c r="L17" s="1974"/>
      <c r="M17" s="2002" t="s">
        <v>171</v>
      </c>
      <c r="N17" s="1982"/>
      <c r="O17" s="1974" t="s">
        <v>227</v>
      </c>
      <c r="P17" s="1982"/>
      <c r="Q17" s="1974" t="s">
        <v>237</v>
      </c>
      <c r="R17" s="1982"/>
      <c r="S17" s="1974" t="s">
        <v>272</v>
      </c>
      <c r="T17" s="1982"/>
      <c r="U17" s="1974" t="s">
        <v>274</v>
      </c>
      <c r="V17" s="1982"/>
      <c r="W17" s="1974" t="s">
        <v>280</v>
      </c>
      <c r="X17" s="1982"/>
      <c r="Y17" s="1974" t="s">
        <v>290</v>
      </c>
      <c r="Z17" s="1975"/>
      <c r="AA17" s="3"/>
      <c r="AB17" s="2003" t="s">
        <v>213</v>
      </c>
      <c r="AC17" s="2004"/>
      <c r="AD17" s="3"/>
      <c r="AE17" s="3"/>
      <c r="AF17" s="3"/>
      <c r="AG17" s="3"/>
      <c r="AH17" s="3"/>
    </row>
    <row r="18" spans="1:34" x14ac:dyDescent="0.2">
      <c r="A18" s="3"/>
      <c r="B18" s="73" t="s">
        <v>7</v>
      </c>
      <c r="C18" s="54"/>
      <c r="D18" s="92"/>
      <c r="E18" s="30"/>
      <c r="F18" s="30"/>
      <c r="G18" s="243"/>
      <c r="H18" s="244"/>
      <c r="I18" s="138"/>
      <c r="J18" s="138"/>
      <c r="K18" s="243"/>
      <c r="L18" s="138"/>
      <c r="M18" s="243"/>
      <c r="N18" s="244"/>
      <c r="O18" s="138"/>
      <c r="P18" s="244"/>
      <c r="Q18" s="138"/>
      <c r="R18" s="244"/>
      <c r="S18" s="138"/>
      <c r="T18" s="244"/>
      <c r="U18" s="138"/>
      <c r="V18" s="244"/>
      <c r="W18" s="138"/>
      <c r="X18" s="244"/>
      <c r="Y18" s="138"/>
      <c r="Z18" s="140"/>
      <c r="AA18" s="3"/>
      <c r="AB18" s="831"/>
      <c r="AC18" s="930"/>
      <c r="AD18" s="3"/>
      <c r="AE18" s="3"/>
      <c r="AF18" s="3"/>
      <c r="AG18" s="3"/>
      <c r="AH18" s="3"/>
    </row>
    <row r="19" spans="1:34" x14ac:dyDescent="0.2">
      <c r="A19" s="3"/>
      <c r="B19" s="78" t="s">
        <v>8</v>
      </c>
      <c r="C19" s="184"/>
      <c r="D19" s="93"/>
      <c r="E19" s="31"/>
      <c r="F19" s="31"/>
      <c r="G19" s="239"/>
      <c r="H19" s="245"/>
      <c r="I19" s="139"/>
      <c r="J19" s="139"/>
      <c r="K19" s="239"/>
      <c r="L19" s="139"/>
      <c r="M19" s="239"/>
      <c r="N19" s="245"/>
      <c r="O19" s="139"/>
      <c r="P19" s="245"/>
      <c r="Q19" s="139"/>
      <c r="R19" s="245"/>
      <c r="S19" s="139"/>
      <c r="T19" s="245"/>
      <c r="U19" s="139"/>
      <c r="V19" s="245"/>
      <c r="W19" s="139" t="s">
        <v>29</v>
      </c>
      <c r="X19" s="245"/>
      <c r="Y19" s="139" t="s">
        <v>29</v>
      </c>
      <c r="Z19" s="141"/>
      <c r="AA19" s="3"/>
      <c r="AB19" s="831"/>
      <c r="AC19" s="930"/>
      <c r="AD19" s="3"/>
      <c r="AE19" s="3"/>
      <c r="AF19" s="3"/>
      <c r="AG19" s="3"/>
      <c r="AH19" s="3"/>
    </row>
    <row r="20" spans="1:34" x14ac:dyDescent="0.2">
      <c r="A20" s="3"/>
      <c r="B20" s="78" t="s">
        <v>9</v>
      </c>
      <c r="C20" s="184"/>
      <c r="D20" s="165">
        <v>9480</v>
      </c>
      <c r="E20" s="31"/>
      <c r="F20" s="171">
        <v>9762</v>
      </c>
      <c r="G20" s="239"/>
      <c r="H20" s="261">
        <v>9631</v>
      </c>
      <c r="I20" s="139"/>
      <c r="J20" s="183">
        <v>10589</v>
      </c>
      <c r="K20" s="239"/>
      <c r="L20" s="183">
        <v>10826</v>
      </c>
      <c r="M20" s="239"/>
      <c r="N20" s="261">
        <v>11497</v>
      </c>
      <c r="O20" s="139"/>
      <c r="P20" s="261">
        <v>11396</v>
      </c>
      <c r="Q20" s="139"/>
      <c r="R20" s="261">
        <v>11267</v>
      </c>
      <c r="S20" s="139"/>
      <c r="T20" s="261">
        <v>10931</v>
      </c>
      <c r="U20" s="139"/>
      <c r="V20" s="261">
        <v>10815</v>
      </c>
      <c r="W20" s="139"/>
      <c r="X20" s="261">
        <v>10940</v>
      </c>
      <c r="Y20" s="139"/>
      <c r="Z20" s="1649"/>
      <c r="AA20" s="3"/>
      <c r="AB20" s="24"/>
      <c r="AC20" s="947">
        <f t="shared" ref="AC20:AC23" si="1">AVERAGE(X20,V20,R20,T20,P20)</f>
        <v>11069.8</v>
      </c>
      <c r="AD20" s="3"/>
      <c r="AE20" s="3"/>
      <c r="AF20" s="3"/>
      <c r="AG20" s="3"/>
      <c r="AH20" s="3"/>
    </row>
    <row r="21" spans="1:34" x14ac:dyDescent="0.2">
      <c r="A21" s="3"/>
      <c r="B21" s="78" t="s">
        <v>10</v>
      </c>
      <c r="C21" s="184"/>
      <c r="D21" s="165">
        <v>434</v>
      </c>
      <c r="E21" s="31"/>
      <c r="F21" s="171">
        <v>440</v>
      </c>
      <c r="G21" s="239"/>
      <c r="H21" s="261">
        <v>436</v>
      </c>
      <c r="I21" s="139"/>
      <c r="J21" s="183">
        <v>359</v>
      </c>
      <c r="K21" s="239"/>
      <c r="L21" s="183">
        <v>474</v>
      </c>
      <c r="M21" s="239"/>
      <c r="N21" s="261">
        <v>500</v>
      </c>
      <c r="O21" s="139"/>
      <c r="P21" s="261">
        <v>672</v>
      </c>
      <c r="Q21" s="139"/>
      <c r="R21" s="261">
        <v>574</v>
      </c>
      <c r="S21" s="139"/>
      <c r="T21" s="261">
        <v>522</v>
      </c>
      <c r="U21" s="139"/>
      <c r="V21" s="261">
        <v>592</v>
      </c>
      <c r="W21" s="139"/>
      <c r="X21" s="261">
        <v>559</v>
      </c>
      <c r="Y21" s="139"/>
      <c r="Z21" s="1649"/>
      <c r="AA21" s="3"/>
      <c r="AB21" s="12"/>
      <c r="AC21" s="947">
        <f t="shared" si="1"/>
        <v>583.79999999999995</v>
      </c>
      <c r="AD21" s="3"/>
      <c r="AE21" s="3"/>
      <c r="AF21" s="3"/>
      <c r="AG21" s="3"/>
      <c r="AH21" s="3"/>
    </row>
    <row r="22" spans="1:34" x14ac:dyDescent="0.2">
      <c r="A22" s="3"/>
      <c r="B22" s="78" t="s">
        <v>11</v>
      </c>
      <c r="C22" s="184"/>
      <c r="D22" s="165">
        <v>144</v>
      </c>
      <c r="E22" s="31"/>
      <c r="F22" s="171">
        <v>123</v>
      </c>
      <c r="G22" s="239"/>
      <c r="H22" s="261">
        <v>287</v>
      </c>
      <c r="I22" s="139"/>
      <c r="J22" s="183">
        <v>219</v>
      </c>
      <c r="K22" s="239"/>
      <c r="L22" s="183">
        <v>162</v>
      </c>
      <c r="M22" s="239"/>
      <c r="N22" s="261">
        <v>155</v>
      </c>
      <c r="O22" s="139"/>
      <c r="P22" s="261">
        <v>223</v>
      </c>
      <c r="Q22" s="139"/>
      <c r="R22" s="261">
        <v>372</v>
      </c>
      <c r="S22" s="139"/>
      <c r="T22" s="261">
        <v>385</v>
      </c>
      <c r="U22" s="139"/>
      <c r="V22" s="261">
        <v>443</v>
      </c>
      <c r="W22" s="139"/>
      <c r="X22" s="261">
        <v>602</v>
      </c>
      <c r="Y22" s="139"/>
      <c r="Z22" s="1649"/>
      <c r="AA22" s="3"/>
      <c r="AB22" s="12"/>
      <c r="AC22" s="947">
        <f t="shared" si="1"/>
        <v>405</v>
      </c>
      <c r="AD22" s="3"/>
      <c r="AE22" s="3"/>
      <c r="AF22" s="3"/>
      <c r="AG22" s="3"/>
      <c r="AH22" s="3"/>
    </row>
    <row r="23" spans="1:34" x14ac:dyDescent="0.2">
      <c r="A23" s="3"/>
      <c r="B23" s="78" t="s">
        <v>12</v>
      </c>
      <c r="C23" s="184"/>
      <c r="D23" s="94">
        <v>0</v>
      </c>
      <c r="E23" s="31"/>
      <c r="F23" s="39">
        <v>0</v>
      </c>
      <c r="G23" s="239"/>
      <c r="H23" s="240">
        <v>1</v>
      </c>
      <c r="I23" s="139"/>
      <c r="J23" s="241">
        <v>0</v>
      </c>
      <c r="K23" s="239"/>
      <c r="L23" s="241">
        <v>0</v>
      </c>
      <c r="M23" s="239"/>
      <c r="N23" s="240">
        <v>0</v>
      </c>
      <c r="O23" s="139"/>
      <c r="P23" s="240">
        <v>0</v>
      </c>
      <c r="Q23" s="139"/>
      <c r="R23" s="240">
        <v>0</v>
      </c>
      <c r="S23" s="139"/>
      <c r="T23" s="240">
        <v>0</v>
      </c>
      <c r="U23" s="139"/>
      <c r="V23" s="240">
        <v>0</v>
      </c>
      <c r="W23" s="139"/>
      <c r="X23" s="240">
        <v>0</v>
      </c>
      <c r="Y23" s="139"/>
      <c r="Z23" s="1650"/>
      <c r="AA23" s="3"/>
      <c r="AB23" s="12"/>
      <c r="AC23" s="947">
        <f t="shared" si="1"/>
        <v>0</v>
      </c>
      <c r="AD23" s="3"/>
      <c r="AE23" s="3"/>
      <c r="AF23" s="3"/>
      <c r="AG23" s="3"/>
      <c r="AH23" s="3"/>
    </row>
    <row r="24" spans="1:34" ht="13.5" thickBot="1" x14ac:dyDescent="0.25">
      <c r="A24" s="3"/>
      <c r="B24" s="79" t="s">
        <v>13</v>
      </c>
      <c r="C24" s="185"/>
      <c r="D24" s="186">
        <f>SUM(D20:D23)</f>
        <v>10058</v>
      </c>
      <c r="E24" s="90"/>
      <c r="F24" s="58">
        <f>SUM(F20:F23)</f>
        <v>10325</v>
      </c>
      <c r="G24" s="246"/>
      <c r="H24" s="247">
        <f>SUM(H20:H23)</f>
        <v>10355</v>
      </c>
      <c r="I24" s="164"/>
      <c r="J24" s="242">
        <f>SUM(J20:J23)</f>
        <v>11167</v>
      </c>
      <c r="K24" s="246"/>
      <c r="L24" s="242">
        <f>SUM(L20:L23)</f>
        <v>11462</v>
      </c>
      <c r="M24" s="246"/>
      <c r="N24" s="247">
        <f>SUM(N20:N23)</f>
        <v>12152</v>
      </c>
      <c r="O24" s="164"/>
      <c r="P24" s="247">
        <f>SUM(P20:P23)</f>
        <v>12291</v>
      </c>
      <c r="Q24" s="164"/>
      <c r="R24" s="247">
        <f>SUM(R20:R23)</f>
        <v>12213</v>
      </c>
      <c r="S24" s="164"/>
      <c r="T24" s="247">
        <f>SUM(T20:T23)</f>
        <v>11838</v>
      </c>
      <c r="U24" s="164"/>
      <c r="V24" s="247">
        <f>SUM(V20:V23)</f>
        <v>11850</v>
      </c>
      <c r="W24" s="164"/>
      <c r="X24" s="247">
        <f>SUM(X20:X23)</f>
        <v>12101</v>
      </c>
      <c r="Y24" s="164"/>
      <c r="Z24" s="1651"/>
      <c r="AA24" s="3"/>
      <c r="AB24" s="946"/>
      <c r="AC24" s="1008">
        <f>AVERAGE(X24,V24,R24,T24,P24)</f>
        <v>12058.6</v>
      </c>
      <c r="AD24" s="3"/>
      <c r="AE24" s="3"/>
      <c r="AF24" s="3"/>
      <c r="AG24" s="3"/>
      <c r="AH24" s="3"/>
    </row>
    <row r="25" spans="1:34" ht="12" customHeight="1" thickTop="1" thickBot="1" x14ac:dyDescent="0.25">
      <c r="A25" s="930"/>
      <c r="B25" s="1334" t="s">
        <v>212</v>
      </c>
      <c r="C25" s="1992" t="s">
        <v>51</v>
      </c>
      <c r="D25" s="1997"/>
      <c r="E25" s="1992" t="s">
        <v>52</v>
      </c>
      <c r="F25" s="1997"/>
      <c r="G25" s="1989" t="s">
        <v>184</v>
      </c>
      <c r="H25" s="1981"/>
      <c r="I25" s="1989" t="s">
        <v>185</v>
      </c>
      <c r="J25" s="2005"/>
      <c r="K25" s="1989" t="s">
        <v>202</v>
      </c>
      <c r="L25" s="2005"/>
      <c r="M25" s="1991" t="s">
        <v>203</v>
      </c>
      <c r="N25" s="1981"/>
      <c r="O25" s="1970" t="s">
        <v>228</v>
      </c>
      <c r="P25" s="1981"/>
      <c r="Q25" s="1970" t="s">
        <v>238</v>
      </c>
      <c r="R25" s="1981"/>
      <c r="S25" s="1970" t="s">
        <v>273</v>
      </c>
      <c r="T25" s="1981"/>
      <c r="U25" s="1970" t="s">
        <v>275</v>
      </c>
      <c r="V25" s="2074"/>
      <c r="W25" s="1970" t="s">
        <v>281</v>
      </c>
      <c r="X25" s="1981"/>
      <c r="Y25" s="1970" t="s">
        <v>291</v>
      </c>
      <c r="Z25" s="1971"/>
      <c r="AA25" s="932"/>
      <c r="AB25" s="2009"/>
      <c r="AC25" s="2010"/>
      <c r="AD25" s="293"/>
      <c r="AE25" s="293"/>
      <c r="AF25" s="21"/>
    </row>
    <row r="26" spans="1:34" ht="12" customHeight="1" x14ac:dyDescent="0.2">
      <c r="A26" s="930"/>
      <c r="B26" s="933" t="s">
        <v>189</v>
      </c>
      <c r="C26" s="2016">
        <v>2.1999999999999999E-2</v>
      </c>
      <c r="D26" s="2017"/>
      <c r="E26" s="1995">
        <v>1.9E-2</v>
      </c>
      <c r="F26" s="1996"/>
      <c r="G26" s="1995">
        <v>3.4000000000000002E-2</v>
      </c>
      <c r="H26" s="1996"/>
      <c r="I26" s="1995">
        <v>3.1E-2</v>
      </c>
      <c r="J26" s="2006"/>
      <c r="K26" s="934"/>
      <c r="L26" s="935">
        <v>3.5999999999999997E-2</v>
      </c>
      <c r="M26" s="936"/>
      <c r="N26" s="1178">
        <v>2.9000000000000001E-2</v>
      </c>
      <c r="O26" s="1176"/>
      <c r="P26" s="1178">
        <v>3.6999999999999998E-2</v>
      </c>
      <c r="Q26" s="1271"/>
      <c r="R26" s="1178">
        <v>4.2999999999999997E-2</v>
      </c>
      <c r="S26" s="1271"/>
      <c r="T26" s="1178">
        <v>0.04</v>
      </c>
      <c r="U26" s="1271"/>
      <c r="V26" s="1178">
        <v>4.7E-2</v>
      </c>
      <c r="W26" s="1271"/>
      <c r="X26" s="1178">
        <v>4.8000000000000001E-2</v>
      </c>
      <c r="Y26" s="1271"/>
      <c r="Z26" s="1479">
        <v>5.0999999999999997E-2</v>
      </c>
      <c r="AA26" s="937"/>
      <c r="AB26" s="938"/>
      <c r="AC26" s="1048">
        <f t="shared" ref="AC26:AC28" si="2">AVERAGE(X26,V26,R26,T26,Z26)</f>
        <v>4.58E-2</v>
      </c>
      <c r="AD26" s="293"/>
      <c r="AE26" s="293"/>
      <c r="AF26" s="21"/>
    </row>
    <row r="27" spans="1:34" ht="12" customHeight="1" x14ac:dyDescent="0.2">
      <c r="A27" s="930"/>
      <c r="B27" s="940" t="s">
        <v>190</v>
      </c>
      <c r="C27" s="2018">
        <v>8.9999999999999993E-3</v>
      </c>
      <c r="D27" s="2019"/>
      <c r="E27" s="2000">
        <v>8.9999999999999993E-3</v>
      </c>
      <c r="F27" s="2001"/>
      <c r="G27" s="2000">
        <v>2.1000000000000001E-2</v>
      </c>
      <c r="H27" s="2001"/>
      <c r="I27" s="2000">
        <v>1.2999999999999999E-2</v>
      </c>
      <c r="J27" s="2011"/>
      <c r="K27" s="941"/>
      <c r="L27" s="942">
        <v>1.0999999999999999E-2</v>
      </c>
      <c r="M27" s="941"/>
      <c r="N27" s="1179">
        <v>8.9999999999999993E-3</v>
      </c>
      <c r="O27" s="1177"/>
      <c r="P27" s="1179">
        <v>0.01</v>
      </c>
      <c r="Q27" s="1272"/>
      <c r="R27" s="1179">
        <v>1.4999999999999999E-2</v>
      </c>
      <c r="S27" s="1272"/>
      <c r="T27" s="1179">
        <v>1.9E-2</v>
      </c>
      <c r="U27" s="1272"/>
      <c r="V27" s="1179">
        <v>1.9E-2</v>
      </c>
      <c r="W27" s="1272"/>
      <c r="X27" s="1179">
        <v>3.2000000000000001E-2</v>
      </c>
      <c r="Y27" s="1272"/>
      <c r="Z27" s="1480">
        <v>4.2000000000000003E-2</v>
      </c>
      <c r="AA27" s="937"/>
      <c r="AB27" s="938"/>
      <c r="AC27" s="1048">
        <f t="shared" si="2"/>
        <v>2.5399999999999999E-2</v>
      </c>
      <c r="AD27" s="293"/>
      <c r="AE27" s="293"/>
      <c r="AF27" s="21"/>
    </row>
    <row r="28" spans="1:34" ht="12.75" customHeight="1" thickBot="1" x14ac:dyDescent="0.25">
      <c r="A28" s="3"/>
      <c r="B28" s="943" t="s">
        <v>191</v>
      </c>
      <c r="C28" s="1998">
        <f>1-C26-C27</f>
        <v>0.96899999999999997</v>
      </c>
      <c r="D28" s="1999"/>
      <c r="E28" s="1998">
        <f>1-E26-E27</f>
        <v>0.97199999999999998</v>
      </c>
      <c r="F28" s="1999"/>
      <c r="G28" s="1998">
        <f>1-G26-G27</f>
        <v>0.94499999999999995</v>
      </c>
      <c r="H28" s="1999"/>
      <c r="I28" s="1998">
        <f>1-I26-I27</f>
        <v>0.95599999999999996</v>
      </c>
      <c r="J28" s="1999"/>
      <c r="K28" s="1998">
        <f>1-L26-L27</f>
        <v>0.95299999999999996</v>
      </c>
      <c r="L28" s="1999"/>
      <c r="M28" s="1998">
        <f>1-N26-N27</f>
        <v>0.96199999999999997</v>
      </c>
      <c r="N28" s="1999"/>
      <c r="O28" s="1998">
        <f>1-P26-P27</f>
        <v>0.95299999999999996</v>
      </c>
      <c r="P28" s="1999"/>
      <c r="Q28" s="1972">
        <f>1-R26-R27</f>
        <v>0.94199999999999995</v>
      </c>
      <c r="R28" s="1973"/>
      <c r="S28" s="1972">
        <f>1-T26-T27</f>
        <v>0.94099999999999995</v>
      </c>
      <c r="T28" s="1973"/>
      <c r="U28" s="1972">
        <f>1-V26-V27</f>
        <v>0.93399999999999994</v>
      </c>
      <c r="V28" s="1973"/>
      <c r="W28" s="1972">
        <f>1-X26-X27</f>
        <v>0.91999999999999993</v>
      </c>
      <c r="X28" s="1973"/>
      <c r="Y28" s="1972">
        <f>1-Z26-Z27</f>
        <v>0.90699999999999992</v>
      </c>
      <c r="Z28" s="1973"/>
      <c r="AA28" s="937"/>
      <c r="AB28" s="2007">
        <f t="shared" ref="AB28" si="3">AVERAGE(W28,U28,Q28,S28,Y28)</f>
        <v>0.92879999999999985</v>
      </c>
      <c r="AC28" s="2008" t="e">
        <f t="shared" si="2"/>
        <v>#DIV/0!</v>
      </c>
      <c r="AD28" s="1050"/>
      <c r="AE28" s="293"/>
      <c r="AF28" s="21"/>
    </row>
    <row r="29" spans="1:34" s="3" customFormat="1" thickTop="1" x14ac:dyDescent="0.2">
      <c r="B29" s="109"/>
      <c r="C29" s="110"/>
      <c r="D29" s="111"/>
      <c r="E29" s="110"/>
      <c r="F29" s="111"/>
      <c r="G29" s="146"/>
      <c r="H29" s="147"/>
      <c r="I29" s="146"/>
      <c r="J29" s="147"/>
      <c r="K29" s="146"/>
      <c r="L29" s="147"/>
      <c r="M29" s="146"/>
      <c r="N29" s="147"/>
      <c r="O29" s="146"/>
      <c r="P29" s="147"/>
      <c r="Q29" s="146"/>
      <c r="R29" s="147"/>
      <c r="S29" s="146"/>
      <c r="T29" s="147"/>
      <c r="U29" s="146"/>
      <c r="V29" s="147"/>
      <c r="W29" s="146"/>
      <c r="X29" s="147"/>
      <c r="Y29" s="146"/>
      <c r="Z29" s="147"/>
      <c r="AC29" s="578"/>
    </row>
    <row r="30" spans="1:34" s="3" customFormat="1" x14ac:dyDescent="0.2">
      <c r="A30" s="112" t="s">
        <v>68</v>
      </c>
      <c r="B30" s="96"/>
      <c r="C30" s="28"/>
      <c r="D30" s="28"/>
      <c r="E30" s="28"/>
      <c r="F30" s="28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</row>
    <row r="31" spans="1:34" s="3" customFormat="1" ht="13.5" thickBot="1" x14ac:dyDescent="0.25">
      <c r="A31" s="112"/>
      <c r="B31" s="96"/>
      <c r="C31" s="28"/>
      <c r="D31" s="28"/>
      <c r="E31" s="28"/>
      <c r="F31" s="28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</row>
    <row r="32" spans="1:34" s="3" customFormat="1" ht="14.25" thickTop="1" thickBot="1" x14ac:dyDescent="0.25">
      <c r="A32" s="2"/>
      <c r="B32" s="329" t="s">
        <v>69</v>
      </c>
      <c r="C32" s="2013" t="s">
        <v>49</v>
      </c>
      <c r="D32" s="2014"/>
      <c r="E32" s="2015" t="s">
        <v>50</v>
      </c>
      <c r="F32" s="2015"/>
      <c r="G32" s="2002" t="s">
        <v>141</v>
      </c>
      <c r="H32" s="1982"/>
      <c r="I32" s="1974" t="s">
        <v>152</v>
      </c>
      <c r="J32" s="1974"/>
      <c r="K32" s="2002" t="s">
        <v>154</v>
      </c>
      <c r="L32" s="1974"/>
      <c r="M32" s="2002" t="s">
        <v>171</v>
      </c>
      <c r="N32" s="1982"/>
      <c r="O32" s="1974" t="s">
        <v>227</v>
      </c>
      <c r="P32" s="1982"/>
      <c r="Q32" s="1974" t="s">
        <v>237</v>
      </c>
      <c r="R32" s="1982"/>
      <c r="S32" s="1974" t="s">
        <v>272</v>
      </c>
      <c r="T32" s="1982"/>
      <c r="U32" s="1974" t="s">
        <v>274</v>
      </c>
      <c r="V32" s="1982"/>
      <c r="W32" s="1974" t="s">
        <v>280</v>
      </c>
      <c r="X32" s="1982"/>
      <c r="Y32" s="1974" t="s">
        <v>290</v>
      </c>
      <c r="Z32" s="1975"/>
      <c r="AB32" s="2003" t="s">
        <v>213</v>
      </c>
      <c r="AC32" s="2004"/>
    </row>
    <row r="33" spans="1:34" s="3" customFormat="1" x14ac:dyDescent="0.2">
      <c r="A33" s="2"/>
      <c r="B33" s="330" t="s">
        <v>70</v>
      </c>
      <c r="C33" s="184"/>
      <c r="D33" s="93"/>
      <c r="E33" s="31"/>
      <c r="F33" s="31"/>
      <c r="G33" s="239"/>
      <c r="H33" s="245"/>
      <c r="I33" s="139"/>
      <c r="J33" s="139"/>
      <c r="K33" s="239"/>
      <c r="L33" s="139"/>
      <c r="M33" s="239"/>
      <c r="N33" s="245"/>
      <c r="O33" s="139"/>
      <c r="P33" s="245"/>
      <c r="Q33" s="139"/>
      <c r="R33" s="245"/>
      <c r="S33" s="139"/>
      <c r="T33" s="245"/>
      <c r="U33" s="139"/>
      <c r="V33" s="245"/>
      <c r="W33" s="139"/>
      <c r="X33" s="245"/>
      <c r="Y33" s="139"/>
      <c r="Z33" s="141"/>
      <c r="AB33" s="831"/>
      <c r="AC33" s="930"/>
    </row>
    <row r="34" spans="1:34" s="3" customFormat="1" x14ac:dyDescent="0.2">
      <c r="A34" s="2"/>
      <c r="B34" s="331" t="s">
        <v>71</v>
      </c>
      <c r="C34" s="54"/>
      <c r="D34" s="188">
        <v>702333</v>
      </c>
      <c r="E34" s="30"/>
      <c r="F34" s="205">
        <v>796823</v>
      </c>
      <c r="G34" s="243"/>
      <c r="H34" s="416">
        <v>886310</v>
      </c>
      <c r="I34" s="138"/>
      <c r="J34" s="451">
        <v>878103</v>
      </c>
      <c r="K34" s="243"/>
      <c r="L34" s="451">
        <v>661173</v>
      </c>
      <c r="M34" s="243"/>
      <c r="N34" s="416">
        <v>879199</v>
      </c>
      <c r="O34" s="138"/>
      <c r="P34" s="416">
        <v>883914</v>
      </c>
      <c r="Q34" s="138"/>
      <c r="R34" s="416">
        <v>896675</v>
      </c>
      <c r="S34" s="138"/>
      <c r="T34" s="416">
        <v>912395</v>
      </c>
      <c r="U34" s="138"/>
      <c r="V34" s="416">
        <v>895343</v>
      </c>
      <c r="W34" s="138"/>
      <c r="X34" s="416">
        <v>1059728</v>
      </c>
      <c r="Y34" s="138"/>
      <c r="Z34" s="294">
        <v>1102257</v>
      </c>
      <c r="AB34" s="24"/>
      <c r="AC34" s="947">
        <f t="shared" ref="AC34:AC37" si="4">AVERAGE(X34,V34,R34,T34,Z34)</f>
        <v>973279.6</v>
      </c>
    </row>
    <row r="35" spans="1:34" s="3" customFormat="1" x14ac:dyDescent="0.2">
      <c r="A35" s="2"/>
      <c r="B35" s="331" t="s">
        <v>247</v>
      </c>
      <c r="C35" s="54"/>
      <c r="D35" s="188"/>
      <c r="E35" s="30"/>
      <c r="F35" s="205"/>
      <c r="G35" s="243"/>
      <c r="H35" s="1439"/>
      <c r="I35" s="138"/>
      <c r="J35" s="451">
        <v>5000</v>
      </c>
      <c r="K35" s="243"/>
      <c r="L35" s="451">
        <v>5000</v>
      </c>
      <c r="M35" s="243"/>
      <c r="N35" s="416">
        <v>5000</v>
      </c>
      <c r="O35" s="138"/>
      <c r="P35" s="416">
        <v>5000</v>
      </c>
      <c r="Q35" s="138"/>
      <c r="R35" s="416">
        <v>5000</v>
      </c>
      <c r="S35" s="138"/>
      <c r="T35" s="416">
        <v>5000</v>
      </c>
      <c r="U35" s="138"/>
      <c r="V35" s="416">
        <v>5000</v>
      </c>
      <c r="W35" s="138"/>
      <c r="X35" s="416">
        <v>5000</v>
      </c>
      <c r="Y35" s="138"/>
      <c r="Z35" s="294">
        <v>5000</v>
      </c>
      <c r="AB35" s="24"/>
      <c r="AC35" s="947">
        <f t="shared" si="4"/>
        <v>5000</v>
      </c>
    </row>
    <row r="36" spans="1:34" s="3" customFormat="1" ht="36" x14ac:dyDescent="0.2">
      <c r="A36" s="2"/>
      <c r="B36" s="332" t="s">
        <v>83</v>
      </c>
      <c r="C36" s="184"/>
      <c r="D36" s="189">
        <v>132016</v>
      </c>
      <c r="E36" s="31"/>
      <c r="F36" s="206">
        <v>338948</v>
      </c>
      <c r="G36" s="239"/>
      <c r="H36" s="369">
        <v>410191</v>
      </c>
      <c r="I36" s="139"/>
      <c r="J36" s="347">
        <v>423361</v>
      </c>
      <c r="K36" s="239"/>
      <c r="L36" s="347">
        <v>604201</v>
      </c>
      <c r="M36" s="239"/>
      <c r="N36" s="369">
        <v>402638</v>
      </c>
      <c r="O36" s="139"/>
      <c r="P36" s="369">
        <v>402622</v>
      </c>
      <c r="Q36" s="139"/>
      <c r="R36" s="369">
        <v>404689</v>
      </c>
      <c r="S36" s="139"/>
      <c r="T36" s="369">
        <v>406204</v>
      </c>
      <c r="U36" s="139"/>
      <c r="V36" s="369">
        <v>459425</v>
      </c>
      <c r="W36" s="139"/>
      <c r="X36" s="369">
        <v>377802</v>
      </c>
      <c r="Y36" s="139"/>
      <c r="Z36" s="282">
        <v>376780</v>
      </c>
      <c r="AB36" s="12"/>
      <c r="AC36" s="947">
        <f t="shared" si="4"/>
        <v>404980</v>
      </c>
    </row>
    <row r="37" spans="1:34" s="3" customFormat="1" x14ac:dyDescent="0.2">
      <c r="A37" s="2"/>
      <c r="B37" s="333" t="s">
        <v>72</v>
      </c>
      <c r="C37" s="187"/>
      <c r="D37" s="190">
        <f>SUM(D34:D36)</f>
        <v>834349</v>
      </c>
      <c r="E37" s="90"/>
      <c r="F37" s="207">
        <f>SUM(F34:F36)</f>
        <v>1135771</v>
      </c>
      <c r="G37" s="262"/>
      <c r="H37" s="263">
        <f>SUM(H34:H36)</f>
        <v>1296501</v>
      </c>
      <c r="I37" s="250"/>
      <c r="J37" s="249">
        <f>SUM(J34:J36)</f>
        <v>1306464</v>
      </c>
      <c r="K37" s="262"/>
      <c r="L37" s="249">
        <f>SUM(L34:L36)</f>
        <v>1270374</v>
      </c>
      <c r="M37" s="262"/>
      <c r="N37" s="263">
        <f>SUM(N34:N36)</f>
        <v>1286837</v>
      </c>
      <c r="O37" s="250"/>
      <c r="P37" s="263">
        <f>SUM(P34:P36)</f>
        <v>1291536</v>
      </c>
      <c r="Q37" s="250"/>
      <c r="R37" s="263">
        <f>SUM(R34:R36)</f>
        <v>1306364</v>
      </c>
      <c r="S37" s="250"/>
      <c r="T37" s="263">
        <f>SUM(T34:T36)</f>
        <v>1323599</v>
      </c>
      <c r="U37" s="250"/>
      <c r="V37" s="263">
        <f>SUM(V34:V36)</f>
        <v>1359768</v>
      </c>
      <c r="W37" s="250"/>
      <c r="X37" s="263">
        <f>SUM(X34:X36)</f>
        <v>1442530</v>
      </c>
      <c r="Y37" s="250"/>
      <c r="Z37" s="149">
        <f>SUM(Z34:Z36)</f>
        <v>1484037</v>
      </c>
      <c r="AB37" s="12"/>
      <c r="AC37" s="1008">
        <f t="shared" si="4"/>
        <v>1383259.6</v>
      </c>
    </row>
    <row r="38" spans="1:34" s="3" customFormat="1" x14ac:dyDescent="0.2">
      <c r="A38" s="2"/>
      <c r="B38" s="330" t="s">
        <v>73</v>
      </c>
      <c r="C38" s="184"/>
      <c r="D38" s="189"/>
      <c r="E38" s="31"/>
      <c r="F38" s="206"/>
      <c r="G38" s="239"/>
      <c r="H38" s="369"/>
      <c r="I38" s="139"/>
      <c r="J38" s="347"/>
      <c r="K38" s="239"/>
      <c r="L38" s="347"/>
      <c r="M38" s="239"/>
      <c r="N38" s="369"/>
      <c r="O38" s="139"/>
      <c r="P38" s="369"/>
      <c r="Q38" s="139"/>
      <c r="R38" s="369"/>
      <c r="S38" s="139"/>
      <c r="T38" s="369"/>
      <c r="U38" s="139"/>
      <c r="V38" s="369"/>
      <c r="W38" s="139"/>
      <c r="X38" s="369"/>
      <c r="Y38" s="139"/>
      <c r="Z38" s="282"/>
      <c r="AB38" s="12"/>
      <c r="AC38" s="947"/>
    </row>
    <row r="39" spans="1:34" s="3" customFormat="1" x14ac:dyDescent="0.2">
      <c r="A39" s="2"/>
      <c r="B39" s="331" t="s">
        <v>71</v>
      </c>
      <c r="C39" s="184"/>
      <c r="D39" s="189"/>
      <c r="E39" s="31"/>
      <c r="F39" s="206"/>
      <c r="G39" s="239"/>
      <c r="H39" s="369"/>
      <c r="I39" s="139"/>
      <c r="J39" s="347"/>
      <c r="K39" s="239"/>
      <c r="L39" s="347"/>
      <c r="M39" s="239"/>
      <c r="N39" s="369"/>
      <c r="O39" s="139"/>
      <c r="P39" s="369"/>
      <c r="Q39" s="139"/>
      <c r="R39" s="369"/>
      <c r="S39" s="139"/>
      <c r="T39" s="369"/>
      <c r="U39" s="139"/>
      <c r="V39" s="369"/>
      <c r="W39" s="139"/>
      <c r="X39" s="369"/>
      <c r="Y39" s="139"/>
      <c r="Z39" s="282"/>
      <c r="AB39" s="12"/>
      <c r="AC39" s="947"/>
    </row>
    <row r="40" spans="1:34" s="3" customFormat="1" x14ac:dyDescent="0.2">
      <c r="A40" s="2"/>
      <c r="B40" s="331" t="s">
        <v>247</v>
      </c>
      <c r="C40" s="184"/>
      <c r="D40" s="189"/>
      <c r="E40" s="31"/>
      <c r="F40" s="206"/>
      <c r="G40" s="239"/>
      <c r="H40" s="369"/>
      <c r="I40" s="139"/>
      <c r="J40" s="347"/>
      <c r="K40" s="239"/>
      <c r="L40" s="347"/>
      <c r="M40" s="239"/>
      <c r="N40" s="369"/>
      <c r="O40" s="139"/>
      <c r="P40" s="369"/>
      <c r="Q40" s="139"/>
      <c r="R40" s="369"/>
      <c r="S40" s="139"/>
      <c r="T40" s="369"/>
      <c r="U40" s="139"/>
      <c r="V40" s="369"/>
      <c r="W40" s="139"/>
      <c r="X40" s="369"/>
      <c r="Y40" s="139"/>
      <c r="Z40" s="282"/>
      <c r="AB40" s="12"/>
      <c r="AC40" s="947"/>
    </row>
    <row r="41" spans="1:34" s="3" customFormat="1" ht="36" x14ac:dyDescent="0.2">
      <c r="A41" s="2"/>
      <c r="B41" s="332" t="s">
        <v>248</v>
      </c>
      <c r="C41" s="184"/>
      <c r="D41" s="189"/>
      <c r="E41" s="31"/>
      <c r="F41" s="206"/>
      <c r="G41" s="239"/>
      <c r="H41" s="369"/>
      <c r="I41" s="139"/>
      <c r="J41" s="347"/>
      <c r="K41" s="239"/>
      <c r="L41" s="347"/>
      <c r="M41" s="239"/>
      <c r="N41" s="369"/>
      <c r="O41" s="139"/>
      <c r="P41" s="369"/>
      <c r="Q41" s="139"/>
      <c r="R41" s="369"/>
      <c r="S41" s="139"/>
      <c r="T41" s="369"/>
      <c r="U41" s="139"/>
      <c r="V41" s="369"/>
      <c r="W41" s="139"/>
      <c r="X41" s="369"/>
      <c r="Y41" s="139"/>
      <c r="Z41" s="282"/>
      <c r="AB41" s="12"/>
      <c r="AC41" s="947"/>
    </row>
    <row r="42" spans="1:34" s="3" customFormat="1" x14ac:dyDescent="0.2">
      <c r="A42" s="2"/>
      <c r="B42" s="333" t="s">
        <v>74</v>
      </c>
      <c r="C42" s="187"/>
      <c r="D42" s="190">
        <f>SUM(D39:D41)</f>
        <v>0</v>
      </c>
      <c r="E42" s="90"/>
      <c r="F42" s="207">
        <f>SUM(F39:F41)</f>
        <v>0</v>
      </c>
      <c r="G42" s="262"/>
      <c r="H42" s="263">
        <f>SUM(H39:H41)</f>
        <v>0</v>
      </c>
      <c r="I42" s="250"/>
      <c r="J42" s="249">
        <f>SUM(J39:J41)</f>
        <v>0</v>
      </c>
      <c r="K42" s="262"/>
      <c r="L42" s="249">
        <f>SUM(L39:L41)</f>
        <v>0</v>
      </c>
      <c r="M42" s="262"/>
      <c r="N42" s="263">
        <f>SUM(N39:N41)</f>
        <v>0</v>
      </c>
      <c r="O42" s="250"/>
      <c r="P42" s="263">
        <f>SUM(P39:P41)</f>
        <v>0</v>
      </c>
      <c r="Q42" s="250"/>
      <c r="R42" s="263">
        <f>SUM(R39:R41)</f>
        <v>0</v>
      </c>
      <c r="S42" s="250"/>
      <c r="T42" s="263">
        <f>SUM(T39:T41)</f>
        <v>0</v>
      </c>
      <c r="U42" s="250"/>
      <c r="V42" s="263">
        <f>SUM(V39:V41)</f>
        <v>0</v>
      </c>
      <c r="W42" s="250"/>
      <c r="X42" s="263">
        <f>SUM(X39:X41)</f>
        <v>0</v>
      </c>
      <c r="Y42" s="250"/>
      <c r="Z42" s="149">
        <f>SUM(Z39:Z41)</f>
        <v>0</v>
      </c>
      <c r="AB42" s="12"/>
      <c r="AC42" s="1008">
        <f t="shared" ref="AC42" si="5">AVERAGE(X42,V42,R42,T42,Z42)</f>
        <v>0</v>
      </c>
    </row>
    <row r="43" spans="1:34" s="3" customFormat="1" ht="13.5" thickBot="1" x14ac:dyDescent="0.25">
      <c r="A43" s="2"/>
      <c r="B43" s="1328" t="s">
        <v>75</v>
      </c>
      <c r="C43" s="239"/>
      <c r="D43" s="263">
        <f>SUM(D37,D42)</f>
        <v>834349</v>
      </c>
      <c r="E43" s="31"/>
      <c r="F43" s="207">
        <f>SUM(F37,F42)</f>
        <v>1135771</v>
      </c>
      <c r="G43" s="239"/>
      <c r="H43" s="263">
        <f>SUM(H37,H42)</f>
        <v>1296501</v>
      </c>
      <c r="I43" s="139"/>
      <c r="J43" s="249">
        <f>SUM(J37,J42)</f>
        <v>1306464</v>
      </c>
      <c r="K43" s="239"/>
      <c r="L43" s="605">
        <f>SUM(L37,L42)</f>
        <v>1270374</v>
      </c>
      <c r="M43" s="239"/>
      <c r="N43" s="263">
        <f>SUM(N37,N42)</f>
        <v>1286837</v>
      </c>
      <c r="O43" s="139"/>
      <c r="P43" s="263">
        <f>SUM(P37,P42)</f>
        <v>1291536</v>
      </c>
      <c r="Q43" s="139"/>
      <c r="R43" s="263">
        <f>SUM(R37,R42)</f>
        <v>1306364</v>
      </c>
      <c r="S43" s="139"/>
      <c r="T43" s="263">
        <f>SUM(T37,T42)</f>
        <v>1323599</v>
      </c>
      <c r="U43" s="139"/>
      <c r="V43" s="263">
        <f>SUM(V37,V42)</f>
        <v>1359768</v>
      </c>
      <c r="W43" s="139"/>
      <c r="X43" s="263">
        <f>SUM(X37,X42)</f>
        <v>1442530</v>
      </c>
      <c r="Y43" s="139"/>
      <c r="Z43" s="149">
        <f>SUM(Z37,Z42)</f>
        <v>1484037</v>
      </c>
      <c r="AB43" s="948"/>
      <c r="AC43" s="1008">
        <f>AVERAGE(X43,V43,R43,T43,Z43)</f>
        <v>1383259.6</v>
      </c>
    </row>
    <row r="44" spans="1:34" s="3" customFormat="1" ht="12" x14ac:dyDescent="0.2">
      <c r="B44" s="586" t="s">
        <v>259</v>
      </c>
      <c r="C44" s="265"/>
      <c r="D44" s="248"/>
      <c r="E44" s="36"/>
      <c r="F44" s="36"/>
      <c r="G44" s="265"/>
      <c r="H44" s="248"/>
      <c r="I44" s="151"/>
      <c r="J44" s="151"/>
      <c r="K44" s="265"/>
      <c r="L44" s="1270"/>
      <c r="M44" s="265"/>
      <c r="N44" s="248"/>
      <c r="O44" s="151"/>
      <c r="P44" s="248"/>
      <c r="Q44" s="151"/>
      <c r="R44" s="248"/>
      <c r="S44" s="151"/>
      <c r="T44" s="248"/>
      <c r="U44" s="151"/>
      <c r="V44" s="248"/>
      <c r="W44" s="151"/>
      <c r="X44" s="248"/>
      <c r="Y44" s="151"/>
      <c r="Z44" s="152"/>
      <c r="AB44" s="831"/>
      <c r="AC44" s="978"/>
    </row>
    <row r="45" spans="1:34" x14ac:dyDescent="0.2">
      <c r="A45" s="3"/>
      <c r="B45" s="161" t="s">
        <v>14</v>
      </c>
      <c r="C45" s="272"/>
      <c r="D45" s="462">
        <f>234462+602531</f>
        <v>836993</v>
      </c>
      <c r="E45" s="38"/>
      <c r="F45" s="458">
        <v>894064</v>
      </c>
      <c r="G45" s="432"/>
      <c r="H45" s="433">
        <v>978714.5</v>
      </c>
      <c r="I45" s="463"/>
      <c r="J45" s="597">
        <v>888701.21</v>
      </c>
      <c r="K45" s="598"/>
      <c r="L45" s="1519">
        <f>35023+937777</f>
        <v>972800</v>
      </c>
      <c r="M45" s="598"/>
      <c r="N45" s="1520">
        <v>996106</v>
      </c>
      <c r="O45" s="600"/>
      <c r="P45" s="1520">
        <v>1011594</v>
      </c>
      <c r="Q45" s="525"/>
      <c r="R45" s="1140">
        <v>1008126</v>
      </c>
      <c r="S45" s="525"/>
      <c r="T45" s="1140">
        <v>1051118</v>
      </c>
      <c r="U45" s="525"/>
      <c r="V45" s="1140">
        <v>1110083</v>
      </c>
      <c r="W45" s="525"/>
      <c r="X45" s="1140">
        <v>1213905.75</v>
      </c>
      <c r="Y45" s="525"/>
      <c r="Z45" s="1568"/>
      <c r="AA45" s="3"/>
      <c r="AB45" s="24"/>
      <c r="AC45" s="949">
        <f>AVERAGE(X45,V45,R45,T45,P45)</f>
        <v>1078965.3500000001</v>
      </c>
      <c r="AD45" s="3"/>
      <c r="AE45" s="3"/>
      <c r="AF45" s="3"/>
      <c r="AG45" s="3"/>
      <c r="AH45" s="3"/>
    </row>
    <row r="46" spans="1:34" ht="13.5" thickBot="1" x14ac:dyDescent="0.25">
      <c r="A46" s="3"/>
      <c r="B46" s="1265" t="s">
        <v>15</v>
      </c>
      <c r="C46" s="268"/>
      <c r="D46" s="236">
        <v>18847</v>
      </c>
      <c r="E46" s="40"/>
      <c r="F46" s="487">
        <v>30629</v>
      </c>
      <c r="G46" s="596"/>
      <c r="H46" s="489">
        <v>42685</v>
      </c>
      <c r="I46" s="237"/>
      <c r="J46" s="487">
        <v>72551</v>
      </c>
      <c r="K46" s="596"/>
      <c r="L46" s="826">
        <f>62865</f>
        <v>62865</v>
      </c>
      <c r="M46" s="268"/>
      <c r="N46" s="509">
        <f>128242</f>
        <v>128242</v>
      </c>
      <c r="O46" s="237"/>
      <c r="P46" s="545">
        <v>15730</v>
      </c>
      <c r="Q46" s="1481"/>
      <c r="R46" s="1266">
        <v>70001.759999999995</v>
      </c>
      <c r="S46" s="1481"/>
      <c r="T46" s="1266">
        <f>11889.01</f>
        <v>11889.01</v>
      </c>
      <c r="U46" s="1481"/>
      <c r="V46" s="1266">
        <v>9951</v>
      </c>
      <c r="W46" s="1481"/>
      <c r="X46" s="1266">
        <v>115740.09</v>
      </c>
      <c r="Y46" s="1481"/>
      <c r="Z46" s="1576"/>
      <c r="AA46" s="3"/>
      <c r="AB46" s="63"/>
      <c r="AC46" s="949">
        <f>AVERAGE(X46,V46,R46,T46,P46)</f>
        <v>44662.371999999996</v>
      </c>
      <c r="AD46" s="3"/>
      <c r="AE46" s="3"/>
      <c r="AF46" s="3"/>
      <c r="AG46" s="3"/>
      <c r="AH46" s="3"/>
    </row>
    <row r="47" spans="1:34" x14ac:dyDescent="0.2">
      <c r="A47" s="3"/>
      <c r="B47" s="471"/>
      <c r="C47" s="308" t="s">
        <v>133</v>
      </c>
      <c r="D47" s="417" t="s">
        <v>139</v>
      </c>
      <c r="E47" s="166" t="s">
        <v>133</v>
      </c>
      <c r="F47" s="84" t="s">
        <v>139</v>
      </c>
      <c r="G47" s="380" t="s">
        <v>133</v>
      </c>
      <c r="H47" s="84" t="s">
        <v>139</v>
      </c>
      <c r="I47" s="380" t="s">
        <v>133</v>
      </c>
      <c r="J47" s="84" t="s">
        <v>139</v>
      </c>
      <c r="K47" s="380" t="s">
        <v>133</v>
      </c>
      <c r="L47" s="84" t="s">
        <v>139</v>
      </c>
      <c r="M47" s="386" t="s">
        <v>133</v>
      </c>
      <c r="N47" s="417" t="s">
        <v>139</v>
      </c>
      <c r="O47" s="352" t="s">
        <v>133</v>
      </c>
      <c r="P47" s="417" t="s">
        <v>139</v>
      </c>
      <c r="Q47" s="84" t="s">
        <v>133</v>
      </c>
      <c r="R47" s="194" t="s">
        <v>139</v>
      </c>
      <c r="S47" s="84" t="s">
        <v>133</v>
      </c>
      <c r="T47" s="194" t="s">
        <v>139</v>
      </c>
      <c r="U47" s="84" t="s">
        <v>133</v>
      </c>
      <c r="V47" s="194" t="s">
        <v>139</v>
      </c>
      <c r="W47" s="352" t="s">
        <v>133</v>
      </c>
      <c r="X47" s="417" t="s">
        <v>139</v>
      </c>
      <c r="Y47" s="84" t="s">
        <v>133</v>
      </c>
      <c r="Z47" s="84" t="s">
        <v>139</v>
      </c>
      <c r="AA47" s="955"/>
      <c r="AB47" s="323" t="s">
        <v>133</v>
      </c>
      <c r="AC47" s="295" t="s">
        <v>139</v>
      </c>
      <c r="AD47" s="3"/>
      <c r="AE47" s="3"/>
      <c r="AF47" s="3"/>
      <c r="AG47" s="3"/>
      <c r="AH47" s="3"/>
    </row>
    <row r="48" spans="1:34" s="3" customFormat="1" ht="11.45" customHeight="1" x14ac:dyDescent="0.2">
      <c r="B48" s="1329" t="s">
        <v>67</v>
      </c>
      <c r="C48" s="476">
        <v>13</v>
      </c>
      <c r="D48" s="1140">
        <v>937190</v>
      </c>
      <c r="E48" s="108">
        <v>10</v>
      </c>
      <c r="F48" s="522">
        <v>811305</v>
      </c>
      <c r="G48" s="476">
        <v>12</v>
      </c>
      <c r="H48" s="439">
        <v>2975852</v>
      </c>
      <c r="I48" s="477">
        <v>7</v>
      </c>
      <c r="J48" s="252">
        <v>336272</v>
      </c>
      <c r="K48" s="476">
        <v>6</v>
      </c>
      <c r="L48" s="252">
        <v>287442</v>
      </c>
      <c r="M48" s="532">
        <v>7</v>
      </c>
      <c r="N48" s="510">
        <v>1029187</v>
      </c>
      <c r="O48" s="532">
        <v>14</v>
      </c>
      <c r="P48" s="510">
        <v>1758023</v>
      </c>
      <c r="Q48" s="532">
        <v>10</v>
      </c>
      <c r="R48" s="510">
        <v>1012125</v>
      </c>
      <c r="S48" s="532">
        <v>9</v>
      </c>
      <c r="T48" s="510">
        <v>748723</v>
      </c>
      <c r="U48" s="532">
        <v>10</v>
      </c>
      <c r="V48" s="510">
        <v>718352</v>
      </c>
      <c r="W48" s="532">
        <v>10</v>
      </c>
      <c r="X48" s="510">
        <v>977742</v>
      </c>
      <c r="Y48" s="1445"/>
      <c r="Z48" s="1482"/>
      <c r="AA48" s="955"/>
      <c r="AB48" s="108">
        <f>AVERAGE(W48,U48,Q48,S48,O48)</f>
        <v>10.6</v>
      </c>
      <c r="AC48" s="951">
        <f>AVERAGE(X48,V48,R48,T48,P48)</f>
        <v>1042993</v>
      </c>
    </row>
    <row r="49" spans="1:34" s="3" customFormat="1" ht="11.45" customHeight="1" x14ac:dyDescent="0.2">
      <c r="B49" s="80"/>
      <c r="C49" s="916"/>
      <c r="D49" s="1136"/>
      <c r="E49" s="838"/>
      <c r="F49" s="306"/>
      <c r="G49" s="551"/>
      <c r="H49" s="418"/>
      <c r="I49" s="255"/>
      <c r="J49" s="528"/>
      <c r="K49" s="551"/>
      <c r="L49" s="528"/>
      <c r="M49" s="530"/>
      <c r="N49" s="545"/>
      <c r="O49" s="530"/>
      <c r="P49" s="545"/>
      <c r="Q49" s="530"/>
      <c r="R49" s="545"/>
      <c r="S49" s="530"/>
      <c r="T49" s="545"/>
      <c r="U49" s="530"/>
      <c r="V49" s="545"/>
      <c r="W49" s="530"/>
      <c r="X49" s="545"/>
      <c r="Y49" s="1446"/>
      <c r="Z49" s="1483"/>
      <c r="AA49" s="955"/>
      <c r="AB49" s="1013"/>
      <c r="AC49" s="949"/>
      <c r="AF49" s="3" t="s">
        <v>29</v>
      </c>
    </row>
    <row r="50" spans="1:34" s="3" customFormat="1" thickBot="1" x14ac:dyDescent="0.25">
      <c r="B50" s="167" t="s">
        <v>16</v>
      </c>
      <c r="C50" s="913">
        <v>3</v>
      </c>
      <c r="D50" s="1137">
        <v>265277</v>
      </c>
      <c r="E50" s="839">
        <v>3</v>
      </c>
      <c r="F50" s="69">
        <v>359232.3</v>
      </c>
      <c r="G50" s="552">
        <v>5</v>
      </c>
      <c r="H50" s="524">
        <v>262132</v>
      </c>
      <c r="I50" s="550">
        <v>2</v>
      </c>
      <c r="J50" s="253">
        <v>38500</v>
      </c>
      <c r="K50" s="552">
        <v>2</v>
      </c>
      <c r="L50" s="253">
        <v>44250</v>
      </c>
      <c r="M50" s="552">
        <v>2</v>
      </c>
      <c r="N50" s="509">
        <v>187153</v>
      </c>
      <c r="O50" s="552">
        <v>3</v>
      </c>
      <c r="P50" s="509">
        <v>288128</v>
      </c>
      <c r="Q50" s="552">
        <v>3</v>
      </c>
      <c r="R50" s="509">
        <v>172352</v>
      </c>
      <c r="S50" s="552">
        <v>7</v>
      </c>
      <c r="T50" s="509">
        <v>486811</v>
      </c>
      <c r="U50" s="552">
        <v>5</v>
      </c>
      <c r="V50" s="509">
        <v>162184</v>
      </c>
      <c r="W50" s="552">
        <v>4</v>
      </c>
      <c r="X50" s="509">
        <v>229475</v>
      </c>
      <c r="Y50" s="1447"/>
      <c r="Z50" s="1484"/>
      <c r="AA50" s="955"/>
      <c r="AB50" s="839">
        <f>AVERAGE(W50,U50,Q50,S50,O50)</f>
        <v>4.4000000000000004</v>
      </c>
      <c r="AC50" s="1009">
        <f>AVERAGE(X50,V50,R50,T50,P50)</f>
        <v>267790</v>
      </c>
    </row>
    <row r="51" spans="1:34" s="3" customFormat="1" thickTop="1" x14ac:dyDescent="0.2">
      <c r="B51" s="81" t="s">
        <v>84</v>
      </c>
      <c r="C51" s="199"/>
      <c r="D51" s="209"/>
      <c r="E51" s="45"/>
      <c r="F51" s="323"/>
      <c r="G51" s="269"/>
      <c r="H51" s="419"/>
      <c r="I51" s="156"/>
      <c r="J51" s="307"/>
      <c r="K51" s="269"/>
      <c r="L51" s="307"/>
      <c r="M51" s="269"/>
      <c r="N51" s="419"/>
      <c r="O51" s="156"/>
      <c r="P51" s="419"/>
      <c r="Q51" s="156"/>
      <c r="R51" s="419"/>
      <c r="S51" s="156"/>
      <c r="T51" s="419"/>
      <c r="U51" s="156"/>
      <c r="V51" s="419"/>
      <c r="W51" s="156"/>
      <c r="X51" s="419"/>
      <c r="Y51" s="156"/>
      <c r="Z51" s="158"/>
      <c r="AA51" s="955"/>
      <c r="AB51" s="109"/>
      <c r="AC51" s="1030"/>
    </row>
    <row r="52" spans="1:34" s="3" customFormat="1" ht="12" x14ac:dyDescent="0.2">
      <c r="B52" s="337" t="s">
        <v>35</v>
      </c>
      <c r="C52" s="201"/>
      <c r="D52" s="210"/>
      <c r="E52" s="97"/>
      <c r="F52" s="34"/>
      <c r="G52" s="271"/>
      <c r="H52" s="420"/>
      <c r="I52" s="157"/>
      <c r="J52" s="135"/>
      <c r="K52" s="271"/>
      <c r="L52" s="135"/>
      <c r="M52" s="271"/>
      <c r="N52" s="420"/>
      <c r="O52" s="157"/>
      <c r="P52" s="420"/>
      <c r="Q52" s="157"/>
      <c r="R52" s="420"/>
      <c r="S52" s="157"/>
      <c r="T52" s="420"/>
      <c r="U52" s="157"/>
      <c r="V52" s="420"/>
      <c r="W52" s="157"/>
      <c r="X52" s="420"/>
      <c r="Y52" s="157"/>
      <c r="Z52" s="287"/>
      <c r="AA52" s="955"/>
      <c r="AB52" s="720"/>
      <c r="AC52" s="1011"/>
    </row>
    <row r="53" spans="1:34" s="3" customFormat="1" ht="12" x14ac:dyDescent="0.2">
      <c r="B53" s="338" t="s">
        <v>85</v>
      </c>
      <c r="C53" s="202"/>
      <c r="D53" s="232">
        <v>472735.5</v>
      </c>
      <c r="E53" s="35"/>
      <c r="F53" s="345">
        <v>70160.039999999994</v>
      </c>
      <c r="G53" s="272"/>
      <c r="H53" s="503">
        <v>88285.02</v>
      </c>
      <c r="I53" s="254"/>
      <c r="J53" s="548">
        <v>97946.43</v>
      </c>
      <c r="K53" s="272"/>
      <c r="L53" s="508">
        <v>251953.39</v>
      </c>
      <c r="M53" s="272"/>
      <c r="N53" s="548">
        <v>92501</v>
      </c>
      <c r="O53" s="254"/>
      <c r="P53" s="548">
        <v>146495</v>
      </c>
      <c r="Q53" s="254"/>
      <c r="R53" s="548">
        <v>346692</v>
      </c>
      <c r="S53" s="254"/>
      <c r="T53" s="548">
        <v>234712.71</v>
      </c>
      <c r="U53" s="254"/>
      <c r="V53" s="548">
        <v>127829.93</v>
      </c>
      <c r="W53" s="254"/>
      <c r="X53" s="548">
        <v>368327.36</v>
      </c>
      <c r="Y53" s="254"/>
      <c r="Z53" s="1581"/>
      <c r="AA53" s="955"/>
      <c r="AB53" s="1013"/>
      <c r="AC53" s="949">
        <f t="shared" ref="AC53:AC54" si="6">AVERAGE(X53,V53,R53,T53,P53)</f>
        <v>244811.4</v>
      </c>
    </row>
    <row r="54" spans="1:34" s="3" customFormat="1" thickBot="1" x14ac:dyDescent="0.25">
      <c r="B54" s="339" t="s">
        <v>86</v>
      </c>
      <c r="C54" s="204"/>
      <c r="D54" s="211">
        <v>570762.5</v>
      </c>
      <c r="E54" s="37"/>
      <c r="F54" s="324">
        <v>621765.01</v>
      </c>
      <c r="G54" s="274"/>
      <c r="H54" s="536">
        <v>625260.31999999995</v>
      </c>
      <c r="I54" s="274"/>
      <c r="J54" s="556">
        <v>697443.02</v>
      </c>
      <c r="K54" s="274"/>
      <c r="L54" s="536">
        <v>695800.87</v>
      </c>
      <c r="M54" s="274"/>
      <c r="N54" s="1236">
        <v>548806.11</v>
      </c>
      <c r="O54" s="260"/>
      <c r="P54" s="1236">
        <v>583137</v>
      </c>
      <c r="Q54" s="260"/>
      <c r="R54" s="1236">
        <v>678551</v>
      </c>
      <c r="S54" s="260"/>
      <c r="T54" s="1236">
        <v>675507.66</v>
      </c>
      <c r="U54" s="260"/>
      <c r="V54" s="1236">
        <v>704665.75</v>
      </c>
      <c r="W54" s="260"/>
      <c r="X54" s="1236">
        <v>804374.64</v>
      </c>
      <c r="Y54" s="260"/>
      <c r="Z54" s="1582"/>
      <c r="AB54" s="1015"/>
      <c r="AC54" s="1024">
        <f t="shared" si="6"/>
        <v>689247.21000000008</v>
      </c>
    </row>
    <row r="55" spans="1:34" ht="13.5" thickTop="1" x14ac:dyDescent="0.2">
      <c r="A55" s="3"/>
      <c r="B55" s="96"/>
      <c r="C55" s="97"/>
      <c r="D55" s="98"/>
      <c r="E55" s="97"/>
      <c r="F55" s="34"/>
      <c r="G55" s="157"/>
      <c r="H55" s="135"/>
      <c r="I55" s="157"/>
      <c r="J55" s="429"/>
      <c r="K55" s="157"/>
      <c r="L55" s="429"/>
      <c r="M55" s="157"/>
      <c r="N55" s="429"/>
      <c r="O55" s="157"/>
      <c r="P55" s="429"/>
      <c r="Q55" s="157"/>
      <c r="R55" s="429"/>
      <c r="S55" s="157"/>
      <c r="T55" s="429"/>
      <c r="U55" s="157"/>
      <c r="V55" s="429"/>
      <c r="W55" s="157"/>
      <c r="X55" s="429"/>
      <c r="Y55" s="157"/>
      <c r="Z55" s="429"/>
      <c r="AA55" s="3"/>
      <c r="AB55" s="3"/>
      <c r="AC55" s="3"/>
      <c r="AD55" s="3"/>
      <c r="AE55" s="3"/>
      <c r="AF55" s="3"/>
      <c r="AG55" s="3"/>
      <c r="AH55" s="3"/>
    </row>
    <row r="56" spans="1:34" x14ac:dyDescent="0.2">
      <c r="A56" s="2" t="s">
        <v>79</v>
      </c>
      <c r="B56" s="96"/>
      <c r="C56" s="97"/>
      <c r="D56" s="98"/>
      <c r="E56" s="97"/>
      <c r="F56" s="34"/>
      <c r="G56" s="157"/>
      <c r="H56" s="135"/>
      <c r="I56" s="157"/>
      <c r="J56" s="135"/>
      <c r="K56" s="157"/>
      <c r="L56" s="135"/>
      <c r="M56" s="157"/>
      <c r="N56" s="135"/>
      <c r="O56" s="157"/>
      <c r="P56" s="135"/>
      <c r="Q56" s="157"/>
      <c r="R56" s="135"/>
      <c r="S56" s="157"/>
      <c r="T56" s="135"/>
      <c r="U56" s="157"/>
      <c r="V56" s="135"/>
      <c r="W56" s="157"/>
      <c r="X56" s="135"/>
      <c r="Y56" s="157"/>
      <c r="Z56" s="135"/>
      <c r="AA56" s="3"/>
      <c r="AB56" s="3"/>
      <c r="AC56" s="3"/>
      <c r="AD56" s="3"/>
      <c r="AE56" s="3"/>
      <c r="AF56" s="3"/>
      <c r="AG56" s="3"/>
      <c r="AH56" s="3"/>
    </row>
    <row r="57" spans="1:34" ht="13.5" thickBot="1" x14ac:dyDescent="0.25">
      <c r="A57" s="3"/>
      <c r="B57" s="96"/>
      <c r="C57" s="97"/>
      <c r="D57" s="98"/>
      <c r="E57" s="97"/>
      <c r="F57" s="34"/>
      <c r="G57" s="157"/>
      <c r="H57" s="135"/>
      <c r="I57" s="157"/>
      <c r="J57" s="135"/>
      <c r="K57" s="157"/>
      <c r="L57" s="135"/>
      <c r="M57" s="157"/>
      <c r="N57" s="135"/>
      <c r="O57" s="157"/>
      <c r="P57" s="135"/>
      <c r="Q57" s="157"/>
      <c r="R57" s="135"/>
      <c r="S57" s="157"/>
      <c r="T57" s="135"/>
      <c r="U57" s="157"/>
      <c r="V57" s="135"/>
      <c r="W57" s="157"/>
      <c r="X57" s="135"/>
      <c r="Y57" s="157"/>
      <c r="Z57" s="135"/>
      <c r="AA57" s="3"/>
      <c r="AB57" s="3"/>
      <c r="AC57" s="3"/>
      <c r="AD57" s="3"/>
      <c r="AE57" s="3"/>
      <c r="AF57" s="3"/>
      <c r="AG57" s="3"/>
      <c r="AH57" s="3"/>
    </row>
    <row r="58" spans="1:34" s="3" customFormat="1" ht="14.25" customHeight="1" thickTop="1" thickBot="1" x14ac:dyDescent="0.25">
      <c r="B58" s="340"/>
      <c r="C58" s="2013" t="s">
        <v>49</v>
      </c>
      <c r="D58" s="2014"/>
      <c r="E58" s="2015" t="s">
        <v>50</v>
      </c>
      <c r="F58" s="2015"/>
      <c r="G58" s="2002" t="s">
        <v>141</v>
      </c>
      <c r="H58" s="1982"/>
      <c r="I58" s="1974" t="s">
        <v>152</v>
      </c>
      <c r="J58" s="1974"/>
      <c r="K58" s="2002" t="s">
        <v>154</v>
      </c>
      <c r="L58" s="1974"/>
      <c r="M58" s="2002" t="s">
        <v>171</v>
      </c>
      <c r="N58" s="1982"/>
      <c r="O58" s="1974" t="s">
        <v>227</v>
      </c>
      <c r="P58" s="1982"/>
      <c r="Q58" s="1974" t="s">
        <v>237</v>
      </c>
      <c r="R58" s="1982"/>
      <c r="S58" s="1974" t="s">
        <v>272</v>
      </c>
      <c r="T58" s="1982"/>
      <c r="U58" s="1974" t="s">
        <v>274</v>
      </c>
      <c r="V58" s="1982"/>
      <c r="W58" s="1974" t="s">
        <v>280</v>
      </c>
      <c r="X58" s="1982"/>
      <c r="Y58" s="1974" t="s">
        <v>290</v>
      </c>
      <c r="Z58" s="1975"/>
      <c r="AB58" s="2003" t="s">
        <v>213</v>
      </c>
      <c r="AC58" s="2004"/>
    </row>
    <row r="59" spans="1:34" s="3" customFormat="1" ht="12" x14ac:dyDescent="0.2">
      <c r="B59" s="73" t="s">
        <v>53</v>
      </c>
      <c r="C59" s="54"/>
      <c r="D59" s="92"/>
      <c r="E59" s="30"/>
      <c r="F59" s="30"/>
      <c r="G59" s="243"/>
      <c r="H59" s="244"/>
      <c r="I59" s="138"/>
      <c r="J59" s="138"/>
      <c r="K59" s="243"/>
      <c r="L59" s="138"/>
      <c r="M59" s="243"/>
      <c r="N59" s="244"/>
      <c r="O59" s="138"/>
      <c r="P59" s="244"/>
      <c r="Q59" s="138"/>
      <c r="R59" s="244"/>
      <c r="S59" s="138"/>
      <c r="T59" s="244"/>
      <c r="U59" s="138"/>
      <c r="V59" s="244"/>
      <c r="W59" s="138"/>
      <c r="X59" s="244"/>
      <c r="Y59" s="138"/>
      <c r="Z59" s="140"/>
      <c r="AB59" s="831"/>
      <c r="AC59" s="930"/>
    </row>
    <row r="60" spans="1:34" s="3" customFormat="1" ht="12" x14ac:dyDescent="0.2">
      <c r="B60" s="74" t="s">
        <v>54</v>
      </c>
      <c r="C60" s="184"/>
      <c r="D60" s="165"/>
      <c r="E60" s="31"/>
      <c r="F60" s="171"/>
      <c r="G60" s="239"/>
      <c r="H60" s="261"/>
      <c r="I60" s="139"/>
      <c r="J60" s="183"/>
      <c r="K60" s="239"/>
      <c r="L60" s="183"/>
      <c r="M60" s="239"/>
      <c r="N60" s="261"/>
      <c r="O60" s="139"/>
      <c r="P60" s="261"/>
      <c r="Q60" s="139"/>
      <c r="R60" s="261"/>
      <c r="S60" s="139"/>
      <c r="T60" s="261"/>
      <c r="U60" s="139"/>
      <c r="V60" s="261"/>
      <c r="W60" s="139"/>
      <c r="X60" s="261"/>
      <c r="Y60" s="139"/>
      <c r="Z60" s="142"/>
      <c r="AB60" s="24"/>
      <c r="AC60" s="579"/>
    </row>
    <row r="61" spans="1:34" s="3" customFormat="1" ht="12" x14ac:dyDescent="0.2">
      <c r="B61" s="75" t="s">
        <v>55</v>
      </c>
      <c r="C61" s="184"/>
      <c r="D61" s="165">
        <f>5+3</f>
        <v>8</v>
      </c>
      <c r="E61" s="31"/>
      <c r="F61" s="171">
        <v>8</v>
      </c>
      <c r="G61" s="239"/>
      <c r="H61" s="261">
        <v>10</v>
      </c>
      <c r="I61" s="139"/>
      <c r="J61" s="183">
        <v>7</v>
      </c>
      <c r="K61" s="239"/>
      <c r="L61" s="183">
        <v>8</v>
      </c>
      <c r="M61" s="239"/>
      <c r="N61" s="261">
        <v>10</v>
      </c>
      <c r="O61" s="139"/>
      <c r="P61" s="261">
        <v>10</v>
      </c>
      <c r="Q61" s="139"/>
      <c r="R61" s="261">
        <v>8</v>
      </c>
      <c r="S61" s="139"/>
      <c r="T61" s="261">
        <v>8</v>
      </c>
      <c r="U61" s="139"/>
      <c r="V61" s="261">
        <v>7</v>
      </c>
      <c r="W61" s="139"/>
      <c r="X61" s="261">
        <v>9</v>
      </c>
      <c r="Y61" s="139"/>
      <c r="Z61" s="142">
        <v>10</v>
      </c>
      <c r="AB61" s="12"/>
      <c r="AC61" s="1113">
        <f>AVERAGE(X61,V61,R61,T61,Z61)</f>
        <v>8.4</v>
      </c>
    </row>
    <row r="62" spans="1:34" s="3" customFormat="1" ht="12" x14ac:dyDescent="0.2">
      <c r="B62" s="75" t="s">
        <v>181</v>
      </c>
      <c r="C62" s="184"/>
      <c r="D62" s="165">
        <v>3</v>
      </c>
      <c r="E62" s="31"/>
      <c r="F62" s="171">
        <v>3</v>
      </c>
      <c r="G62" s="239"/>
      <c r="H62" s="261">
        <v>3</v>
      </c>
      <c r="I62" s="139"/>
      <c r="J62" s="183">
        <v>4</v>
      </c>
      <c r="K62" s="239"/>
      <c r="L62" s="183">
        <v>3</v>
      </c>
      <c r="M62" s="239"/>
      <c r="N62" s="261">
        <v>2</v>
      </c>
      <c r="O62" s="139"/>
      <c r="P62" s="261">
        <v>2</v>
      </c>
      <c r="Q62" s="139"/>
      <c r="R62" s="261">
        <v>3</v>
      </c>
      <c r="S62" s="139"/>
      <c r="T62" s="261">
        <v>4</v>
      </c>
      <c r="U62" s="139"/>
      <c r="V62" s="261">
        <v>5</v>
      </c>
      <c r="W62" s="139"/>
      <c r="X62" s="261">
        <v>5</v>
      </c>
      <c r="Y62" s="139"/>
      <c r="Z62" s="142">
        <v>4</v>
      </c>
      <c r="AB62" s="12"/>
      <c r="AC62" s="1113">
        <f t="shared" ref="AC62:AC66" si="7">AVERAGE(X62,V62,R62,T62,Z62)</f>
        <v>4.2</v>
      </c>
    </row>
    <row r="63" spans="1:34" s="3" customFormat="1" ht="12" x14ac:dyDescent="0.2">
      <c r="B63" s="74" t="s">
        <v>57</v>
      </c>
      <c r="C63" s="184"/>
      <c r="D63" s="94"/>
      <c r="E63" s="31"/>
      <c r="F63" s="39"/>
      <c r="G63" s="239"/>
      <c r="H63" s="240"/>
      <c r="I63" s="139"/>
      <c r="J63" s="241"/>
      <c r="K63" s="239"/>
      <c r="L63" s="241"/>
      <c r="M63" s="239"/>
      <c r="N63" s="240"/>
      <c r="O63" s="139"/>
      <c r="P63" s="240"/>
      <c r="Q63" s="139"/>
      <c r="R63" s="240"/>
      <c r="S63" s="139"/>
      <c r="T63" s="240"/>
      <c r="U63" s="139"/>
      <c r="V63" s="240"/>
      <c r="W63" s="139"/>
      <c r="X63" s="240"/>
      <c r="Y63" s="139"/>
      <c r="Z63" s="143"/>
      <c r="AB63" s="12"/>
      <c r="AC63" s="1113"/>
    </row>
    <row r="64" spans="1:34" s="3" customFormat="1" ht="12" x14ac:dyDescent="0.2">
      <c r="B64" s="75" t="s">
        <v>55</v>
      </c>
      <c r="C64" s="184"/>
      <c r="D64" s="94">
        <v>0</v>
      </c>
      <c r="E64" s="31"/>
      <c r="F64" s="39">
        <v>0</v>
      </c>
      <c r="G64" s="239"/>
      <c r="H64" s="240">
        <v>0</v>
      </c>
      <c r="I64" s="139"/>
      <c r="J64" s="241">
        <v>0</v>
      </c>
      <c r="K64" s="239"/>
      <c r="L64" s="241">
        <v>0</v>
      </c>
      <c r="M64" s="239"/>
      <c r="N64" s="240">
        <v>0</v>
      </c>
      <c r="O64" s="139"/>
      <c r="P64" s="240">
        <v>0</v>
      </c>
      <c r="Q64" s="139"/>
      <c r="R64" s="240">
        <v>1</v>
      </c>
      <c r="S64" s="139"/>
      <c r="T64" s="240">
        <v>0</v>
      </c>
      <c r="U64" s="139"/>
      <c r="V64" s="240">
        <v>0</v>
      </c>
      <c r="W64" s="139"/>
      <c r="X64" s="240">
        <v>0</v>
      </c>
      <c r="Y64" s="139"/>
      <c r="Z64" s="143">
        <v>0</v>
      </c>
      <c r="AB64" s="12"/>
      <c r="AC64" s="1113">
        <f t="shared" si="7"/>
        <v>0.2</v>
      </c>
    </row>
    <row r="65" spans="2:29" s="3" customFormat="1" ht="12" x14ac:dyDescent="0.2">
      <c r="B65" s="341" t="s">
        <v>181</v>
      </c>
      <c r="C65" s="184"/>
      <c r="D65" s="94">
        <v>0</v>
      </c>
      <c r="E65" s="31"/>
      <c r="F65" s="39">
        <v>0</v>
      </c>
      <c r="G65" s="239"/>
      <c r="H65" s="240">
        <v>0</v>
      </c>
      <c r="I65" s="139"/>
      <c r="J65" s="241">
        <v>0</v>
      </c>
      <c r="K65" s="239"/>
      <c r="L65" s="241">
        <v>0</v>
      </c>
      <c r="M65" s="239"/>
      <c r="N65" s="240">
        <v>0</v>
      </c>
      <c r="O65" s="139"/>
      <c r="P65" s="240">
        <v>0</v>
      </c>
      <c r="Q65" s="139"/>
      <c r="R65" s="240">
        <v>0</v>
      </c>
      <c r="S65" s="139"/>
      <c r="T65" s="240">
        <v>1</v>
      </c>
      <c r="U65" s="139"/>
      <c r="V65" s="240">
        <v>1</v>
      </c>
      <c r="W65" s="139"/>
      <c r="X65" s="240">
        <v>0</v>
      </c>
      <c r="Y65" s="139"/>
      <c r="Z65" s="143">
        <v>0</v>
      </c>
      <c r="AB65" s="12"/>
      <c r="AC65" s="1113">
        <f t="shared" si="7"/>
        <v>0.4</v>
      </c>
    </row>
    <row r="66" spans="2:29" s="3" customFormat="1" thickBot="1" x14ac:dyDescent="0.25">
      <c r="B66" s="79" t="s">
        <v>13</v>
      </c>
      <c r="C66" s="233"/>
      <c r="D66" s="234">
        <f>SUM(D61:D65)</f>
        <v>11</v>
      </c>
      <c r="E66" s="107"/>
      <c r="F66" s="106">
        <f>SUM(F61:F65)</f>
        <v>11</v>
      </c>
      <c r="G66" s="297"/>
      <c r="H66" s="427">
        <v>13</v>
      </c>
      <c r="I66" s="426"/>
      <c r="J66" s="454">
        <v>11</v>
      </c>
      <c r="K66" s="297"/>
      <c r="L66" s="454">
        <v>11</v>
      </c>
      <c r="M66" s="297"/>
      <c r="N66" s="427">
        <f>SUM(N61:N65)</f>
        <v>12</v>
      </c>
      <c r="O66" s="426"/>
      <c r="P66" s="427">
        <f>SUM(P61:P65)</f>
        <v>12</v>
      </c>
      <c r="Q66" s="426"/>
      <c r="R66" s="427">
        <f>SUM(R61:R65)</f>
        <v>12</v>
      </c>
      <c r="S66" s="426"/>
      <c r="T66" s="427">
        <f>SUM(T61:T65)</f>
        <v>13</v>
      </c>
      <c r="U66" s="426"/>
      <c r="V66" s="427">
        <f>SUM(V61:V65)</f>
        <v>13</v>
      </c>
      <c r="W66" s="426"/>
      <c r="X66" s="427">
        <f>SUM(X61:X65)</f>
        <v>14</v>
      </c>
      <c r="Y66" s="426"/>
      <c r="Z66" s="374">
        <f>SUM(Z61:Z65)</f>
        <v>14</v>
      </c>
      <c r="AB66" s="831"/>
      <c r="AC66" s="1114">
        <f t="shared" si="7"/>
        <v>13.2</v>
      </c>
    </row>
    <row r="67" spans="2:29" s="3" customFormat="1" thickTop="1" x14ac:dyDescent="0.2">
      <c r="B67" s="342" t="s">
        <v>135</v>
      </c>
      <c r="C67" s="392"/>
      <c r="D67" s="393"/>
      <c r="E67" s="43" t="s">
        <v>133</v>
      </c>
      <c r="F67" s="41" t="s">
        <v>134</v>
      </c>
      <c r="G67" s="317" t="s">
        <v>133</v>
      </c>
      <c r="H67" s="412" t="s">
        <v>134</v>
      </c>
      <c r="I67" s="411" t="s">
        <v>133</v>
      </c>
      <c r="J67" s="449" t="s">
        <v>134</v>
      </c>
      <c r="K67" s="317" t="s">
        <v>133</v>
      </c>
      <c r="L67" s="449" t="s">
        <v>134</v>
      </c>
      <c r="M67" s="317" t="s">
        <v>133</v>
      </c>
      <c r="N67" s="441" t="s">
        <v>134</v>
      </c>
      <c r="O67" s="411" t="s">
        <v>133</v>
      </c>
      <c r="P67" s="412" t="s">
        <v>134</v>
      </c>
      <c r="Q67" s="411" t="s">
        <v>133</v>
      </c>
      <c r="R67" s="412" t="s">
        <v>134</v>
      </c>
      <c r="S67" s="411" t="s">
        <v>133</v>
      </c>
      <c r="T67" s="412" t="s">
        <v>134</v>
      </c>
      <c r="U67" s="411" t="s">
        <v>133</v>
      </c>
      <c r="V67" s="412" t="s">
        <v>134</v>
      </c>
      <c r="W67" s="411" t="s">
        <v>133</v>
      </c>
      <c r="X67" s="412" t="s">
        <v>134</v>
      </c>
      <c r="Y67" s="411" t="s">
        <v>133</v>
      </c>
      <c r="Z67" s="289" t="s">
        <v>134</v>
      </c>
      <c r="AB67" s="952" t="s">
        <v>133</v>
      </c>
      <c r="AC67" s="862" t="s">
        <v>134</v>
      </c>
    </row>
    <row r="68" spans="2:29" s="3" customFormat="1" ht="12" x14ac:dyDescent="0.2">
      <c r="B68" s="75" t="s">
        <v>87</v>
      </c>
      <c r="C68" s="319">
        <v>8</v>
      </c>
      <c r="D68" s="216">
        <f>C68/D$66</f>
        <v>0.72727272727272729</v>
      </c>
      <c r="E68" s="173">
        <v>8</v>
      </c>
      <c r="F68" s="221">
        <f t="shared" ref="F68:H75" si="8">E68/F$66</f>
        <v>0.72727272727272729</v>
      </c>
      <c r="G68" s="215">
        <v>9</v>
      </c>
      <c r="H68" s="216">
        <f t="shared" si="8"/>
        <v>0.69230769230769229</v>
      </c>
      <c r="I68" s="173">
        <v>9</v>
      </c>
      <c r="J68" s="221">
        <f t="shared" ref="J68:L75" si="9">I68/J$66</f>
        <v>0.81818181818181823</v>
      </c>
      <c r="K68" s="215">
        <v>8</v>
      </c>
      <c r="L68" s="221">
        <f t="shared" si="9"/>
        <v>0.72727272727272729</v>
      </c>
      <c r="M68" s="215">
        <f>8+2</f>
        <v>10</v>
      </c>
      <c r="N68" s="216">
        <f t="shared" ref="N68:T75" si="10">M68/N$66</f>
        <v>0.83333333333333337</v>
      </c>
      <c r="O68" s="173">
        <v>9</v>
      </c>
      <c r="P68" s="216">
        <f t="shared" si="10"/>
        <v>0.75</v>
      </c>
      <c r="Q68" s="173">
        <v>9</v>
      </c>
      <c r="R68" s="216">
        <f t="shared" si="10"/>
        <v>0.75</v>
      </c>
      <c r="S68" s="173">
        <f>6+5</f>
        <v>11</v>
      </c>
      <c r="T68" s="216">
        <f t="shared" si="10"/>
        <v>0.84615384615384615</v>
      </c>
      <c r="U68" s="173">
        <v>11</v>
      </c>
      <c r="V68" s="216">
        <f t="shared" ref="V68:V73" si="11">U68/V$66</f>
        <v>0.84615384615384615</v>
      </c>
      <c r="W68" s="173">
        <f>5+7</f>
        <v>12</v>
      </c>
      <c r="X68" s="216">
        <f t="shared" ref="X68:Z73" si="12">W68/X$66</f>
        <v>0.8571428571428571</v>
      </c>
      <c r="Y68" s="173">
        <v>12</v>
      </c>
      <c r="Z68" s="1494">
        <f t="shared" si="12"/>
        <v>0.8571428571428571</v>
      </c>
      <c r="AA68" s="955"/>
      <c r="AB68" s="1016">
        <f t="shared" ref="AB68:AB87" si="13">AVERAGE(W68,U68,Q68,S68,Y68)</f>
        <v>11</v>
      </c>
      <c r="AC68" s="863">
        <f t="shared" ref="AC68:AC87" si="14">AVERAGE(X68,V68,R68,T68,Z68)</f>
        <v>0.83131868131868136</v>
      </c>
    </row>
    <row r="69" spans="2:29" s="3" customFormat="1" ht="12" x14ac:dyDescent="0.2">
      <c r="B69" s="85" t="s">
        <v>88</v>
      </c>
      <c r="C69" s="319">
        <v>0</v>
      </c>
      <c r="D69" s="216">
        <f t="shared" ref="D69:D87" si="15">C69/$D$66</f>
        <v>0</v>
      </c>
      <c r="E69" s="173">
        <v>0</v>
      </c>
      <c r="F69" s="221">
        <f t="shared" si="8"/>
        <v>0</v>
      </c>
      <c r="G69" s="215">
        <v>0</v>
      </c>
      <c r="H69" s="216">
        <f t="shared" si="8"/>
        <v>0</v>
      </c>
      <c r="I69" s="173">
        <v>0</v>
      </c>
      <c r="J69" s="221">
        <f t="shared" si="9"/>
        <v>0</v>
      </c>
      <c r="K69" s="215">
        <v>0</v>
      </c>
      <c r="L69" s="221">
        <f t="shared" si="9"/>
        <v>0</v>
      </c>
      <c r="M69" s="215">
        <v>0</v>
      </c>
      <c r="N69" s="216">
        <f t="shared" si="10"/>
        <v>0</v>
      </c>
      <c r="O69" s="173">
        <v>0</v>
      </c>
      <c r="P69" s="216">
        <f t="shared" si="10"/>
        <v>0</v>
      </c>
      <c r="Q69" s="173">
        <v>0</v>
      </c>
      <c r="R69" s="216">
        <f t="shared" si="10"/>
        <v>0</v>
      </c>
      <c r="S69" s="173">
        <f>0</f>
        <v>0</v>
      </c>
      <c r="T69" s="216">
        <f t="shared" si="10"/>
        <v>0</v>
      </c>
      <c r="U69" s="173">
        <v>0</v>
      </c>
      <c r="V69" s="216">
        <f t="shared" si="11"/>
        <v>0</v>
      </c>
      <c r="W69" s="173">
        <v>0</v>
      </c>
      <c r="X69" s="216">
        <f t="shared" si="12"/>
        <v>0</v>
      </c>
      <c r="Y69" s="173">
        <v>0</v>
      </c>
      <c r="Z69" s="1494">
        <f t="shared" si="12"/>
        <v>0</v>
      </c>
      <c r="AA69" s="955"/>
      <c r="AB69" s="1016">
        <f t="shared" si="13"/>
        <v>0</v>
      </c>
      <c r="AC69" s="863">
        <f t="shared" si="14"/>
        <v>0</v>
      </c>
    </row>
    <row r="70" spans="2:29" s="3" customFormat="1" ht="12" x14ac:dyDescent="0.2">
      <c r="B70" s="85" t="s">
        <v>89</v>
      </c>
      <c r="C70" s="319">
        <v>0</v>
      </c>
      <c r="D70" s="216">
        <f t="shared" si="15"/>
        <v>0</v>
      </c>
      <c r="E70" s="173">
        <v>0</v>
      </c>
      <c r="F70" s="221">
        <f t="shared" si="8"/>
        <v>0</v>
      </c>
      <c r="G70" s="215">
        <v>1</v>
      </c>
      <c r="H70" s="216">
        <f t="shared" si="8"/>
        <v>7.6923076923076927E-2</v>
      </c>
      <c r="I70" s="173">
        <v>1</v>
      </c>
      <c r="J70" s="221">
        <f t="shared" si="9"/>
        <v>9.0909090909090912E-2</v>
      </c>
      <c r="K70" s="215">
        <v>1</v>
      </c>
      <c r="L70" s="221">
        <f t="shared" si="9"/>
        <v>9.0909090909090912E-2</v>
      </c>
      <c r="M70" s="215">
        <v>1</v>
      </c>
      <c r="N70" s="216">
        <f t="shared" si="10"/>
        <v>8.3333333333333329E-2</v>
      </c>
      <c r="O70" s="173">
        <v>1</v>
      </c>
      <c r="P70" s="216">
        <f t="shared" si="10"/>
        <v>8.3333333333333329E-2</v>
      </c>
      <c r="Q70" s="173">
        <v>0</v>
      </c>
      <c r="R70" s="216">
        <f t="shared" si="10"/>
        <v>0</v>
      </c>
      <c r="S70" s="173">
        <f>0</f>
        <v>0</v>
      </c>
      <c r="T70" s="216">
        <f t="shared" si="10"/>
        <v>0</v>
      </c>
      <c r="U70" s="173">
        <v>0</v>
      </c>
      <c r="V70" s="216">
        <f t="shared" si="11"/>
        <v>0</v>
      </c>
      <c r="W70" s="173">
        <v>0</v>
      </c>
      <c r="X70" s="216">
        <f t="shared" si="12"/>
        <v>0</v>
      </c>
      <c r="Y70" s="173">
        <v>0</v>
      </c>
      <c r="Z70" s="1494">
        <f t="shared" si="12"/>
        <v>0</v>
      </c>
      <c r="AA70" s="955"/>
      <c r="AB70" s="1016">
        <f t="shared" si="13"/>
        <v>0</v>
      </c>
      <c r="AC70" s="863">
        <f t="shared" si="14"/>
        <v>0</v>
      </c>
    </row>
    <row r="71" spans="2:29" s="3" customFormat="1" ht="12" x14ac:dyDescent="0.2">
      <c r="B71" s="85" t="s">
        <v>90</v>
      </c>
      <c r="C71" s="319">
        <v>0</v>
      </c>
      <c r="D71" s="216">
        <f t="shared" si="15"/>
        <v>0</v>
      </c>
      <c r="E71" s="173">
        <v>0</v>
      </c>
      <c r="F71" s="221">
        <f t="shared" si="8"/>
        <v>0</v>
      </c>
      <c r="G71" s="215">
        <v>0</v>
      </c>
      <c r="H71" s="216">
        <f t="shared" si="8"/>
        <v>0</v>
      </c>
      <c r="I71" s="173">
        <v>0</v>
      </c>
      <c r="J71" s="221">
        <f t="shared" si="9"/>
        <v>0</v>
      </c>
      <c r="K71" s="215">
        <v>0</v>
      </c>
      <c r="L71" s="221">
        <f t="shared" si="9"/>
        <v>0</v>
      </c>
      <c r="M71" s="215">
        <v>0</v>
      </c>
      <c r="N71" s="216">
        <f t="shared" si="10"/>
        <v>0</v>
      </c>
      <c r="O71" s="173">
        <v>0</v>
      </c>
      <c r="P71" s="216">
        <f t="shared" si="10"/>
        <v>0</v>
      </c>
      <c r="Q71" s="173">
        <v>0</v>
      </c>
      <c r="R71" s="216">
        <f t="shared" si="10"/>
        <v>0</v>
      </c>
      <c r="S71" s="173">
        <f>0</f>
        <v>0</v>
      </c>
      <c r="T71" s="216">
        <f t="shared" si="10"/>
        <v>0</v>
      </c>
      <c r="U71" s="173">
        <v>0</v>
      </c>
      <c r="V71" s="216">
        <f t="shared" si="11"/>
        <v>0</v>
      </c>
      <c r="W71" s="173">
        <v>0</v>
      </c>
      <c r="X71" s="216">
        <f t="shared" si="12"/>
        <v>0</v>
      </c>
      <c r="Y71" s="173">
        <v>0</v>
      </c>
      <c r="Z71" s="1494">
        <f t="shared" si="12"/>
        <v>0</v>
      </c>
      <c r="AA71" s="955"/>
      <c r="AB71" s="1016">
        <f t="shared" si="13"/>
        <v>0</v>
      </c>
      <c r="AC71" s="863">
        <f t="shared" si="14"/>
        <v>0</v>
      </c>
    </row>
    <row r="72" spans="2:29" s="3" customFormat="1" ht="12" x14ac:dyDescent="0.2">
      <c r="B72" s="85" t="s">
        <v>91</v>
      </c>
      <c r="C72" s="319">
        <v>3</v>
      </c>
      <c r="D72" s="216">
        <f t="shared" si="15"/>
        <v>0.27272727272727271</v>
      </c>
      <c r="E72" s="173">
        <v>3</v>
      </c>
      <c r="F72" s="221">
        <f t="shared" si="8"/>
        <v>0.27272727272727271</v>
      </c>
      <c r="G72" s="215">
        <v>3</v>
      </c>
      <c r="H72" s="216">
        <f t="shared" si="8"/>
        <v>0.23076923076923078</v>
      </c>
      <c r="I72" s="173">
        <v>1</v>
      </c>
      <c r="J72" s="221">
        <f t="shared" si="9"/>
        <v>9.0909090909090912E-2</v>
      </c>
      <c r="K72" s="215">
        <v>1</v>
      </c>
      <c r="L72" s="221">
        <f t="shared" si="9"/>
        <v>9.0909090909090912E-2</v>
      </c>
      <c r="M72" s="215">
        <v>1</v>
      </c>
      <c r="N72" s="216">
        <f t="shared" si="10"/>
        <v>8.3333333333333329E-2</v>
      </c>
      <c r="O72" s="173">
        <v>2</v>
      </c>
      <c r="P72" s="216">
        <f t="shared" si="10"/>
        <v>0.16666666666666666</v>
      </c>
      <c r="Q72" s="173">
        <v>2</v>
      </c>
      <c r="R72" s="216">
        <f t="shared" si="10"/>
        <v>0.16666666666666666</v>
      </c>
      <c r="S72" s="173">
        <f>2</f>
        <v>2</v>
      </c>
      <c r="T72" s="216">
        <f t="shared" si="10"/>
        <v>0.15384615384615385</v>
      </c>
      <c r="U72" s="173">
        <v>2</v>
      </c>
      <c r="V72" s="216">
        <f t="shared" si="11"/>
        <v>0.15384615384615385</v>
      </c>
      <c r="W72" s="173">
        <v>2</v>
      </c>
      <c r="X72" s="216">
        <f t="shared" si="12"/>
        <v>0.14285714285714285</v>
      </c>
      <c r="Y72" s="173">
        <v>2</v>
      </c>
      <c r="Z72" s="1494">
        <f t="shared" si="12"/>
        <v>0.14285714285714285</v>
      </c>
      <c r="AA72" s="955"/>
      <c r="AB72" s="1016">
        <f t="shared" si="13"/>
        <v>2</v>
      </c>
      <c r="AC72" s="863">
        <f t="shared" si="14"/>
        <v>0.152014652014652</v>
      </c>
    </row>
    <row r="73" spans="2:29" s="3" customFormat="1" ht="12" x14ac:dyDescent="0.2">
      <c r="B73" s="85" t="s">
        <v>92</v>
      </c>
      <c r="C73" s="319">
        <v>0</v>
      </c>
      <c r="D73" s="216">
        <f t="shared" si="15"/>
        <v>0</v>
      </c>
      <c r="E73" s="173">
        <v>0</v>
      </c>
      <c r="F73" s="221">
        <f t="shared" si="8"/>
        <v>0</v>
      </c>
      <c r="G73" s="215">
        <v>0</v>
      </c>
      <c r="H73" s="216">
        <f t="shared" si="8"/>
        <v>0</v>
      </c>
      <c r="I73" s="173">
        <v>0</v>
      </c>
      <c r="J73" s="221">
        <f t="shared" si="9"/>
        <v>0</v>
      </c>
      <c r="K73" s="215">
        <v>0</v>
      </c>
      <c r="L73" s="221">
        <f t="shared" si="9"/>
        <v>0</v>
      </c>
      <c r="M73" s="215">
        <v>0</v>
      </c>
      <c r="N73" s="216">
        <f t="shared" si="10"/>
        <v>0</v>
      </c>
      <c r="O73" s="173">
        <v>0</v>
      </c>
      <c r="P73" s="216">
        <f t="shared" si="10"/>
        <v>0</v>
      </c>
      <c r="Q73" s="173">
        <v>1</v>
      </c>
      <c r="R73" s="216">
        <f t="shared" si="10"/>
        <v>8.3333333333333329E-2</v>
      </c>
      <c r="S73" s="173">
        <f>0</f>
        <v>0</v>
      </c>
      <c r="T73" s="216">
        <f t="shared" si="10"/>
        <v>0</v>
      </c>
      <c r="U73" s="173">
        <v>0</v>
      </c>
      <c r="V73" s="216">
        <f t="shared" si="11"/>
        <v>0</v>
      </c>
      <c r="W73" s="173">
        <v>0</v>
      </c>
      <c r="X73" s="216">
        <f t="shared" si="12"/>
        <v>0</v>
      </c>
      <c r="Y73" s="173">
        <v>0</v>
      </c>
      <c r="Z73" s="1494">
        <f t="shared" si="12"/>
        <v>0</v>
      </c>
      <c r="AA73" s="955"/>
      <c r="AB73" s="1016">
        <f t="shared" si="13"/>
        <v>0.2</v>
      </c>
      <c r="AC73" s="863">
        <f t="shared" si="14"/>
        <v>1.6666666666666666E-2</v>
      </c>
    </row>
    <row r="74" spans="2:29" s="3" customFormat="1" ht="12" x14ac:dyDescent="0.2">
      <c r="B74" s="85" t="s">
        <v>256</v>
      </c>
      <c r="C74" s="346"/>
      <c r="D74" s="216"/>
      <c r="E74" s="174"/>
      <c r="F74" s="221"/>
      <c r="G74" s="1510"/>
      <c r="H74" s="1511"/>
      <c r="I74" s="1512"/>
      <c r="J74" s="1513"/>
      <c r="K74" s="1510"/>
      <c r="L74" s="1513"/>
      <c r="M74" s="1510"/>
      <c r="N74" s="1511"/>
      <c r="O74" s="1512"/>
      <c r="P74" s="1511"/>
      <c r="Q74" s="173">
        <v>0</v>
      </c>
      <c r="R74" s="216">
        <f>Q74/R$66</f>
        <v>0</v>
      </c>
      <c r="S74" s="173">
        <f>0</f>
        <v>0</v>
      </c>
      <c r="T74" s="216">
        <f>S74/T$66</f>
        <v>0</v>
      </c>
      <c r="U74" s="173">
        <v>0</v>
      </c>
      <c r="V74" s="216">
        <f>U74/V$66</f>
        <v>0</v>
      </c>
      <c r="W74" s="173">
        <v>0</v>
      </c>
      <c r="X74" s="216">
        <f>W74/X$66</f>
        <v>0</v>
      </c>
      <c r="Y74" s="173">
        <v>0</v>
      </c>
      <c r="Z74" s="1494">
        <f>Y74/Z$66</f>
        <v>0</v>
      </c>
      <c r="AA74" s="955"/>
      <c r="AB74" s="1016">
        <f t="shared" si="13"/>
        <v>0</v>
      </c>
      <c r="AC74" s="863">
        <f t="shared" si="14"/>
        <v>0</v>
      </c>
    </row>
    <row r="75" spans="2:29" s="3" customFormat="1" ht="12" x14ac:dyDescent="0.2">
      <c r="B75" s="85" t="s">
        <v>93</v>
      </c>
      <c r="C75" s="346">
        <v>0</v>
      </c>
      <c r="D75" s="216">
        <f t="shared" si="15"/>
        <v>0</v>
      </c>
      <c r="E75" s="174">
        <v>0</v>
      </c>
      <c r="F75" s="221">
        <f t="shared" si="8"/>
        <v>0</v>
      </c>
      <c r="G75" s="217">
        <v>0</v>
      </c>
      <c r="H75" s="216">
        <f t="shared" si="8"/>
        <v>0</v>
      </c>
      <c r="I75" s="174">
        <v>0</v>
      </c>
      <c r="J75" s="221">
        <f t="shared" si="9"/>
        <v>0</v>
      </c>
      <c r="K75" s="217">
        <v>1</v>
      </c>
      <c r="L75" s="221">
        <f t="shared" si="9"/>
        <v>9.0909090909090912E-2</v>
      </c>
      <c r="M75" s="217">
        <v>0</v>
      </c>
      <c r="N75" s="216">
        <f t="shared" si="10"/>
        <v>0</v>
      </c>
      <c r="O75" s="174">
        <v>0</v>
      </c>
      <c r="P75" s="216">
        <f t="shared" si="10"/>
        <v>0</v>
      </c>
      <c r="Q75" s="174">
        <v>0</v>
      </c>
      <c r="R75" s="216">
        <f t="shared" si="10"/>
        <v>0</v>
      </c>
      <c r="S75" s="174">
        <f>0</f>
        <v>0</v>
      </c>
      <c r="T75" s="216">
        <f t="shared" si="10"/>
        <v>0</v>
      </c>
      <c r="U75" s="174">
        <v>0</v>
      </c>
      <c r="V75" s="216">
        <f>U75/V$66</f>
        <v>0</v>
      </c>
      <c r="W75" s="174">
        <v>0</v>
      </c>
      <c r="X75" s="216">
        <f>W75/X$66</f>
        <v>0</v>
      </c>
      <c r="Y75" s="174">
        <v>0</v>
      </c>
      <c r="Z75" s="1494">
        <f>Y75/Z$66</f>
        <v>0</v>
      </c>
      <c r="AA75" s="955"/>
      <c r="AB75" s="1016">
        <f t="shared" si="13"/>
        <v>0</v>
      </c>
      <c r="AC75" s="863">
        <f t="shared" si="14"/>
        <v>0</v>
      </c>
    </row>
    <row r="76" spans="2:29" s="3" customFormat="1" ht="12" x14ac:dyDescent="0.2">
      <c r="B76" s="343" t="s">
        <v>136</v>
      </c>
      <c r="C76" s="218"/>
      <c r="D76" s="216"/>
      <c r="E76" s="226"/>
      <c r="F76" s="310"/>
      <c r="G76" s="326"/>
      <c r="H76" s="394"/>
      <c r="I76" s="226"/>
      <c r="J76" s="310"/>
      <c r="K76" s="326"/>
      <c r="L76" s="310"/>
      <c r="M76" s="326"/>
      <c r="N76" s="394"/>
      <c r="O76" s="226"/>
      <c r="P76" s="394"/>
      <c r="Q76" s="226"/>
      <c r="R76" s="394"/>
      <c r="S76" s="226"/>
      <c r="T76" s="394"/>
      <c r="U76" s="226"/>
      <c r="V76" s="394"/>
      <c r="W76" s="226"/>
      <c r="X76" s="394"/>
      <c r="Y76" s="226"/>
      <c r="Z76" s="1500"/>
      <c r="AA76" s="955"/>
      <c r="AB76" s="1016"/>
      <c r="AC76" s="863"/>
    </row>
    <row r="77" spans="2:29" s="3" customFormat="1" ht="12" x14ac:dyDescent="0.2">
      <c r="B77" s="75" t="s">
        <v>124</v>
      </c>
      <c r="C77" s="230">
        <v>8</v>
      </c>
      <c r="D77" s="216">
        <f t="shared" si="15"/>
        <v>0.72727272727272729</v>
      </c>
      <c r="E77" s="171">
        <v>8</v>
      </c>
      <c r="F77" s="311">
        <f>E77/F$66</f>
        <v>0.72727272727272729</v>
      </c>
      <c r="G77" s="229">
        <v>9</v>
      </c>
      <c r="H77" s="395">
        <f>G77/H$66</f>
        <v>0.69230769230769229</v>
      </c>
      <c r="I77" s="183">
        <v>8</v>
      </c>
      <c r="J77" s="221">
        <f>I77/J$66</f>
        <v>0.72727272727272729</v>
      </c>
      <c r="K77" s="229">
        <v>10</v>
      </c>
      <c r="L77" s="221">
        <f>K77/L$66</f>
        <v>0.90909090909090906</v>
      </c>
      <c r="M77" s="229">
        <f>9+2</f>
        <v>11</v>
      </c>
      <c r="N77" s="216">
        <f>M77/N$66</f>
        <v>0.91666666666666663</v>
      </c>
      <c r="O77" s="183">
        <v>11</v>
      </c>
      <c r="P77" s="216">
        <f>O77/P$66</f>
        <v>0.91666666666666663</v>
      </c>
      <c r="Q77" s="183">
        <v>11</v>
      </c>
      <c r="R77" s="216">
        <f>Q77/R$66</f>
        <v>0.91666666666666663</v>
      </c>
      <c r="S77" s="183">
        <f>4+8</f>
        <v>12</v>
      </c>
      <c r="T77" s="216">
        <f>S77/T$66</f>
        <v>0.92307692307692313</v>
      </c>
      <c r="U77" s="183">
        <v>12</v>
      </c>
      <c r="V77" s="216">
        <f>U77/V$66</f>
        <v>0.92307692307692313</v>
      </c>
      <c r="W77" s="183">
        <f>4+8</f>
        <v>12</v>
      </c>
      <c r="X77" s="216">
        <f>W77/X$66</f>
        <v>0.8571428571428571</v>
      </c>
      <c r="Y77" s="183">
        <v>12</v>
      </c>
      <c r="Z77" s="1494">
        <f>Y77/Z$66</f>
        <v>0.8571428571428571</v>
      </c>
      <c r="AA77" s="955"/>
      <c r="AB77" s="1016">
        <f t="shared" si="13"/>
        <v>11.8</v>
      </c>
      <c r="AC77" s="863">
        <f t="shared" si="14"/>
        <v>0.89542124542124524</v>
      </c>
    </row>
    <row r="78" spans="2:29" s="3" customFormat="1" ht="12" x14ac:dyDescent="0.2">
      <c r="B78" s="75" t="s">
        <v>125</v>
      </c>
      <c r="C78" s="230">
        <v>3</v>
      </c>
      <c r="D78" s="216">
        <f t="shared" si="15"/>
        <v>0.27272727272727271</v>
      </c>
      <c r="E78" s="223">
        <v>3</v>
      </c>
      <c r="F78" s="311">
        <f>E78/F$66</f>
        <v>0.27272727272727271</v>
      </c>
      <c r="G78" s="230">
        <v>4</v>
      </c>
      <c r="H78" s="395">
        <f>G78/H$66</f>
        <v>0.30769230769230771</v>
      </c>
      <c r="I78" s="283">
        <v>3</v>
      </c>
      <c r="J78" s="221">
        <f>I78/J$66</f>
        <v>0.27272727272727271</v>
      </c>
      <c r="K78" s="230">
        <v>1</v>
      </c>
      <c r="L78" s="221">
        <f>K78/L$66</f>
        <v>9.0909090909090912E-2</v>
      </c>
      <c r="M78" s="230">
        <v>1</v>
      </c>
      <c r="N78" s="216">
        <f>M78/N$66</f>
        <v>8.3333333333333329E-2</v>
      </c>
      <c r="O78" s="283">
        <v>1</v>
      </c>
      <c r="P78" s="216">
        <f>O78/P$66</f>
        <v>8.3333333333333329E-2</v>
      </c>
      <c r="Q78" s="283">
        <v>1</v>
      </c>
      <c r="R78" s="216">
        <f>Q78/R$66</f>
        <v>8.3333333333333329E-2</v>
      </c>
      <c r="S78" s="283">
        <f>1</f>
        <v>1</v>
      </c>
      <c r="T78" s="216">
        <f>S78/T$66</f>
        <v>7.6923076923076927E-2</v>
      </c>
      <c r="U78" s="283">
        <v>1</v>
      </c>
      <c r="V78" s="216">
        <f>U78/V$66</f>
        <v>7.6923076923076927E-2</v>
      </c>
      <c r="W78" s="283">
        <v>2</v>
      </c>
      <c r="X78" s="216">
        <f>W78/X$66</f>
        <v>0.14285714285714285</v>
      </c>
      <c r="Y78" s="283">
        <v>2</v>
      </c>
      <c r="Z78" s="1494">
        <f>Y78/Z$66</f>
        <v>0.14285714285714285</v>
      </c>
      <c r="AA78" s="955"/>
      <c r="AB78" s="1016">
        <f t="shared" si="13"/>
        <v>1.4</v>
      </c>
      <c r="AC78" s="863">
        <f t="shared" si="14"/>
        <v>0.10457875457875457</v>
      </c>
    </row>
    <row r="79" spans="2:29" s="3" customFormat="1" ht="12" x14ac:dyDescent="0.2">
      <c r="B79" s="343" t="s">
        <v>137</v>
      </c>
      <c r="C79" s="219"/>
      <c r="D79" s="216"/>
      <c r="E79" s="227"/>
      <c r="F79" s="311"/>
      <c r="G79" s="315"/>
      <c r="H79" s="395"/>
      <c r="I79" s="285"/>
      <c r="J79" s="221"/>
      <c r="K79" s="315"/>
      <c r="L79" s="221"/>
      <c r="M79" s="315"/>
      <c r="N79" s="216"/>
      <c r="O79" s="285"/>
      <c r="P79" s="216"/>
      <c r="Q79" s="285"/>
      <c r="R79" s="216"/>
      <c r="S79" s="285"/>
      <c r="T79" s="216"/>
      <c r="U79" s="285"/>
      <c r="V79" s="216"/>
      <c r="W79" s="285"/>
      <c r="X79" s="216"/>
      <c r="Y79" s="285"/>
      <c r="Z79" s="1494"/>
      <c r="AA79" s="955"/>
      <c r="AB79" s="1016"/>
      <c r="AC79" s="863"/>
    </row>
    <row r="80" spans="2:29" s="3" customFormat="1" ht="12" x14ac:dyDescent="0.2">
      <c r="B80" s="75" t="s">
        <v>126</v>
      </c>
      <c r="C80" s="224">
        <v>7</v>
      </c>
      <c r="D80" s="216">
        <f t="shared" si="15"/>
        <v>0.63636363636363635</v>
      </c>
      <c r="E80" s="223">
        <v>8</v>
      </c>
      <c r="F80" s="311">
        <f>E80/F$66</f>
        <v>0.72727272727272729</v>
      </c>
      <c r="G80" s="230">
        <v>9</v>
      </c>
      <c r="H80" s="395">
        <f>G80/H$66</f>
        <v>0.69230769230769229</v>
      </c>
      <c r="I80" s="283">
        <v>6</v>
      </c>
      <c r="J80" s="221">
        <f>I80/J$66</f>
        <v>0.54545454545454541</v>
      </c>
      <c r="K80" s="230">
        <v>4</v>
      </c>
      <c r="L80" s="221">
        <f>K80/L$66</f>
        <v>0.36363636363636365</v>
      </c>
      <c r="M80" s="230">
        <v>4</v>
      </c>
      <c r="N80" s="216">
        <f>M80/N$66</f>
        <v>0.33333333333333331</v>
      </c>
      <c r="O80" s="283">
        <v>5</v>
      </c>
      <c r="P80" s="216">
        <f>O80/P$66</f>
        <v>0.41666666666666669</v>
      </c>
      <c r="Q80" s="283">
        <v>4</v>
      </c>
      <c r="R80" s="216">
        <f>Q80/R$66</f>
        <v>0.33333333333333331</v>
      </c>
      <c r="S80" s="283">
        <f>1+3</f>
        <v>4</v>
      </c>
      <c r="T80" s="216">
        <f>S80/T$66</f>
        <v>0.30769230769230771</v>
      </c>
      <c r="U80" s="283">
        <v>6</v>
      </c>
      <c r="V80" s="216">
        <f>U80/V$66</f>
        <v>0.46153846153846156</v>
      </c>
      <c r="W80" s="283">
        <f>1+7</f>
        <v>8</v>
      </c>
      <c r="X80" s="216">
        <f>W80/X$66</f>
        <v>0.5714285714285714</v>
      </c>
      <c r="Y80" s="283">
        <v>7</v>
      </c>
      <c r="Z80" s="1494">
        <f>Y80/Z$66</f>
        <v>0.5</v>
      </c>
      <c r="AB80" s="1016">
        <f t="shared" si="13"/>
        <v>5.8</v>
      </c>
      <c r="AC80" s="863">
        <f t="shared" si="14"/>
        <v>0.43479853479853475</v>
      </c>
    </row>
    <row r="81" spans="1:31" s="3" customFormat="1" ht="12" x14ac:dyDescent="0.2">
      <c r="B81" s="75" t="s">
        <v>127</v>
      </c>
      <c r="C81" s="224">
        <v>3</v>
      </c>
      <c r="D81" s="216">
        <f t="shared" si="15"/>
        <v>0.27272727272727271</v>
      </c>
      <c r="E81" s="223">
        <v>2</v>
      </c>
      <c r="F81" s="311">
        <f>E81/F$66</f>
        <v>0.18181818181818182</v>
      </c>
      <c r="G81" s="230">
        <v>3</v>
      </c>
      <c r="H81" s="395">
        <f>G81/H$66</f>
        <v>0.23076923076923078</v>
      </c>
      <c r="I81" s="283">
        <v>2</v>
      </c>
      <c r="J81" s="221">
        <f>I81/J$66</f>
        <v>0.18181818181818182</v>
      </c>
      <c r="K81" s="230">
        <v>3</v>
      </c>
      <c r="L81" s="221">
        <f>K81/L$66</f>
        <v>0.27272727272727271</v>
      </c>
      <c r="M81" s="230">
        <v>5</v>
      </c>
      <c r="N81" s="216">
        <f>M81/N$66</f>
        <v>0.41666666666666669</v>
      </c>
      <c r="O81" s="283">
        <v>4</v>
      </c>
      <c r="P81" s="216">
        <f>O81/P$66</f>
        <v>0.33333333333333331</v>
      </c>
      <c r="Q81" s="283">
        <v>4</v>
      </c>
      <c r="R81" s="216">
        <f>Q81/R$66</f>
        <v>0.33333333333333331</v>
      </c>
      <c r="S81" s="283">
        <f>0+4</f>
        <v>4</v>
      </c>
      <c r="T81" s="216">
        <f>S81/T$66</f>
        <v>0.30769230769230771</v>
      </c>
      <c r="U81" s="283">
        <v>1</v>
      </c>
      <c r="V81" s="216">
        <f>U81/V$66</f>
        <v>7.6923076923076927E-2</v>
      </c>
      <c r="W81" s="283">
        <v>1</v>
      </c>
      <c r="X81" s="216">
        <f>W81/X$66</f>
        <v>7.1428571428571425E-2</v>
      </c>
      <c r="Y81" s="283">
        <v>3</v>
      </c>
      <c r="Z81" s="1494">
        <f>Y81/Z$66</f>
        <v>0.21428571428571427</v>
      </c>
      <c r="AB81" s="1016">
        <f t="shared" si="13"/>
        <v>2.6</v>
      </c>
      <c r="AC81" s="863">
        <f t="shared" si="14"/>
        <v>0.20073260073260074</v>
      </c>
    </row>
    <row r="82" spans="1:31" s="3" customFormat="1" ht="12" x14ac:dyDescent="0.2">
      <c r="B82" s="75" t="s">
        <v>128</v>
      </c>
      <c r="C82" s="224">
        <v>1</v>
      </c>
      <c r="D82" s="216">
        <f t="shared" si="15"/>
        <v>9.0909090909090912E-2</v>
      </c>
      <c r="E82" s="223">
        <v>1</v>
      </c>
      <c r="F82" s="311">
        <f>E82/F$66</f>
        <v>9.0909090909090912E-2</v>
      </c>
      <c r="G82" s="230">
        <v>1</v>
      </c>
      <c r="H82" s="395">
        <f>G82/H$66</f>
        <v>7.6923076923076927E-2</v>
      </c>
      <c r="I82" s="283">
        <v>3</v>
      </c>
      <c r="J82" s="221">
        <f>I82/J$66</f>
        <v>0.27272727272727271</v>
      </c>
      <c r="K82" s="230">
        <v>4</v>
      </c>
      <c r="L82" s="221">
        <f>K82/L$66</f>
        <v>0.36363636363636365</v>
      </c>
      <c r="M82" s="230">
        <f>1+2</f>
        <v>3</v>
      </c>
      <c r="N82" s="216">
        <f>M82/N$66</f>
        <v>0.25</v>
      </c>
      <c r="O82" s="283">
        <v>3</v>
      </c>
      <c r="P82" s="216">
        <f>O82/P$66</f>
        <v>0.25</v>
      </c>
      <c r="Q82" s="283">
        <v>4</v>
      </c>
      <c r="R82" s="216">
        <f>Q82/R$66</f>
        <v>0.33333333333333331</v>
      </c>
      <c r="S82" s="283">
        <f>4+1</f>
        <v>5</v>
      </c>
      <c r="T82" s="216">
        <f>S82/T$66</f>
        <v>0.38461538461538464</v>
      </c>
      <c r="U82" s="283">
        <v>6</v>
      </c>
      <c r="V82" s="216">
        <f>U82/V$66</f>
        <v>0.46153846153846156</v>
      </c>
      <c r="W82" s="283">
        <f>4+1</f>
        <v>5</v>
      </c>
      <c r="X82" s="216">
        <f>W82/X$66</f>
        <v>0.35714285714285715</v>
      </c>
      <c r="Y82" s="283">
        <v>4</v>
      </c>
      <c r="Z82" s="1494">
        <f>Y82/Z$66</f>
        <v>0.2857142857142857</v>
      </c>
      <c r="AB82" s="1016">
        <f t="shared" si="13"/>
        <v>4.8</v>
      </c>
      <c r="AC82" s="863">
        <f t="shared" si="14"/>
        <v>0.3644688644688644</v>
      </c>
    </row>
    <row r="83" spans="1:31" s="3" customFormat="1" ht="12" x14ac:dyDescent="0.2">
      <c r="B83" s="343" t="s">
        <v>138</v>
      </c>
      <c r="C83" s="219"/>
      <c r="D83" s="216"/>
      <c r="E83" s="227"/>
      <c r="F83" s="311"/>
      <c r="G83" s="315"/>
      <c r="H83" s="395"/>
      <c r="I83" s="285"/>
      <c r="J83" s="221"/>
      <c r="K83" s="315"/>
      <c r="L83" s="221"/>
      <c r="M83" s="315"/>
      <c r="N83" s="216"/>
      <c r="O83" s="285"/>
      <c r="P83" s="216"/>
      <c r="Q83" s="285"/>
      <c r="R83" s="216"/>
      <c r="S83" s="285"/>
      <c r="T83" s="216"/>
      <c r="U83" s="285"/>
      <c r="V83" s="216"/>
      <c r="W83" s="285"/>
      <c r="X83" s="216"/>
      <c r="Y83" s="285"/>
      <c r="Z83" s="1494"/>
      <c r="AB83" s="1016"/>
      <c r="AC83" s="863"/>
    </row>
    <row r="84" spans="1:31" s="3" customFormat="1" ht="12" x14ac:dyDescent="0.2">
      <c r="B84" s="75" t="s">
        <v>129</v>
      </c>
      <c r="C84" s="224">
        <v>11</v>
      </c>
      <c r="D84" s="216">
        <f t="shared" si="15"/>
        <v>1</v>
      </c>
      <c r="E84" s="223">
        <v>11</v>
      </c>
      <c r="F84" s="311">
        <f>E84/F$66</f>
        <v>1</v>
      </c>
      <c r="G84" s="230">
        <v>13</v>
      </c>
      <c r="H84" s="395">
        <f>G84/H$66</f>
        <v>1</v>
      </c>
      <c r="I84" s="283">
        <v>11</v>
      </c>
      <c r="J84" s="221">
        <f>I84/J$66</f>
        <v>1</v>
      </c>
      <c r="K84" s="230">
        <v>10</v>
      </c>
      <c r="L84" s="221">
        <f>K84/L$66</f>
        <v>0.90909090909090906</v>
      </c>
      <c r="M84" s="230">
        <f>10+2</f>
        <v>12</v>
      </c>
      <c r="N84" s="216">
        <f>M84/N$66</f>
        <v>1</v>
      </c>
      <c r="O84" s="283">
        <v>12</v>
      </c>
      <c r="P84" s="216">
        <f>O84/P$66</f>
        <v>1</v>
      </c>
      <c r="Q84" s="283">
        <v>12</v>
      </c>
      <c r="R84" s="216">
        <f>Q84/R$66</f>
        <v>1</v>
      </c>
      <c r="S84" s="283">
        <f>5+8</f>
        <v>13</v>
      </c>
      <c r="T84" s="216">
        <f>S84/T$66</f>
        <v>1</v>
      </c>
      <c r="U84" s="283">
        <v>12</v>
      </c>
      <c r="V84" s="216">
        <f>U84/V$66</f>
        <v>0.92307692307692313</v>
      </c>
      <c r="W84" s="283">
        <f>5+9</f>
        <v>14</v>
      </c>
      <c r="X84" s="216">
        <f>W84/X$66</f>
        <v>1</v>
      </c>
      <c r="Y84" s="283">
        <v>14</v>
      </c>
      <c r="Z84" s="1494">
        <f>Y84/Z$66</f>
        <v>1</v>
      </c>
      <c r="AB84" s="1016">
        <f t="shared" si="13"/>
        <v>13</v>
      </c>
      <c r="AC84" s="863">
        <f t="shared" si="14"/>
        <v>0.98461538461538467</v>
      </c>
    </row>
    <row r="85" spans="1:31" s="3" customFormat="1" ht="12" x14ac:dyDescent="0.2">
      <c r="B85" s="75" t="s">
        <v>130</v>
      </c>
      <c r="C85" s="224">
        <v>0</v>
      </c>
      <c r="D85" s="216">
        <f t="shared" si="15"/>
        <v>0</v>
      </c>
      <c r="E85" s="223">
        <v>0</v>
      </c>
      <c r="F85" s="311">
        <f>E85/F$66</f>
        <v>0</v>
      </c>
      <c r="G85" s="230">
        <v>0</v>
      </c>
      <c r="H85" s="395">
        <f>G85/H$66</f>
        <v>0</v>
      </c>
      <c r="I85" s="283">
        <v>0</v>
      </c>
      <c r="J85" s="221">
        <f>I85/J$66</f>
        <v>0</v>
      </c>
      <c r="K85" s="230">
        <v>1</v>
      </c>
      <c r="L85" s="221">
        <f>K85/L$66</f>
        <v>9.0909090909090912E-2</v>
      </c>
      <c r="M85" s="230">
        <v>0</v>
      </c>
      <c r="N85" s="216">
        <f>M85/N$66</f>
        <v>0</v>
      </c>
      <c r="O85" s="283">
        <v>0</v>
      </c>
      <c r="P85" s="216">
        <f>O85/P$66</f>
        <v>0</v>
      </c>
      <c r="Q85" s="283">
        <v>0</v>
      </c>
      <c r="R85" s="216">
        <f>Q85/R$66</f>
        <v>0</v>
      </c>
      <c r="S85" s="283">
        <f>0</f>
        <v>0</v>
      </c>
      <c r="T85" s="216">
        <f>S85/T$66</f>
        <v>0</v>
      </c>
      <c r="U85" s="283">
        <v>1</v>
      </c>
      <c r="V85" s="216">
        <f>U85/V$66</f>
        <v>7.6923076923076927E-2</v>
      </c>
      <c r="W85" s="283">
        <v>0</v>
      </c>
      <c r="X85" s="216">
        <f>W85/X$66</f>
        <v>0</v>
      </c>
      <c r="Y85" s="283">
        <v>0</v>
      </c>
      <c r="Z85" s="1494">
        <f>Y85/Z$66</f>
        <v>0</v>
      </c>
      <c r="AB85" s="1016">
        <f t="shared" si="13"/>
        <v>0.2</v>
      </c>
      <c r="AC85" s="863">
        <f t="shared" si="14"/>
        <v>1.5384615384615385E-2</v>
      </c>
    </row>
    <row r="86" spans="1:31" s="3" customFormat="1" ht="12" x14ac:dyDescent="0.2">
      <c r="B86" s="75" t="s">
        <v>131</v>
      </c>
      <c r="C86" s="224">
        <v>0</v>
      </c>
      <c r="D86" s="216">
        <f t="shared" si="15"/>
        <v>0</v>
      </c>
      <c r="E86" s="223">
        <v>0</v>
      </c>
      <c r="F86" s="311">
        <f>E86/F$66</f>
        <v>0</v>
      </c>
      <c r="G86" s="230">
        <v>0</v>
      </c>
      <c r="H86" s="395">
        <f>G86/H$66</f>
        <v>0</v>
      </c>
      <c r="I86" s="283">
        <v>0</v>
      </c>
      <c r="J86" s="221">
        <f>I86/J$66</f>
        <v>0</v>
      </c>
      <c r="K86" s="230">
        <v>0</v>
      </c>
      <c r="L86" s="221">
        <f>K86/L$66</f>
        <v>0</v>
      </c>
      <c r="M86" s="230">
        <v>0</v>
      </c>
      <c r="N86" s="216">
        <f>M86/N$66</f>
        <v>0</v>
      </c>
      <c r="O86" s="283">
        <v>0</v>
      </c>
      <c r="P86" s="216">
        <f>O86/P$66</f>
        <v>0</v>
      </c>
      <c r="Q86" s="283">
        <v>0</v>
      </c>
      <c r="R86" s="216">
        <f>Q86/R$66</f>
        <v>0</v>
      </c>
      <c r="S86" s="283">
        <f>0</f>
        <v>0</v>
      </c>
      <c r="T86" s="216">
        <f>S86/T$66</f>
        <v>0</v>
      </c>
      <c r="U86" s="283">
        <v>0</v>
      </c>
      <c r="V86" s="216">
        <f>U86/V$66</f>
        <v>0</v>
      </c>
      <c r="W86" s="283">
        <v>0</v>
      </c>
      <c r="X86" s="216">
        <f>W86/X$66</f>
        <v>0</v>
      </c>
      <c r="Y86" s="283">
        <v>0</v>
      </c>
      <c r="Z86" s="1494">
        <f>Y86/Z$66</f>
        <v>0</v>
      </c>
      <c r="AB86" s="1016">
        <f t="shared" si="13"/>
        <v>0</v>
      </c>
      <c r="AC86" s="863">
        <f t="shared" si="14"/>
        <v>0</v>
      </c>
    </row>
    <row r="87" spans="1:31" s="3" customFormat="1" thickBot="1" x14ac:dyDescent="0.25">
      <c r="B87" s="344" t="s">
        <v>132</v>
      </c>
      <c r="C87" s="61">
        <v>0</v>
      </c>
      <c r="D87" s="220">
        <f t="shared" si="15"/>
        <v>0</v>
      </c>
      <c r="E87" s="228">
        <v>0</v>
      </c>
      <c r="F87" s="312">
        <f>E87/F$66</f>
        <v>0</v>
      </c>
      <c r="G87" s="375">
        <v>0</v>
      </c>
      <c r="H87" s="397">
        <f>G87/H$66</f>
        <v>0</v>
      </c>
      <c r="I87" s="284">
        <v>0</v>
      </c>
      <c r="J87" s="222">
        <f>I87/J$66</f>
        <v>0</v>
      </c>
      <c r="K87" s="375">
        <v>0</v>
      </c>
      <c r="L87" s="222">
        <f>K87/L$66</f>
        <v>0</v>
      </c>
      <c r="M87" s="375">
        <v>0</v>
      </c>
      <c r="N87" s="220">
        <f>M87/N$66</f>
        <v>0</v>
      </c>
      <c r="O87" s="284">
        <v>0</v>
      </c>
      <c r="P87" s="220">
        <f>O87/P$66</f>
        <v>0</v>
      </c>
      <c r="Q87" s="284">
        <v>0</v>
      </c>
      <c r="R87" s="220">
        <f>Q87/R$66</f>
        <v>0</v>
      </c>
      <c r="S87" s="284">
        <f>0</f>
        <v>0</v>
      </c>
      <c r="T87" s="220">
        <f>S87/T$66</f>
        <v>0</v>
      </c>
      <c r="U87" s="284">
        <v>0</v>
      </c>
      <c r="V87" s="220">
        <f>U87/V$66</f>
        <v>0</v>
      </c>
      <c r="W87" s="284">
        <v>0</v>
      </c>
      <c r="X87" s="220">
        <f>W87/X$66</f>
        <v>0</v>
      </c>
      <c r="Y87" s="284">
        <v>0</v>
      </c>
      <c r="Z87" s="1495">
        <f>Y87/Z$66</f>
        <v>0</v>
      </c>
      <c r="AB87" s="1016">
        <f t="shared" si="13"/>
        <v>0</v>
      </c>
      <c r="AC87" s="863">
        <f t="shared" si="14"/>
        <v>0</v>
      </c>
    </row>
    <row r="88" spans="1:31" ht="14.25" thickTop="1" thickBot="1" x14ac:dyDescent="0.25">
      <c r="A88" s="1"/>
      <c r="B88" s="956" t="s">
        <v>186</v>
      </c>
      <c r="C88" s="1992" t="s">
        <v>51</v>
      </c>
      <c r="D88" s="1993"/>
      <c r="E88" s="1992" t="s">
        <v>52</v>
      </c>
      <c r="F88" s="1993"/>
      <c r="G88" s="1989" t="s">
        <v>184</v>
      </c>
      <c r="H88" s="1990"/>
      <c r="I88" s="1989" t="s">
        <v>185</v>
      </c>
      <c r="J88" s="1990"/>
      <c r="K88" s="1989" t="s">
        <v>202</v>
      </c>
      <c r="L88" s="1990"/>
      <c r="M88" s="1991" t="s">
        <v>203</v>
      </c>
      <c r="N88" s="1979"/>
      <c r="O88" s="1970" t="s">
        <v>228</v>
      </c>
      <c r="P88" s="1979"/>
      <c r="Q88" s="1970" t="s">
        <v>238</v>
      </c>
      <c r="R88" s="1979"/>
      <c r="S88" s="1970" t="s">
        <v>273</v>
      </c>
      <c r="T88" s="1979"/>
      <c r="U88" s="1970" t="s">
        <v>275</v>
      </c>
      <c r="V88" s="1979"/>
      <c r="W88" s="1970" t="s">
        <v>281</v>
      </c>
      <c r="X88" s="1979"/>
      <c r="Y88" s="1970" t="s">
        <v>291</v>
      </c>
      <c r="Z88" s="1976"/>
      <c r="AB88" s="2003" t="s">
        <v>213</v>
      </c>
      <c r="AC88" s="2004"/>
    </row>
    <row r="89" spans="1:31" x14ac:dyDescent="0.2">
      <c r="A89" s="1"/>
      <c r="B89" s="957"/>
      <c r="C89" s="958"/>
      <c r="D89" s="959"/>
      <c r="E89" s="1273" t="s">
        <v>133</v>
      </c>
      <c r="F89" s="1180" t="s">
        <v>17</v>
      </c>
      <c r="G89" s="958" t="s">
        <v>133</v>
      </c>
      <c r="H89" s="1242" t="s">
        <v>17</v>
      </c>
      <c r="I89" s="1273" t="s">
        <v>133</v>
      </c>
      <c r="J89" s="1242" t="s">
        <v>17</v>
      </c>
      <c r="K89" s="1273" t="s">
        <v>133</v>
      </c>
      <c r="L89" s="1242" t="s">
        <v>17</v>
      </c>
      <c r="M89" s="1273" t="s">
        <v>133</v>
      </c>
      <c r="N89" s="1242" t="s">
        <v>17</v>
      </c>
      <c r="O89" s="1448" t="s">
        <v>133</v>
      </c>
      <c r="P89" s="1450" t="s">
        <v>17</v>
      </c>
      <c r="Q89" s="1451" t="s">
        <v>133</v>
      </c>
      <c r="R89" s="1450" t="s">
        <v>17</v>
      </c>
      <c r="S89" s="1451" t="s">
        <v>133</v>
      </c>
      <c r="T89" s="1450" t="s">
        <v>17</v>
      </c>
      <c r="U89" s="1768" t="s">
        <v>133</v>
      </c>
      <c r="V89" s="1450" t="s">
        <v>17</v>
      </c>
      <c r="W89" s="1768" t="s">
        <v>133</v>
      </c>
      <c r="X89" s="1450" t="s">
        <v>17</v>
      </c>
      <c r="Y89" s="1768" t="s">
        <v>133</v>
      </c>
      <c r="Z89" s="1452" t="s">
        <v>17</v>
      </c>
      <c r="AB89" s="953" t="s">
        <v>133</v>
      </c>
      <c r="AC89" s="954" t="s">
        <v>17</v>
      </c>
    </row>
    <row r="90" spans="1:31" x14ac:dyDescent="0.2">
      <c r="A90" s="1"/>
      <c r="B90" s="341" t="s">
        <v>187</v>
      </c>
      <c r="C90" s="960">
        <v>4</v>
      </c>
      <c r="D90" s="961">
        <v>1.6</v>
      </c>
      <c r="E90" s="960">
        <v>4</v>
      </c>
      <c r="F90" s="961">
        <v>1.6</v>
      </c>
      <c r="G90" s="960">
        <v>6</v>
      </c>
      <c r="H90" s="961">
        <v>2</v>
      </c>
      <c r="I90" s="960">
        <v>1</v>
      </c>
      <c r="J90" s="961">
        <v>0.1</v>
      </c>
      <c r="K90" s="960">
        <v>0</v>
      </c>
      <c r="L90" s="961">
        <v>0</v>
      </c>
      <c r="M90" s="960">
        <v>0</v>
      </c>
      <c r="N90" s="961">
        <v>0</v>
      </c>
      <c r="O90" s="960">
        <v>1</v>
      </c>
      <c r="P90" s="961">
        <v>0.5</v>
      </c>
      <c r="Q90" s="960">
        <v>3</v>
      </c>
      <c r="R90" s="961">
        <v>1.5</v>
      </c>
      <c r="S90" s="960">
        <v>4</v>
      </c>
      <c r="T90" s="961">
        <v>2</v>
      </c>
      <c r="U90" s="960">
        <v>1</v>
      </c>
      <c r="V90" s="961">
        <v>0.5</v>
      </c>
      <c r="W90" s="960">
        <v>2</v>
      </c>
      <c r="X90" s="961">
        <v>1</v>
      </c>
      <c r="Y90" s="960">
        <v>2</v>
      </c>
      <c r="Z90" s="1517">
        <v>1</v>
      </c>
      <c r="AB90" s="1115">
        <f t="shared" ref="AB90:AB92" si="16">AVERAGE(W90,U90,Q90,S90,Y90)</f>
        <v>2.4</v>
      </c>
      <c r="AC90" s="1116">
        <f>AVERAGE(X90,V90,R90,T90,Z90)</f>
        <v>1.2</v>
      </c>
    </row>
    <row r="91" spans="1:31" x14ac:dyDescent="0.2">
      <c r="A91" s="1"/>
      <c r="B91" s="341" t="s">
        <v>188</v>
      </c>
      <c r="C91" s="960">
        <v>5</v>
      </c>
      <c r="D91" s="961">
        <v>2.5</v>
      </c>
      <c r="E91" s="960">
        <v>7</v>
      </c>
      <c r="F91" s="961">
        <v>3.5</v>
      </c>
      <c r="G91" s="960">
        <v>9</v>
      </c>
      <c r="H91" s="961">
        <v>3.6</v>
      </c>
      <c r="I91" s="960">
        <v>8</v>
      </c>
      <c r="J91" s="961">
        <v>3.8</v>
      </c>
      <c r="K91" s="960">
        <v>8</v>
      </c>
      <c r="L91" s="961">
        <v>3.8</v>
      </c>
      <c r="M91" s="960">
        <v>6</v>
      </c>
      <c r="N91" s="961">
        <v>2.8</v>
      </c>
      <c r="O91" s="960">
        <v>7</v>
      </c>
      <c r="P91" s="961">
        <v>3.4</v>
      </c>
      <c r="Q91" s="960">
        <v>9</v>
      </c>
      <c r="R91" s="961">
        <v>4.5</v>
      </c>
      <c r="S91" s="960">
        <v>10</v>
      </c>
      <c r="T91" s="961">
        <v>5</v>
      </c>
      <c r="U91" s="960">
        <v>9</v>
      </c>
      <c r="V91" s="961">
        <v>4.5</v>
      </c>
      <c r="W91" s="960">
        <v>10</v>
      </c>
      <c r="X91" s="961">
        <v>5</v>
      </c>
      <c r="Y91" s="960">
        <v>11</v>
      </c>
      <c r="Z91" s="1517">
        <v>5.5</v>
      </c>
      <c r="AB91" s="1115">
        <f t="shared" si="16"/>
        <v>9.8000000000000007</v>
      </c>
      <c r="AC91" s="1116">
        <f t="shared" ref="AC91:AC92" si="17">AVERAGE(X91,V91,R91,T91,Z91)</f>
        <v>4.9000000000000004</v>
      </c>
    </row>
    <row r="92" spans="1:31" ht="13.5" thickBot="1" x14ac:dyDescent="0.25">
      <c r="A92" s="1"/>
      <c r="B92" s="344" t="s">
        <v>211</v>
      </c>
      <c r="C92" s="962">
        <v>0</v>
      </c>
      <c r="D92" s="963">
        <v>0</v>
      </c>
      <c r="E92" s="964">
        <v>0</v>
      </c>
      <c r="F92" s="963">
        <v>0</v>
      </c>
      <c r="G92" s="964">
        <v>0</v>
      </c>
      <c r="H92" s="963">
        <v>0</v>
      </c>
      <c r="I92" s="964">
        <v>0</v>
      </c>
      <c r="J92" s="963">
        <v>0</v>
      </c>
      <c r="K92" s="964">
        <v>0</v>
      </c>
      <c r="L92" s="963">
        <v>0</v>
      </c>
      <c r="M92" s="964">
        <v>0</v>
      </c>
      <c r="N92" s="963">
        <v>0</v>
      </c>
      <c r="O92" s="964">
        <v>0</v>
      </c>
      <c r="P92" s="963">
        <v>0</v>
      </c>
      <c r="Q92" s="964">
        <v>0</v>
      </c>
      <c r="R92" s="963">
        <v>0</v>
      </c>
      <c r="S92" s="964">
        <v>0</v>
      </c>
      <c r="T92" s="963">
        <v>0</v>
      </c>
      <c r="U92" s="964">
        <v>0</v>
      </c>
      <c r="V92" s="963">
        <v>0</v>
      </c>
      <c r="W92" s="964">
        <v>0</v>
      </c>
      <c r="X92" s="963">
        <v>0</v>
      </c>
      <c r="Y92" s="964">
        <v>0</v>
      </c>
      <c r="Z92" s="1518">
        <v>0</v>
      </c>
      <c r="AB92" s="1115">
        <f t="shared" si="16"/>
        <v>0</v>
      </c>
      <c r="AC92" s="1116">
        <f t="shared" si="17"/>
        <v>0</v>
      </c>
    </row>
    <row r="93" spans="1:31" ht="17.25" thickTop="1" thickBot="1" x14ac:dyDescent="0.3">
      <c r="A93" s="966"/>
      <c r="B93" s="967"/>
      <c r="C93" s="1992" t="s">
        <v>51</v>
      </c>
      <c r="D93" s="1993"/>
      <c r="E93" s="1992" t="s">
        <v>52</v>
      </c>
      <c r="F93" s="1993"/>
      <c r="G93" s="1989" t="s">
        <v>184</v>
      </c>
      <c r="H93" s="1990"/>
      <c r="I93" s="1989" t="s">
        <v>185</v>
      </c>
      <c r="J93" s="1990"/>
      <c r="K93" s="1989" t="s">
        <v>202</v>
      </c>
      <c r="L93" s="1990"/>
      <c r="M93" s="1991" t="s">
        <v>203</v>
      </c>
      <c r="N93" s="1979"/>
      <c r="O93" s="1970" t="s">
        <v>254</v>
      </c>
      <c r="P93" s="1979"/>
      <c r="Q93" s="1970" t="s">
        <v>238</v>
      </c>
      <c r="R93" s="1979"/>
      <c r="S93" s="1970" t="s">
        <v>273</v>
      </c>
      <c r="T93" s="1979"/>
      <c r="U93" s="1970" t="s">
        <v>275</v>
      </c>
      <c r="V93" s="1979"/>
      <c r="W93" s="1970" t="s">
        <v>281</v>
      </c>
      <c r="X93" s="1979"/>
      <c r="Y93" s="1970" t="s">
        <v>291</v>
      </c>
      <c r="Z93" s="1976"/>
      <c r="AA93" s="968"/>
      <c r="AB93" s="1987"/>
      <c r="AC93" s="1988"/>
      <c r="AD93" s="3"/>
      <c r="AE93" s="3"/>
    </row>
    <row r="94" spans="1:31" x14ac:dyDescent="0.2">
      <c r="A94" s="3"/>
      <c r="B94" s="342" t="s">
        <v>210</v>
      </c>
      <c r="C94" s="3"/>
      <c r="D94" s="969"/>
      <c r="E94" s="970"/>
      <c r="F94" s="971"/>
      <c r="G94" s="972"/>
      <c r="H94" s="973"/>
      <c r="I94" s="974"/>
      <c r="J94" s="593"/>
      <c r="K94" s="975"/>
      <c r="L94" s="976"/>
      <c r="M94" s="975"/>
      <c r="N94" s="991"/>
      <c r="O94" s="117"/>
      <c r="P94" s="1422"/>
      <c r="Q94" s="975"/>
      <c r="R94" s="991"/>
      <c r="S94" s="975"/>
      <c r="T94" s="991"/>
      <c r="U94" s="117"/>
      <c r="V94" s="1422"/>
      <c r="W94" s="975"/>
      <c r="X94" s="976"/>
      <c r="Y94" s="975"/>
      <c r="Z94" s="977"/>
      <c r="AA94" s="28"/>
      <c r="AB94" s="28"/>
      <c r="AC94" s="28"/>
      <c r="AD94" s="3"/>
      <c r="AE94" s="3"/>
    </row>
    <row r="95" spans="1:31" x14ac:dyDescent="0.2">
      <c r="A95" s="930"/>
      <c r="B95" s="979" t="s">
        <v>192</v>
      </c>
      <c r="C95" s="1983">
        <v>3.6</v>
      </c>
      <c r="D95" s="1984"/>
      <c r="E95" s="980"/>
      <c r="F95" s="981"/>
      <c r="G95" s="982"/>
      <c r="H95" s="983"/>
      <c r="I95" s="1983">
        <v>2.7</v>
      </c>
      <c r="J95" s="1984"/>
      <c r="K95" s="984"/>
      <c r="L95" s="985"/>
      <c r="M95" s="984"/>
      <c r="N95" s="991"/>
      <c r="O95" s="136"/>
      <c r="P95" s="1401">
        <v>9</v>
      </c>
      <c r="Q95" s="984"/>
      <c r="R95" s="991"/>
      <c r="S95" s="984"/>
      <c r="T95" s="991"/>
      <c r="U95" s="136"/>
      <c r="V95" s="1401">
        <v>7.5</v>
      </c>
      <c r="W95" s="984"/>
      <c r="X95" s="991"/>
      <c r="Y95" s="984"/>
      <c r="Z95" s="977"/>
      <c r="AA95" s="28"/>
      <c r="AB95" s="28"/>
      <c r="AC95" s="1106"/>
      <c r="AD95" s="3"/>
      <c r="AE95" s="3"/>
    </row>
    <row r="96" spans="1:31" x14ac:dyDescent="0.2">
      <c r="A96" s="930"/>
      <c r="B96" s="986" t="s">
        <v>193</v>
      </c>
      <c r="C96" s="1983"/>
      <c r="D96" s="1984"/>
      <c r="E96" s="980"/>
      <c r="F96" s="981"/>
      <c r="G96" s="982"/>
      <c r="H96" s="983"/>
      <c r="I96" s="1983"/>
      <c r="J96" s="1984"/>
      <c r="K96" s="984"/>
      <c r="L96" s="985"/>
      <c r="M96" s="984"/>
      <c r="N96" s="991"/>
      <c r="O96" s="136"/>
      <c r="P96" s="1401"/>
      <c r="Q96" s="984"/>
      <c r="R96" s="991"/>
      <c r="S96" s="984"/>
      <c r="T96" s="991"/>
      <c r="U96" s="136"/>
      <c r="V96" s="1401"/>
      <c r="W96" s="984"/>
      <c r="X96" s="991"/>
      <c r="Y96" s="984"/>
      <c r="Z96" s="977"/>
      <c r="AA96" s="28"/>
      <c r="AB96" s="28"/>
      <c r="AC96" s="1106"/>
      <c r="AD96" s="3"/>
      <c r="AE96" s="3"/>
    </row>
    <row r="97" spans="1:34" x14ac:dyDescent="0.2">
      <c r="A97" s="930"/>
      <c r="B97" s="986" t="s">
        <v>194</v>
      </c>
      <c r="C97" s="1983">
        <v>0</v>
      </c>
      <c r="D97" s="1984"/>
      <c r="E97" s="980"/>
      <c r="F97" s="981"/>
      <c r="G97" s="982"/>
      <c r="H97" s="983"/>
      <c r="I97" s="1983">
        <v>2.9</v>
      </c>
      <c r="J97" s="1984"/>
      <c r="K97" s="984"/>
      <c r="L97" s="985"/>
      <c r="M97" s="984"/>
      <c r="N97" s="991"/>
      <c r="O97" s="136"/>
      <c r="P97" s="1401">
        <v>3.5</v>
      </c>
      <c r="Q97" s="984"/>
      <c r="R97" s="991"/>
      <c r="S97" s="984"/>
      <c r="T97" s="991"/>
      <c r="U97" s="136"/>
      <c r="V97" s="1401">
        <v>4.5</v>
      </c>
      <c r="W97" s="984"/>
      <c r="X97" s="991"/>
      <c r="Y97" s="984"/>
      <c r="Z97" s="977"/>
      <c r="AA97" s="28"/>
      <c r="AB97" s="28"/>
      <c r="AC97" s="1106"/>
      <c r="AD97" s="3"/>
      <c r="AE97" s="3"/>
    </row>
    <row r="98" spans="1:34" x14ac:dyDescent="0.2">
      <c r="A98" s="930"/>
      <c r="B98" s="979" t="s">
        <v>195</v>
      </c>
      <c r="C98" s="1983">
        <v>2.5</v>
      </c>
      <c r="D98" s="1984"/>
      <c r="E98" s="980"/>
      <c r="F98" s="981"/>
      <c r="G98" s="982"/>
      <c r="H98" s="983"/>
      <c r="I98" s="1983">
        <v>0.9</v>
      </c>
      <c r="J98" s="1984"/>
      <c r="K98" s="984"/>
      <c r="L98" s="985"/>
      <c r="M98" s="984"/>
      <c r="N98" s="991"/>
      <c r="O98" s="136"/>
      <c r="P98" s="1401">
        <v>0.5</v>
      </c>
      <c r="Q98" s="984"/>
      <c r="R98" s="991"/>
      <c r="S98" s="984"/>
      <c r="T98" s="991"/>
      <c r="U98" s="136"/>
      <c r="V98" s="1401">
        <v>0.5</v>
      </c>
      <c r="W98" s="984"/>
      <c r="X98" s="991"/>
      <c r="Y98" s="984"/>
      <c r="Z98" s="977"/>
      <c r="AA98" s="28"/>
      <c r="AB98" s="28"/>
      <c r="AC98" s="1106"/>
      <c r="AD98" s="3"/>
      <c r="AE98" s="3"/>
    </row>
    <row r="99" spans="1:34" x14ac:dyDescent="0.2">
      <c r="A99" s="930"/>
      <c r="B99" s="987" t="s">
        <v>196</v>
      </c>
      <c r="C99" s="1983">
        <v>0.4</v>
      </c>
      <c r="D99" s="1984"/>
      <c r="E99" s="980"/>
      <c r="F99" s="981"/>
      <c r="G99" s="982"/>
      <c r="H99" s="983"/>
      <c r="I99" s="1983">
        <v>1.05</v>
      </c>
      <c r="J99" s="1984"/>
      <c r="K99" s="984"/>
      <c r="L99" s="985"/>
      <c r="M99" s="984"/>
      <c r="N99" s="991"/>
      <c r="O99" s="136"/>
      <c r="P99" s="1401">
        <v>2</v>
      </c>
      <c r="Q99" s="984"/>
      <c r="R99" s="991"/>
      <c r="S99" s="984"/>
      <c r="T99" s="991"/>
      <c r="U99" s="136"/>
      <c r="V99" s="1401">
        <v>2.8</v>
      </c>
      <c r="W99" s="984"/>
      <c r="X99" s="991"/>
      <c r="Y99" s="984"/>
      <c r="Z99" s="977"/>
      <c r="AA99" s="28"/>
      <c r="AB99" s="28"/>
      <c r="AC99" s="1106"/>
      <c r="AD99" s="3"/>
      <c r="AE99" s="3"/>
    </row>
    <row r="100" spans="1:34" x14ac:dyDescent="0.2">
      <c r="A100" s="930"/>
      <c r="B100" s="987" t="s">
        <v>197</v>
      </c>
      <c r="C100" s="1983">
        <f>SUM(C95:D99)</f>
        <v>6.5</v>
      </c>
      <c r="D100" s="1984"/>
      <c r="E100" s="980"/>
      <c r="F100" s="981"/>
      <c r="G100" s="982"/>
      <c r="H100" s="983"/>
      <c r="I100" s="1983">
        <f>SUM(I95:J99)</f>
        <v>7.55</v>
      </c>
      <c r="J100" s="1984"/>
      <c r="K100" s="984"/>
      <c r="L100" s="985"/>
      <c r="M100" s="984"/>
      <c r="N100" s="991"/>
      <c r="O100" s="136"/>
      <c r="P100" s="1401">
        <f>SUM(P95:P99)</f>
        <v>15</v>
      </c>
      <c r="Q100" s="984"/>
      <c r="R100" s="991"/>
      <c r="S100" s="984"/>
      <c r="T100" s="991"/>
      <c r="U100" s="136"/>
      <c r="V100" s="1401">
        <f>SUM(V95:V99)</f>
        <v>15.3</v>
      </c>
      <c r="W100" s="984"/>
      <c r="X100" s="991"/>
      <c r="Y100" s="984"/>
      <c r="Z100" s="977"/>
      <c r="AA100" s="28"/>
      <c r="AB100" s="28"/>
      <c r="AC100" s="1106"/>
      <c r="AD100" s="3"/>
      <c r="AE100" s="3"/>
    </row>
    <row r="101" spans="1:34" ht="13.5" thickBot="1" x14ac:dyDescent="0.25">
      <c r="A101" s="930"/>
      <c r="B101" s="988" t="s">
        <v>204</v>
      </c>
      <c r="C101" s="2056"/>
      <c r="D101" s="2055"/>
      <c r="E101" s="989"/>
      <c r="F101" s="990"/>
      <c r="G101" s="975"/>
      <c r="H101" s="991"/>
      <c r="I101" s="2056"/>
      <c r="J101" s="2055"/>
      <c r="K101" s="984"/>
      <c r="L101" s="985"/>
      <c r="M101" s="984"/>
      <c r="N101" s="991"/>
      <c r="O101" s="136"/>
      <c r="P101" s="1462"/>
      <c r="Q101" s="984"/>
      <c r="R101" s="991"/>
      <c r="S101" s="984"/>
      <c r="T101" s="991"/>
      <c r="U101" s="136"/>
      <c r="V101" s="1462"/>
      <c r="W101" s="984"/>
      <c r="X101" s="991"/>
      <c r="Y101" s="984"/>
      <c r="Z101" s="977"/>
      <c r="AA101" s="28"/>
      <c r="AB101" s="28"/>
      <c r="AC101" s="1106"/>
      <c r="AD101" s="3"/>
      <c r="AE101" s="3"/>
    </row>
    <row r="102" spans="1:34" x14ac:dyDescent="0.2">
      <c r="A102" s="930"/>
      <c r="B102" s="979" t="s">
        <v>198</v>
      </c>
      <c r="C102" s="2043">
        <v>3721</v>
      </c>
      <c r="D102" s="2044"/>
      <c r="E102" s="992"/>
      <c r="F102" s="993"/>
      <c r="G102" s="994"/>
      <c r="H102" s="995"/>
      <c r="I102" s="2043">
        <v>3180</v>
      </c>
      <c r="J102" s="2044"/>
      <c r="K102" s="984"/>
      <c r="L102" s="985"/>
      <c r="M102" s="984"/>
      <c r="N102" s="991"/>
      <c r="O102" s="136"/>
      <c r="P102" s="1462">
        <v>2697</v>
      </c>
      <c r="Q102" s="984"/>
      <c r="R102" s="991"/>
      <c r="S102" s="984"/>
      <c r="T102" s="991"/>
      <c r="U102" s="136"/>
      <c r="V102" s="1462">
        <v>2013</v>
      </c>
      <c r="W102" s="984"/>
      <c r="X102" s="991"/>
      <c r="Y102" s="984"/>
      <c r="Z102" s="977"/>
      <c r="AA102" s="28"/>
      <c r="AB102" s="28"/>
      <c r="AC102" s="1473"/>
      <c r="AD102" s="3"/>
      <c r="AE102" s="3"/>
    </row>
    <row r="103" spans="1:34" x14ac:dyDescent="0.2">
      <c r="A103" s="930"/>
      <c r="B103" s="987" t="s">
        <v>199</v>
      </c>
      <c r="C103" s="2043">
        <v>0</v>
      </c>
      <c r="D103" s="2044"/>
      <c r="E103" s="992"/>
      <c r="F103" s="993"/>
      <c r="G103" s="994"/>
      <c r="H103" s="995"/>
      <c r="I103" s="2043">
        <v>397</v>
      </c>
      <c r="J103" s="2044"/>
      <c r="K103" s="984"/>
      <c r="L103" s="985"/>
      <c r="M103" s="984"/>
      <c r="N103" s="991"/>
      <c r="O103" s="136"/>
      <c r="P103" s="1462">
        <v>440</v>
      </c>
      <c r="Q103" s="984"/>
      <c r="R103" s="991"/>
      <c r="S103" s="984"/>
      <c r="T103" s="991"/>
      <c r="U103" s="136"/>
      <c r="V103" s="1462">
        <v>12</v>
      </c>
      <c r="W103" s="984"/>
      <c r="X103" s="991"/>
      <c r="Y103" s="984"/>
      <c r="Z103" s="977"/>
      <c r="AA103" s="28"/>
      <c r="AB103" s="28"/>
      <c r="AC103" s="1473"/>
      <c r="AD103" s="3"/>
      <c r="AE103" s="3"/>
    </row>
    <row r="104" spans="1:34" x14ac:dyDescent="0.2">
      <c r="A104" s="930"/>
      <c r="B104" s="987" t="s">
        <v>200</v>
      </c>
      <c r="C104" s="2043">
        <v>1449</v>
      </c>
      <c r="D104" s="2044"/>
      <c r="E104" s="992"/>
      <c r="F104" s="993"/>
      <c r="G104" s="994"/>
      <c r="H104" s="995"/>
      <c r="I104" s="2043">
        <v>2145</v>
      </c>
      <c r="J104" s="2044"/>
      <c r="K104" s="984"/>
      <c r="L104" s="985"/>
      <c r="M104" s="984"/>
      <c r="N104" s="991"/>
      <c r="O104" s="136"/>
      <c r="P104" s="1462">
        <v>2904</v>
      </c>
      <c r="Q104" s="984"/>
      <c r="R104" s="991"/>
      <c r="S104" s="984"/>
      <c r="T104" s="991"/>
      <c r="U104" s="136"/>
      <c r="V104" s="1462">
        <f>525+2943</f>
        <v>3468</v>
      </c>
      <c r="W104" s="984"/>
      <c r="X104" s="991"/>
      <c r="Y104" s="984"/>
      <c r="Z104" s="977"/>
      <c r="AA104" s="28"/>
      <c r="AB104" s="28"/>
      <c r="AC104" s="1473"/>
      <c r="AD104" s="3"/>
      <c r="AE104" s="3"/>
    </row>
    <row r="105" spans="1:34" x14ac:dyDescent="0.2">
      <c r="A105" s="930"/>
      <c r="B105" s="987" t="s">
        <v>209</v>
      </c>
      <c r="C105" s="2043">
        <f>SUM(C102:D104)</f>
        <v>5170</v>
      </c>
      <c r="D105" s="2044"/>
      <c r="E105" s="992"/>
      <c r="F105" s="993"/>
      <c r="G105" s="994"/>
      <c r="H105" s="995"/>
      <c r="I105" s="2043">
        <f>SUM(I102:J104)</f>
        <v>5722</v>
      </c>
      <c r="J105" s="2044"/>
      <c r="K105" s="984"/>
      <c r="L105" s="985"/>
      <c r="M105" s="984"/>
      <c r="N105" s="991"/>
      <c r="O105" s="136"/>
      <c r="P105" s="1462">
        <f>SUM(P102:P104)</f>
        <v>6041</v>
      </c>
      <c r="Q105" s="984"/>
      <c r="R105" s="991"/>
      <c r="S105" s="984"/>
      <c r="T105" s="991"/>
      <c r="U105" s="136"/>
      <c r="V105" s="1462">
        <f>SUM(V102:V104)</f>
        <v>5493</v>
      </c>
      <c r="W105" s="984"/>
      <c r="X105" s="991"/>
      <c r="Y105" s="984"/>
      <c r="Z105" s="977"/>
      <c r="AA105" s="28"/>
      <c r="AB105" s="28"/>
      <c r="AC105" s="1473"/>
      <c r="AD105" s="3"/>
      <c r="AE105" s="3"/>
    </row>
    <row r="106" spans="1:34" ht="13.5" thickBot="1" x14ac:dyDescent="0.25">
      <c r="A106" s="930"/>
      <c r="B106" s="988" t="s">
        <v>205</v>
      </c>
      <c r="C106" s="2056"/>
      <c r="D106" s="2055"/>
      <c r="E106" s="989"/>
      <c r="F106" s="990"/>
      <c r="G106" s="975"/>
      <c r="H106" s="991"/>
      <c r="I106" s="2056"/>
      <c r="J106" s="2055"/>
      <c r="K106" s="984"/>
      <c r="L106" s="985"/>
      <c r="M106" s="984"/>
      <c r="N106" s="991"/>
      <c r="O106" s="136"/>
      <c r="P106" s="1422"/>
      <c r="Q106" s="984"/>
      <c r="R106" s="991"/>
      <c r="S106" s="984"/>
      <c r="T106" s="991"/>
      <c r="U106" s="136"/>
      <c r="V106" s="1422"/>
      <c r="W106" s="984"/>
      <c r="X106" s="991"/>
      <c r="Y106" s="984"/>
      <c r="Z106" s="977"/>
      <c r="AA106" s="28"/>
      <c r="AB106" s="28"/>
      <c r="AC106" s="1106"/>
      <c r="AD106" s="28"/>
      <c r="AE106" s="28"/>
    </row>
    <row r="107" spans="1:34" x14ac:dyDescent="0.2">
      <c r="A107" s="930"/>
      <c r="B107" s="979" t="s">
        <v>206</v>
      </c>
      <c r="C107" s="2043">
        <f>C102/C95</f>
        <v>1033.6111111111111</v>
      </c>
      <c r="D107" s="2044"/>
      <c r="E107" s="992"/>
      <c r="F107" s="993"/>
      <c r="G107" s="994"/>
      <c r="H107" s="995"/>
      <c r="I107" s="2043">
        <f>I102/I95</f>
        <v>1177.7777777777776</v>
      </c>
      <c r="J107" s="2044"/>
      <c r="K107" s="1000"/>
      <c r="L107" s="1001"/>
      <c r="M107" s="1000"/>
      <c r="N107" s="999"/>
      <c r="O107" s="494"/>
      <c r="P107" s="1402">
        <f>P102/P95</f>
        <v>299.66666666666669</v>
      </c>
      <c r="Q107" s="1000"/>
      <c r="R107" s="999"/>
      <c r="S107" s="1000"/>
      <c r="T107" s="999"/>
      <c r="U107" s="494"/>
      <c r="V107" s="1402">
        <f>V102/V95</f>
        <v>268.39999999999998</v>
      </c>
      <c r="W107" s="1000"/>
      <c r="X107" s="999"/>
      <c r="Y107" s="1000"/>
      <c r="Z107" s="1460"/>
      <c r="AA107" s="668"/>
      <c r="AB107" s="668"/>
      <c r="AC107" s="1106"/>
      <c r="AD107" s="21"/>
      <c r="AE107" s="21"/>
    </row>
    <row r="108" spans="1:34" x14ac:dyDescent="0.2">
      <c r="A108" s="930"/>
      <c r="B108" s="987" t="s">
        <v>207</v>
      </c>
      <c r="C108" s="2043">
        <v>0</v>
      </c>
      <c r="D108" s="2044"/>
      <c r="E108" s="992"/>
      <c r="F108" s="993"/>
      <c r="G108" s="994"/>
      <c r="H108" s="995"/>
      <c r="I108" s="2043">
        <f>I103/I97</f>
        <v>136.89655172413794</v>
      </c>
      <c r="J108" s="2044"/>
      <c r="K108" s="1000"/>
      <c r="L108" s="1001"/>
      <c r="M108" s="1000"/>
      <c r="N108" s="999"/>
      <c r="O108" s="494"/>
      <c r="P108" s="1402">
        <f>P103/P97</f>
        <v>125.71428571428571</v>
      </c>
      <c r="Q108" s="1000"/>
      <c r="R108" s="999"/>
      <c r="S108" s="1000"/>
      <c r="T108" s="999"/>
      <c r="U108" s="494"/>
      <c r="V108" s="1402">
        <f>V103/(V97+V98)</f>
        <v>2.4</v>
      </c>
      <c r="W108" s="1000"/>
      <c r="X108" s="999"/>
      <c r="Y108" s="1000"/>
      <c r="Z108" s="1460"/>
      <c r="AA108" s="668"/>
      <c r="AB108" s="668"/>
      <c r="AC108" s="1106"/>
      <c r="AD108" s="21"/>
      <c r="AE108" s="21"/>
    </row>
    <row r="109" spans="1:34" x14ac:dyDescent="0.2">
      <c r="A109" s="930"/>
      <c r="B109" s="987" t="s">
        <v>208</v>
      </c>
      <c r="C109" s="2043">
        <f>C104/C99</f>
        <v>3622.5</v>
      </c>
      <c r="D109" s="2044"/>
      <c r="E109" s="992"/>
      <c r="F109" s="993"/>
      <c r="G109" s="994"/>
      <c r="H109" s="995"/>
      <c r="I109" s="2043">
        <f>I104/I99</f>
        <v>2042.8571428571427</v>
      </c>
      <c r="J109" s="2044"/>
      <c r="K109" s="1000"/>
      <c r="L109" s="1001"/>
      <c r="M109" s="1000"/>
      <c r="N109" s="999"/>
      <c r="O109" s="494"/>
      <c r="P109" s="1402">
        <f>P104/P99</f>
        <v>1452</v>
      </c>
      <c r="Q109" s="1000"/>
      <c r="R109" s="999"/>
      <c r="S109" s="1000"/>
      <c r="T109" s="999"/>
      <c r="U109" s="494"/>
      <c r="V109" s="1402">
        <f>V104/V99</f>
        <v>1238.5714285714287</v>
      </c>
      <c r="W109" s="1000"/>
      <c r="X109" s="999"/>
      <c r="Y109" s="1000"/>
      <c r="Z109" s="1460"/>
      <c r="AA109" s="668"/>
      <c r="AB109" s="668"/>
      <c r="AC109" s="1106"/>
      <c r="AD109" s="21"/>
      <c r="AE109" s="21"/>
    </row>
    <row r="110" spans="1:34" ht="13.5" thickBot="1" x14ac:dyDescent="0.25">
      <c r="A110" s="930"/>
      <c r="B110" s="1002" t="s">
        <v>201</v>
      </c>
      <c r="C110" s="2072">
        <f>C105/C100</f>
        <v>795.38461538461536</v>
      </c>
      <c r="D110" s="2073"/>
      <c r="E110" s="1051"/>
      <c r="F110" s="1052"/>
      <c r="G110" s="1053"/>
      <c r="H110" s="1054"/>
      <c r="I110" s="2072">
        <f>I105/I100</f>
        <v>757.88079470198682</v>
      </c>
      <c r="J110" s="2073"/>
      <c r="K110" s="1005"/>
      <c r="L110" s="1006"/>
      <c r="M110" s="1005"/>
      <c r="N110" s="1006"/>
      <c r="O110" s="1233"/>
      <c r="P110" s="1423">
        <f>P105/P100</f>
        <v>402.73333333333335</v>
      </c>
      <c r="Q110" s="1005"/>
      <c r="R110" s="1006"/>
      <c r="S110" s="1005"/>
      <c r="T110" s="1006"/>
      <c r="U110" s="1233"/>
      <c r="V110" s="1423">
        <f>V105/V100</f>
        <v>359.01960784313724</v>
      </c>
      <c r="W110" s="1005"/>
      <c r="X110" s="1006"/>
      <c r="Y110" s="1005"/>
      <c r="Z110" s="1461"/>
      <c r="AA110" s="668"/>
      <c r="AB110" s="668"/>
      <c r="AC110" s="1106"/>
      <c r="AD110" s="21"/>
      <c r="AE110" s="21"/>
    </row>
    <row r="111" spans="1:34" ht="13.5" thickTop="1" x14ac:dyDescent="0.2">
      <c r="A111" s="3"/>
      <c r="B111" s="3" t="str">
        <f>Dean_AS!B169</f>
        <v>*Note: Beginning with the 2009 collection cycle, Instructional FTE was defined according to the national Delaware Study of Instructional Costs and Productivity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x14ac:dyDescent="0.2">
      <c r="A112" s="3"/>
      <c r="B112" s="3"/>
      <c r="K112" s="3"/>
      <c r="L112" s="3"/>
      <c r="M112" s="3"/>
      <c r="N112" s="3"/>
      <c r="O112" s="3"/>
      <c r="P112" s="3" t="s">
        <v>29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x14ac:dyDescent="0.2">
      <c r="A113" s="3"/>
      <c r="B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x14ac:dyDescent="0.2">
      <c r="A114" s="3"/>
      <c r="B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x14ac:dyDescent="0.2">
      <c r="A115" s="3"/>
      <c r="B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x14ac:dyDescent="0.2">
      <c r="A116" s="3"/>
      <c r="B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x14ac:dyDescent="0.2">
      <c r="A117" s="3"/>
      <c r="B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x14ac:dyDescent="0.2">
      <c r="A118" s="3"/>
      <c r="B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x14ac:dyDescent="0.2">
      <c r="A119" s="3"/>
      <c r="B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x14ac:dyDescent="0.2">
      <c r="A120" s="3"/>
      <c r="B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x14ac:dyDescent="0.2">
      <c r="A121" s="3"/>
      <c r="B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x14ac:dyDescent="0.2">
      <c r="A122" s="3"/>
      <c r="B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x14ac:dyDescent="0.2">
      <c r="A123" s="3"/>
      <c r="B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x14ac:dyDescent="0.2">
      <c r="A124" s="3"/>
      <c r="B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x14ac:dyDescent="0.2">
      <c r="A125" s="3"/>
      <c r="B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x14ac:dyDescent="0.2">
      <c r="A126" s="3"/>
      <c r="B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x14ac:dyDescent="0.2">
      <c r="A127" s="3"/>
      <c r="B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x14ac:dyDescent="0.2">
      <c r="A128" s="3"/>
      <c r="B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x14ac:dyDescent="0.2">
      <c r="A129" s="3"/>
      <c r="B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x14ac:dyDescent="0.2">
      <c r="A130" s="3"/>
      <c r="B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x14ac:dyDescent="0.2">
      <c r="A131" s="3"/>
      <c r="B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x14ac:dyDescent="0.2">
      <c r="A132" s="3"/>
      <c r="B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x14ac:dyDescent="0.2">
      <c r="A133" s="3"/>
      <c r="B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x14ac:dyDescent="0.2">
      <c r="A134" s="3"/>
      <c r="B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x14ac:dyDescent="0.2">
      <c r="A135" s="3"/>
      <c r="B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x14ac:dyDescent="0.2">
      <c r="A136" s="3"/>
      <c r="B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x14ac:dyDescent="0.2">
      <c r="A137" s="3"/>
      <c r="B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x14ac:dyDescent="0.2">
      <c r="A138" s="3"/>
      <c r="B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x14ac:dyDescent="0.2">
      <c r="A139" s="3"/>
      <c r="B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x14ac:dyDescent="0.2">
      <c r="A140" s="3"/>
      <c r="B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x14ac:dyDescent="0.2">
      <c r="A141" s="3"/>
      <c r="B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x14ac:dyDescent="0.2">
      <c r="A142" s="3"/>
      <c r="B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x14ac:dyDescent="0.2">
      <c r="A143" s="3"/>
      <c r="B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x14ac:dyDescent="0.2">
      <c r="A144" s="3"/>
      <c r="B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x14ac:dyDescent="0.2">
      <c r="A145" s="3"/>
      <c r="B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x14ac:dyDescent="0.2">
      <c r="A146" s="3"/>
      <c r="B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x14ac:dyDescent="0.2">
      <c r="A147" s="3"/>
      <c r="B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x14ac:dyDescent="0.2">
      <c r="A148" s="3"/>
      <c r="B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x14ac:dyDescent="0.2">
      <c r="A149" s="3"/>
      <c r="B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x14ac:dyDescent="0.2">
      <c r="A150" s="3"/>
      <c r="B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x14ac:dyDescent="0.2">
      <c r="A151" s="3"/>
      <c r="B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x14ac:dyDescent="0.2">
      <c r="A152" s="3"/>
      <c r="B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 x14ac:dyDescent="0.2">
      <c r="A153" s="3"/>
      <c r="B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x14ac:dyDescent="0.2">
      <c r="A154" s="3"/>
      <c r="B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x14ac:dyDescent="0.2">
      <c r="A155" s="3"/>
      <c r="B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x14ac:dyDescent="0.2">
      <c r="A156" s="3"/>
      <c r="B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x14ac:dyDescent="0.2">
      <c r="A157" s="3"/>
      <c r="B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x14ac:dyDescent="0.2">
      <c r="A158" s="3"/>
      <c r="B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 x14ac:dyDescent="0.2">
      <c r="A159" s="3"/>
      <c r="B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x14ac:dyDescent="0.2">
      <c r="A160" s="3"/>
      <c r="B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x14ac:dyDescent="0.2">
      <c r="A161" s="3"/>
      <c r="B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x14ac:dyDescent="0.2">
      <c r="A162" s="3"/>
      <c r="B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x14ac:dyDescent="0.2">
      <c r="A163" s="3"/>
      <c r="B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 x14ac:dyDescent="0.2">
      <c r="A164" s="3"/>
      <c r="B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x14ac:dyDescent="0.2">
      <c r="A165" s="3"/>
      <c r="B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x14ac:dyDescent="0.2">
      <c r="A166" s="3"/>
      <c r="B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 x14ac:dyDescent="0.2">
      <c r="A167" s="3"/>
      <c r="B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x14ac:dyDescent="0.2">
      <c r="A168" s="3"/>
      <c r="B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x14ac:dyDescent="0.2">
      <c r="A169" s="3"/>
      <c r="B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 x14ac:dyDescent="0.2">
      <c r="A170" s="3"/>
      <c r="B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 x14ac:dyDescent="0.2">
      <c r="A171" s="3"/>
      <c r="B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 x14ac:dyDescent="0.2">
      <c r="A172" s="3"/>
      <c r="B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 x14ac:dyDescent="0.2">
      <c r="A173" s="3"/>
      <c r="B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x14ac:dyDescent="0.2">
      <c r="A174" s="3"/>
      <c r="B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x14ac:dyDescent="0.2">
      <c r="A175" s="3"/>
      <c r="B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x14ac:dyDescent="0.2">
      <c r="A176" s="3"/>
      <c r="B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x14ac:dyDescent="0.2">
      <c r="A177" s="3"/>
      <c r="B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x14ac:dyDescent="0.2">
      <c r="A178" s="3"/>
      <c r="B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x14ac:dyDescent="0.2">
      <c r="A179" s="3"/>
      <c r="B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x14ac:dyDescent="0.2">
      <c r="A180" s="3"/>
      <c r="B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x14ac:dyDescent="0.2">
      <c r="A181" s="3"/>
      <c r="B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x14ac:dyDescent="0.2">
      <c r="A182" s="3"/>
      <c r="B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 x14ac:dyDescent="0.2">
      <c r="A183" s="3"/>
      <c r="B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x14ac:dyDescent="0.2">
      <c r="A184" s="3"/>
      <c r="B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x14ac:dyDescent="0.2">
      <c r="A185" s="3"/>
      <c r="B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x14ac:dyDescent="0.2">
      <c r="A186" s="3"/>
      <c r="B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x14ac:dyDescent="0.2">
      <c r="A187" s="3"/>
      <c r="B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 x14ac:dyDescent="0.2">
      <c r="A188" s="3"/>
      <c r="B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 x14ac:dyDescent="0.2">
      <c r="A189" s="3"/>
      <c r="B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x14ac:dyDescent="0.2">
      <c r="A190" s="3"/>
      <c r="B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x14ac:dyDescent="0.2">
      <c r="A191" s="3"/>
      <c r="B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 x14ac:dyDescent="0.2">
      <c r="A192" s="3"/>
      <c r="B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x14ac:dyDescent="0.2">
      <c r="A193" s="3"/>
      <c r="B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 x14ac:dyDescent="0.2">
      <c r="A194" s="3"/>
      <c r="B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 x14ac:dyDescent="0.2">
      <c r="A195" s="3"/>
      <c r="B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x14ac:dyDescent="0.2">
      <c r="A196" s="3"/>
      <c r="B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 x14ac:dyDescent="0.2">
      <c r="A197" s="3"/>
      <c r="B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x14ac:dyDescent="0.2">
      <c r="A198" s="3"/>
      <c r="B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x14ac:dyDescent="0.2">
      <c r="A199" s="3"/>
      <c r="B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x14ac:dyDescent="0.2">
      <c r="A200" s="3"/>
      <c r="B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 x14ac:dyDescent="0.2">
      <c r="A201" s="3"/>
      <c r="B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 x14ac:dyDescent="0.2">
      <c r="A202" s="3"/>
      <c r="B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 x14ac:dyDescent="0.2">
      <c r="A203" s="3"/>
      <c r="B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 x14ac:dyDescent="0.2">
      <c r="A204" s="3"/>
      <c r="B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x14ac:dyDescent="0.2">
      <c r="A205" s="3"/>
      <c r="B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 x14ac:dyDescent="0.2">
      <c r="A206" s="3"/>
      <c r="B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 x14ac:dyDescent="0.2">
      <c r="A207" s="3"/>
      <c r="B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 x14ac:dyDescent="0.2">
      <c r="A208" s="3"/>
      <c r="B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 x14ac:dyDescent="0.2">
      <c r="A209" s="3"/>
      <c r="B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 x14ac:dyDescent="0.2">
      <c r="A210" s="3"/>
      <c r="B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 x14ac:dyDescent="0.2">
      <c r="A211" s="3"/>
      <c r="B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 x14ac:dyDescent="0.2">
      <c r="A212" s="3"/>
      <c r="B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 x14ac:dyDescent="0.2">
      <c r="A213" s="3"/>
      <c r="B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 x14ac:dyDescent="0.2">
      <c r="A214" s="3"/>
      <c r="B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 x14ac:dyDescent="0.2">
      <c r="A215" s="3"/>
      <c r="B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 x14ac:dyDescent="0.2">
      <c r="A216" s="3"/>
      <c r="B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 x14ac:dyDescent="0.2">
      <c r="A217" s="3"/>
      <c r="B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 x14ac:dyDescent="0.2">
      <c r="A218" s="3"/>
      <c r="B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 x14ac:dyDescent="0.2">
      <c r="A219" s="3"/>
      <c r="B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 x14ac:dyDescent="0.2">
      <c r="A220" s="3"/>
      <c r="B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 x14ac:dyDescent="0.2">
      <c r="A221" s="3"/>
      <c r="B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 x14ac:dyDescent="0.2">
      <c r="A222" s="3"/>
      <c r="B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 x14ac:dyDescent="0.2">
      <c r="A223" s="3"/>
      <c r="B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 x14ac:dyDescent="0.2">
      <c r="A224" s="3"/>
      <c r="B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 x14ac:dyDescent="0.2">
      <c r="A225" s="3"/>
      <c r="B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 x14ac:dyDescent="0.2">
      <c r="A226" s="3"/>
      <c r="B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 x14ac:dyDescent="0.2">
      <c r="A227" s="3"/>
      <c r="B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 x14ac:dyDescent="0.2">
      <c r="A228" s="3"/>
      <c r="B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 x14ac:dyDescent="0.2">
      <c r="A229" s="3"/>
      <c r="B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 x14ac:dyDescent="0.2">
      <c r="A230" s="3"/>
      <c r="B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 x14ac:dyDescent="0.2">
      <c r="A231" s="3"/>
      <c r="B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 x14ac:dyDescent="0.2">
      <c r="A232" s="3"/>
      <c r="B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 x14ac:dyDescent="0.2">
      <c r="A233" s="3"/>
      <c r="B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 x14ac:dyDescent="0.2">
      <c r="A234" s="3"/>
      <c r="B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 x14ac:dyDescent="0.2">
      <c r="A235" s="3"/>
      <c r="B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 x14ac:dyDescent="0.2">
      <c r="A236" s="3"/>
      <c r="B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 x14ac:dyDescent="0.2">
      <c r="A237" s="3"/>
      <c r="B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 x14ac:dyDescent="0.2">
      <c r="A238" s="3"/>
      <c r="B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 x14ac:dyDescent="0.2">
      <c r="A239" s="3"/>
      <c r="B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 x14ac:dyDescent="0.2">
      <c r="A240" s="3"/>
      <c r="B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 x14ac:dyDescent="0.2">
      <c r="A241" s="3"/>
      <c r="B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 x14ac:dyDescent="0.2">
      <c r="A242" s="3"/>
      <c r="B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 x14ac:dyDescent="0.2">
      <c r="A243" s="3"/>
      <c r="B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 x14ac:dyDescent="0.2">
      <c r="A244" s="3"/>
      <c r="B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 x14ac:dyDescent="0.2">
      <c r="A245" s="3"/>
      <c r="B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 x14ac:dyDescent="0.2">
      <c r="A246" s="3"/>
      <c r="B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 x14ac:dyDescent="0.2">
      <c r="A247" s="3"/>
      <c r="B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 x14ac:dyDescent="0.2">
      <c r="A248" s="3"/>
      <c r="B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 x14ac:dyDescent="0.2">
      <c r="A249" s="3"/>
      <c r="B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 x14ac:dyDescent="0.2">
      <c r="A250" s="3"/>
      <c r="B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 x14ac:dyDescent="0.2">
      <c r="A251" s="3"/>
      <c r="B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 x14ac:dyDescent="0.2">
      <c r="A252" s="3"/>
      <c r="B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 x14ac:dyDescent="0.2">
      <c r="A253" s="3"/>
      <c r="B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 x14ac:dyDescent="0.2">
      <c r="A254" s="3"/>
      <c r="B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 x14ac:dyDescent="0.2">
      <c r="A255" s="3"/>
      <c r="B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 x14ac:dyDescent="0.2">
      <c r="A256" s="3"/>
      <c r="B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 x14ac:dyDescent="0.2">
      <c r="A257" s="3"/>
      <c r="B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 x14ac:dyDescent="0.2">
      <c r="A258" s="3"/>
      <c r="B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 x14ac:dyDescent="0.2">
      <c r="A259" s="3"/>
      <c r="B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 x14ac:dyDescent="0.2">
      <c r="A260" s="3"/>
      <c r="B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 x14ac:dyDescent="0.2">
      <c r="A261" s="3"/>
      <c r="B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 x14ac:dyDescent="0.2">
      <c r="A262" s="3"/>
      <c r="B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 x14ac:dyDescent="0.2">
      <c r="A263" s="3"/>
      <c r="B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 x14ac:dyDescent="0.2">
      <c r="A264" s="3"/>
      <c r="B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 x14ac:dyDescent="0.2">
      <c r="A265" s="3"/>
      <c r="B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 x14ac:dyDescent="0.2">
      <c r="A266" s="3"/>
      <c r="B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 x14ac:dyDescent="0.2">
      <c r="A267" s="3"/>
      <c r="B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 x14ac:dyDescent="0.2">
      <c r="A268" s="3"/>
      <c r="B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 x14ac:dyDescent="0.2">
      <c r="A269" s="3"/>
      <c r="B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 x14ac:dyDescent="0.2">
      <c r="A270" s="3"/>
      <c r="B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 x14ac:dyDescent="0.2">
      <c r="A271" s="3"/>
      <c r="B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 x14ac:dyDescent="0.2">
      <c r="A272" s="3"/>
      <c r="B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 x14ac:dyDescent="0.2">
      <c r="A273" s="3"/>
      <c r="B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x14ac:dyDescent="0.2">
      <c r="A274" s="3"/>
      <c r="B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x14ac:dyDescent="0.2">
      <c r="A275" s="3"/>
      <c r="B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x14ac:dyDescent="0.2">
      <c r="A276" s="3"/>
      <c r="B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x14ac:dyDescent="0.2">
      <c r="A277" s="3"/>
      <c r="B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x14ac:dyDescent="0.2">
      <c r="A278" s="3"/>
      <c r="B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x14ac:dyDescent="0.2">
      <c r="A279" s="3"/>
      <c r="B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x14ac:dyDescent="0.2">
      <c r="A280" s="3"/>
      <c r="B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x14ac:dyDescent="0.2">
      <c r="A281" s="3"/>
      <c r="B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x14ac:dyDescent="0.2">
      <c r="A282" s="3"/>
      <c r="B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x14ac:dyDescent="0.2">
      <c r="A283" s="3"/>
      <c r="B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x14ac:dyDescent="0.2">
      <c r="A284" s="3"/>
      <c r="B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x14ac:dyDescent="0.2">
      <c r="A285" s="3"/>
      <c r="B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x14ac:dyDescent="0.2">
      <c r="A286" s="3"/>
      <c r="B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x14ac:dyDescent="0.2">
      <c r="A287" s="3"/>
      <c r="B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x14ac:dyDescent="0.2">
      <c r="A288" s="3"/>
      <c r="B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x14ac:dyDescent="0.2">
      <c r="A289" s="3"/>
      <c r="B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x14ac:dyDescent="0.2">
      <c r="A290" s="3"/>
      <c r="B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x14ac:dyDescent="0.2">
      <c r="A291" s="3"/>
      <c r="B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x14ac:dyDescent="0.2">
      <c r="A292" s="3"/>
      <c r="B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x14ac:dyDescent="0.2">
      <c r="A293" s="3"/>
      <c r="B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x14ac:dyDescent="0.2">
      <c r="A294" s="3"/>
      <c r="B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x14ac:dyDescent="0.2">
      <c r="A295" s="3"/>
      <c r="B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x14ac:dyDescent="0.2">
      <c r="A296" s="3"/>
      <c r="B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x14ac:dyDescent="0.2">
      <c r="A297" s="3"/>
      <c r="B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x14ac:dyDescent="0.2">
      <c r="A298" s="3"/>
      <c r="B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x14ac:dyDescent="0.2">
      <c r="A299" s="3"/>
      <c r="B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x14ac:dyDescent="0.2">
      <c r="A300" s="3"/>
      <c r="B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x14ac:dyDescent="0.2">
      <c r="A301" s="3"/>
      <c r="B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x14ac:dyDescent="0.2">
      <c r="A302" s="3"/>
      <c r="B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x14ac:dyDescent="0.2">
      <c r="A303" s="3"/>
      <c r="B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x14ac:dyDescent="0.2">
      <c r="A304" s="3"/>
      <c r="B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x14ac:dyDescent="0.2">
      <c r="A305" s="3"/>
      <c r="B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x14ac:dyDescent="0.2">
      <c r="A306" s="3"/>
      <c r="B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x14ac:dyDescent="0.2">
      <c r="A307" s="3"/>
      <c r="B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x14ac:dyDescent="0.2">
      <c r="A308" s="3"/>
      <c r="B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x14ac:dyDescent="0.2">
      <c r="A309" s="3"/>
      <c r="B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x14ac:dyDescent="0.2">
      <c r="A310" s="3"/>
      <c r="B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 x14ac:dyDescent="0.2">
      <c r="A311" s="3"/>
      <c r="B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 x14ac:dyDescent="0.2">
      <c r="A312" s="3"/>
      <c r="B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 x14ac:dyDescent="0.2">
      <c r="A313" s="3"/>
      <c r="B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34" x14ac:dyDescent="0.2">
      <c r="A314" s="3"/>
      <c r="B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 x14ac:dyDescent="0.2">
      <c r="A315" s="3"/>
      <c r="B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34" x14ac:dyDescent="0.2">
      <c r="A316" s="3"/>
      <c r="B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 x14ac:dyDescent="0.2">
      <c r="A317" s="3"/>
      <c r="B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 x14ac:dyDescent="0.2">
      <c r="A318" s="3"/>
      <c r="B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1:34" x14ac:dyDescent="0.2">
      <c r="A319" s="3"/>
      <c r="B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1:34" x14ac:dyDescent="0.2">
      <c r="A320" s="3"/>
      <c r="B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 x14ac:dyDescent="0.2">
      <c r="A321" s="3"/>
      <c r="B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 x14ac:dyDescent="0.2">
      <c r="A322" s="3"/>
      <c r="B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 x14ac:dyDescent="0.2">
      <c r="A323" s="3"/>
      <c r="B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1:34" x14ac:dyDescent="0.2">
      <c r="A324" s="3"/>
      <c r="B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4" x14ac:dyDescent="0.2">
      <c r="A325" s="3"/>
      <c r="B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1:34" x14ac:dyDescent="0.2">
      <c r="A326" s="3"/>
      <c r="B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1:34" x14ac:dyDescent="0.2">
      <c r="A327" s="3"/>
      <c r="B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 x14ac:dyDescent="0.2">
      <c r="A328" s="3"/>
      <c r="B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1:34" x14ac:dyDescent="0.2">
      <c r="A329" s="3"/>
      <c r="B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1:34" x14ac:dyDescent="0.2">
      <c r="A330" s="3"/>
      <c r="B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1:34" x14ac:dyDescent="0.2">
      <c r="A331" s="3"/>
      <c r="B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1:34" x14ac:dyDescent="0.2">
      <c r="A332" s="3"/>
      <c r="B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 x14ac:dyDescent="0.2">
      <c r="A333" s="3"/>
      <c r="B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1:34" x14ac:dyDescent="0.2">
      <c r="A334" s="3"/>
      <c r="B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</row>
    <row r="335" spans="1:34" x14ac:dyDescent="0.2">
      <c r="A335" s="3"/>
      <c r="B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</row>
    <row r="336" spans="1:34" x14ac:dyDescent="0.2">
      <c r="A336" s="3"/>
      <c r="B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1:34" x14ac:dyDescent="0.2">
      <c r="A337" s="3"/>
      <c r="B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1:34" x14ac:dyDescent="0.2">
      <c r="A338" s="3"/>
      <c r="B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1:34" x14ac:dyDescent="0.2">
      <c r="A339" s="3"/>
      <c r="B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1:34" x14ac:dyDescent="0.2">
      <c r="A340" s="3"/>
      <c r="B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1:34" x14ac:dyDescent="0.2">
      <c r="A341" s="3"/>
      <c r="B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1:34" x14ac:dyDescent="0.2">
      <c r="A342" s="3"/>
      <c r="B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</row>
    <row r="343" spans="1:34" x14ac:dyDescent="0.2">
      <c r="A343" s="3"/>
      <c r="B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1:34" x14ac:dyDescent="0.2">
      <c r="A344" s="3"/>
      <c r="B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1:34" x14ac:dyDescent="0.2">
      <c r="A345" s="3"/>
      <c r="B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1:34" x14ac:dyDescent="0.2">
      <c r="A346" s="3"/>
      <c r="B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1:34" x14ac:dyDescent="0.2">
      <c r="A347" s="3"/>
      <c r="B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1:34" x14ac:dyDescent="0.2">
      <c r="A348" s="3"/>
      <c r="B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1:34" x14ac:dyDescent="0.2">
      <c r="A349" s="3"/>
      <c r="B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1:34" x14ac:dyDescent="0.2">
      <c r="A350" s="3"/>
      <c r="B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1:34" x14ac:dyDescent="0.2">
      <c r="A351" s="3"/>
      <c r="B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1:34" x14ac:dyDescent="0.2">
      <c r="A352" s="3"/>
      <c r="B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1:34" x14ac:dyDescent="0.2">
      <c r="A353" s="3"/>
      <c r="B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1:34" x14ac:dyDescent="0.2">
      <c r="A354" s="3"/>
      <c r="B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1:34" x14ac:dyDescent="0.2">
      <c r="A355" s="3"/>
      <c r="B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1:34" x14ac:dyDescent="0.2">
      <c r="A356" s="3"/>
      <c r="B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1:34" x14ac:dyDescent="0.2">
      <c r="A357" s="3"/>
      <c r="B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1:34" x14ac:dyDescent="0.2">
      <c r="A358" s="3"/>
      <c r="B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1:34" x14ac:dyDescent="0.2">
      <c r="A359" s="3"/>
      <c r="B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1:34" x14ac:dyDescent="0.2">
      <c r="A360" s="3"/>
      <c r="B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 x14ac:dyDescent="0.2">
      <c r="A361" s="3"/>
      <c r="B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1:34" x14ac:dyDescent="0.2">
      <c r="A362" s="3"/>
      <c r="B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1:34" x14ac:dyDescent="0.2">
      <c r="A363" s="3"/>
      <c r="B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1:34" x14ac:dyDescent="0.2">
      <c r="A364" s="3"/>
      <c r="B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</row>
    <row r="365" spans="1:34" x14ac:dyDescent="0.2">
      <c r="A365" s="3"/>
      <c r="B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1:34" x14ac:dyDescent="0.2">
      <c r="A366" s="3"/>
      <c r="B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1:34" x14ac:dyDescent="0.2">
      <c r="A367" s="3"/>
      <c r="B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1:34" x14ac:dyDescent="0.2">
      <c r="A368" s="3"/>
      <c r="B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1:34" x14ac:dyDescent="0.2">
      <c r="A369" s="3"/>
      <c r="B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1:34" x14ac:dyDescent="0.2">
      <c r="A370" s="3"/>
      <c r="B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1:34" x14ac:dyDescent="0.2">
      <c r="A371" s="3"/>
      <c r="B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1:34" x14ac:dyDescent="0.2">
      <c r="A372" s="3"/>
      <c r="B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</row>
    <row r="373" spans="1:34" x14ac:dyDescent="0.2">
      <c r="A373" s="3"/>
      <c r="B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</row>
    <row r="374" spans="1:34" x14ac:dyDescent="0.2">
      <c r="A374" s="3"/>
      <c r="B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</row>
    <row r="375" spans="1:34" x14ac:dyDescent="0.2">
      <c r="A375" s="3"/>
      <c r="B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1:34" x14ac:dyDescent="0.2">
      <c r="A376" s="3"/>
      <c r="B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1:34" x14ac:dyDescent="0.2">
      <c r="A377" s="3"/>
      <c r="B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</row>
    <row r="378" spans="1:34" x14ac:dyDescent="0.2">
      <c r="A378" s="3"/>
      <c r="B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</row>
    <row r="379" spans="1:34" x14ac:dyDescent="0.2">
      <c r="A379" s="3"/>
      <c r="B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</row>
    <row r="380" spans="1:34" x14ac:dyDescent="0.2">
      <c r="A380" s="3"/>
      <c r="B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1:34" x14ac:dyDescent="0.2">
      <c r="A381" s="3"/>
      <c r="B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1:34" x14ac:dyDescent="0.2">
      <c r="A382" s="3"/>
      <c r="B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</row>
    <row r="383" spans="1:34" x14ac:dyDescent="0.2">
      <c r="A383" s="3"/>
      <c r="B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1:34" x14ac:dyDescent="0.2">
      <c r="A384" s="3"/>
      <c r="B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</row>
    <row r="385" spans="1:34" x14ac:dyDescent="0.2">
      <c r="A385" s="3"/>
      <c r="B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1:34" x14ac:dyDescent="0.2">
      <c r="A386" s="3"/>
      <c r="B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1:34" x14ac:dyDescent="0.2">
      <c r="A387" s="3"/>
      <c r="B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1:34" x14ac:dyDescent="0.2">
      <c r="A388" s="3"/>
      <c r="B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1:34" x14ac:dyDescent="0.2">
      <c r="A389" s="3"/>
      <c r="B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1:34" x14ac:dyDescent="0.2">
      <c r="A390" s="3"/>
      <c r="B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1:34" x14ac:dyDescent="0.2">
      <c r="A391" s="3"/>
      <c r="B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1:34" x14ac:dyDescent="0.2">
      <c r="A392" s="3"/>
      <c r="B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</row>
    <row r="393" spans="1:34" x14ac:dyDescent="0.2">
      <c r="A393" s="3"/>
      <c r="B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1:34" x14ac:dyDescent="0.2">
      <c r="A394" s="3"/>
      <c r="B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1:34" x14ac:dyDescent="0.2">
      <c r="A395" s="3"/>
      <c r="B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1:34" x14ac:dyDescent="0.2">
      <c r="A396" s="3"/>
      <c r="B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  <row r="397" spans="1:34" x14ac:dyDescent="0.2">
      <c r="A397" s="3"/>
      <c r="B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</row>
    <row r="398" spans="1:34" x14ac:dyDescent="0.2">
      <c r="A398" s="3"/>
      <c r="B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</row>
    <row r="399" spans="1:34" x14ac:dyDescent="0.2">
      <c r="A399" s="3"/>
      <c r="B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</row>
    <row r="400" spans="1:34" x14ac:dyDescent="0.2">
      <c r="A400" s="3"/>
      <c r="B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4" x14ac:dyDescent="0.2">
      <c r="A401" s="3"/>
      <c r="B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1:34" x14ac:dyDescent="0.2">
      <c r="A402" s="3"/>
      <c r="B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</row>
    <row r="403" spans="1:34" x14ac:dyDescent="0.2">
      <c r="A403" s="3"/>
      <c r="B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</row>
    <row r="404" spans="1:34" x14ac:dyDescent="0.2">
      <c r="A404" s="3"/>
      <c r="B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</row>
    <row r="405" spans="1:34" x14ac:dyDescent="0.2">
      <c r="A405" s="3"/>
      <c r="B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</row>
    <row r="406" spans="1:34" x14ac:dyDescent="0.2">
      <c r="A406" s="3"/>
      <c r="B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1:34" x14ac:dyDescent="0.2">
      <c r="A407" s="3"/>
      <c r="B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</row>
    <row r="408" spans="1:34" x14ac:dyDescent="0.2">
      <c r="A408" s="3"/>
      <c r="B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</row>
    <row r="409" spans="1:34" x14ac:dyDescent="0.2">
      <c r="A409" s="3"/>
      <c r="B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1:34" x14ac:dyDescent="0.2">
      <c r="A410" s="3"/>
      <c r="B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1:34" x14ac:dyDescent="0.2">
      <c r="A411" s="3"/>
      <c r="B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1:34" x14ac:dyDescent="0.2">
      <c r="A412" s="3"/>
      <c r="B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</row>
    <row r="413" spans="1:34" x14ac:dyDescent="0.2">
      <c r="A413" s="3"/>
      <c r="B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</row>
    <row r="414" spans="1:34" x14ac:dyDescent="0.2">
      <c r="A414" s="3"/>
      <c r="B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</row>
    <row r="415" spans="1:34" x14ac:dyDescent="0.2">
      <c r="A415" s="3"/>
      <c r="B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1:34" x14ac:dyDescent="0.2">
      <c r="A416" s="3"/>
      <c r="B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1:34" x14ac:dyDescent="0.2">
      <c r="A417" s="3"/>
      <c r="B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</row>
    <row r="418" spans="1:34" x14ac:dyDescent="0.2">
      <c r="A418" s="3"/>
      <c r="B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</row>
    <row r="419" spans="1:34" x14ac:dyDescent="0.2">
      <c r="A419" s="3"/>
      <c r="B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</row>
    <row r="420" spans="1:34" x14ac:dyDescent="0.2">
      <c r="A420" s="3"/>
      <c r="B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1:34" x14ac:dyDescent="0.2">
      <c r="A421" s="3"/>
      <c r="B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1:34" x14ac:dyDescent="0.2">
      <c r="A422" s="3"/>
      <c r="B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</row>
    <row r="423" spans="1:34" x14ac:dyDescent="0.2">
      <c r="A423" s="3"/>
      <c r="B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</row>
    <row r="424" spans="1:34" x14ac:dyDescent="0.2">
      <c r="A424" s="3"/>
      <c r="B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</row>
    <row r="425" spans="1:34" x14ac:dyDescent="0.2">
      <c r="A425" s="3"/>
      <c r="B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</row>
    <row r="426" spans="1:34" x14ac:dyDescent="0.2">
      <c r="A426" s="3"/>
      <c r="B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</row>
    <row r="427" spans="1:34" x14ac:dyDescent="0.2">
      <c r="A427" s="3"/>
      <c r="B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</row>
    <row r="428" spans="1:34" x14ac:dyDescent="0.2">
      <c r="A428" s="3"/>
      <c r="B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</row>
    <row r="429" spans="1:34" x14ac:dyDescent="0.2">
      <c r="A429" s="3"/>
      <c r="B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</row>
    <row r="430" spans="1:34" x14ac:dyDescent="0.2">
      <c r="A430" s="3"/>
      <c r="B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</row>
    <row r="431" spans="1:34" x14ac:dyDescent="0.2">
      <c r="A431" s="3"/>
      <c r="B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</row>
    <row r="432" spans="1:34" x14ac:dyDescent="0.2">
      <c r="A432" s="3"/>
      <c r="B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</row>
    <row r="433" spans="1:34" x14ac:dyDescent="0.2">
      <c r="A433" s="3"/>
      <c r="B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</row>
    <row r="434" spans="1:34" x14ac:dyDescent="0.2">
      <c r="A434" s="3"/>
      <c r="B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</row>
    <row r="435" spans="1:34" x14ac:dyDescent="0.2">
      <c r="A435" s="3"/>
      <c r="B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</row>
    <row r="436" spans="1:34" x14ac:dyDescent="0.2">
      <c r="A436" s="3"/>
      <c r="B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</row>
    <row r="437" spans="1:34" x14ac:dyDescent="0.2">
      <c r="A437" s="3"/>
      <c r="B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</row>
    <row r="438" spans="1:34" x14ac:dyDescent="0.2">
      <c r="A438" s="3"/>
      <c r="B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</row>
    <row r="439" spans="1:34" x14ac:dyDescent="0.2">
      <c r="A439" s="3"/>
      <c r="B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</row>
    <row r="440" spans="1:34" x14ac:dyDescent="0.2">
      <c r="A440" s="3"/>
      <c r="B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</row>
    <row r="441" spans="1:34" x14ac:dyDescent="0.2">
      <c r="A441" s="3"/>
      <c r="B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</row>
    <row r="442" spans="1:34" x14ac:dyDescent="0.2">
      <c r="A442" s="3"/>
      <c r="B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</row>
    <row r="443" spans="1:34" x14ac:dyDescent="0.2">
      <c r="A443" s="3"/>
      <c r="B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</row>
    <row r="444" spans="1:34" x14ac:dyDescent="0.2">
      <c r="A444" s="3"/>
      <c r="B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</row>
    <row r="445" spans="1:34" x14ac:dyDescent="0.2">
      <c r="A445" s="3"/>
      <c r="B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</row>
    <row r="446" spans="1:34" x14ac:dyDescent="0.2">
      <c r="A446" s="3"/>
      <c r="B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</row>
    <row r="447" spans="1:34" x14ac:dyDescent="0.2">
      <c r="A447" s="3"/>
      <c r="B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</row>
    <row r="448" spans="1:34" x14ac:dyDescent="0.2">
      <c r="A448" s="3"/>
      <c r="B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</row>
    <row r="449" spans="1:34" x14ac:dyDescent="0.2">
      <c r="A449" s="3"/>
      <c r="B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</row>
    <row r="450" spans="1:34" x14ac:dyDescent="0.2">
      <c r="A450" s="3"/>
      <c r="B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</row>
    <row r="451" spans="1:34" x14ac:dyDescent="0.2">
      <c r="A451" s="3"/>
      <c r="B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</row>
    <row r="452" spans="1:34" x14ac:dyDescent="0.2">
      <c r="A452" s="3"/>
      <c r="B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1:34" x14ac:dyDescent="0.2">
      <c r="A453" s="3"/>
      <c r="B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1:34" x14ac:dyDescent="0.2">
      <c r="A454" s="3"/>
      <c r="B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</row>
    <row r="455" spans="1:34" x14ac:dyDescent="0.2">
      <c r="A455" s="3"/>
      <c r="B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</row>
    <row r="456" spans="1:34" x14ac:dyDescent="0.2">
      <c r="A456" s="3"/>
      <c r="B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</row>
    <row r="457" spans="1:34" x14ac:dyDescent="0.2">
      <c r="A457" s="3"/>
      <c r="B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</row>
    <row r="458" spans="1:34" x14ac:dyDescent="0.2">
      <c r="A458" s="3"/>
      <c r="B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</row>
    <row r="459" spans="1:34" x14ac:dyDescent="0.2">
      <c r="A459" s="3"/>
      <c r="B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</row>
    <row r="460" spans="1:34" x14ac:dyDescent="0.2">
      <c r="A460" s="3"/>
      <c r="B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</row>
    <row r="461" spans="1:34" x14ac:dyDescent="0.2">
      <c r="A461" s="3"/>
      <c r="B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</row>
    <row r="462" spans="1:34" x14ac:dyDescent="0.2">
      <c r="A462" s="3"/>
      <c r="B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</row>
    <row r="463" spans="1:34" x14ac:dyDescent="0.2">
      <c r="A463" s="3"/>
      <c r="B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</row>
    <row r="464" spans="1:34" x14ac:dyDescent="0.2">
      <c r="A464" s="3"/>
      <c r="B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</row>
    <row r="465" spans="1:34" x14ac:dyDescent="0.2">
      <c r="A465" s="3"/>
      <c r="B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</row>
    <row r="466" spans="1:34" x14ac:dyDescent="0.2">
      <c r="A466" s="3"/>
      <c r="B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</row>
  </sheetData>
  <mergeCells count="140">
    <mergeCell ref="AB7:AC7"/>
    <mergeCell ref="AB17:AC17"/>
    <mergeCell ref="AB32:AC32"/>
    <mergeCell ref="AB58:AC58"/>
    <mergeCell ref="AB28:AC28"/>
    <mergeCell ref="AB25:AC25"/>
    <mergeCell ref="W7:X7"/>
    <mergeCell ref="W17:X17"/>
    <mergeCell ref="W25:X25"/>
    <mergeCell ref="Y7:Z7"/>
    <mergeCell ref="Y17:Z17"/>
    <mergeCell ref="Y25:Z25"/>
    <mergeCell ref="Y28:Z28"/>
    <mergeCell ref="Y32:Z32"/>
    <mergeCell ref="Y58:Z58"/>
    <mergeCell ref="C99:D99"/>
    <mergeCell ref="I99:J99"/>
    <mergeCell ref="C100:D100"/>
    <mergeCell ref="I100:J100"/>
    <mergeCell ref="I95:J95"/>
    <mergeCell ref="C96:D96"/>
    <mergeCell ref="I96:J96"/>
    <mergeCell ref="O93:P93"/>
    <mergeCell ref="U7:V7"/>
    <mergeCell ref="U17:V17"/>
    <mergeCell ref="U25:V25"/>
    <mergeCell ref="U28:V28"/>
    <mergeCell ref="U32:V32"/>
    <mergeCell ref="U58:V58"/>
    <mergeCell ref="S7:T7"/>
    <mergeCell ref="S17:T17"/>
    <mergeCell ref="S25:T25"/>
    <mergeCell ref="S28:T28"/>
    <mergeCell ref="S32:T32"/>
    <mergeCell ref="S58:T58"/>
    <mergeCell ref="C58:D58"/>
    <mergeCell ref="E58:F58"/>
    <mergeCell ref="G58:H58"/>
    <mergeCell ref="S88:T88"/>
    <mergeCell ref="C109:D109"/>
    <mergeCell ref="I109:J109"/>
    <mergeCell ref="C110:D110"/>
    <mergeCell ref="I110:J110"/>
    <mergeCell ref="C107:D107"/>
    <mergeCell ref="I107:J107"/>
    <mergeCell ref="C108:D108"/>
    <mergeCell ref="I108:J108"/>
    <mergeCell ref="C101:D101"/>
    <mergeCell ref="I101:J101"/>
    <mergeCell ref="C102:D102"/>
    <mergeCell ref="I102:J102"/>
    <mergeCell ref="C105:D105"/>
    <mergeCell ref="I105:J105"/>
    <mergeCell ref="C106:D106"/>
    <mergeCell ref="I106:J106"/>
    <mergeCell ref="C103:D103"/>
    <mergeCell ref="I103:J103"/>
    <mergeCell ref="C104:D104"/>
    <mergeCell ref="I104:J104"/>
    <mergeCell ref="C97:D97"/>
    <mergeCell ref="I97:J97"/>
    <mergeCell ref="C98:D98"/>
    <mergeCell ref="I98:J98"/>
    <mergeCell ref="C95:D95"/>
    <mergeCell ref="AB88:AC88"/>
    <mergeCell ref="C93:D93"/>
    <mergeCell ref="E93:F93"/>
    <mergeCell ref="G93:H93"/>
    <mergeCell ref="I93:J93"/>
    <mergeCell ref="K93:L93"/>
    <mergeCell ref="M93:N93"/>
    <mergeCell ref="AB93:AC93"/>
    <mergeCell ref="C88:D88"/>
    <mergeCell ref="E88:F88"/>
    <mergeCell ref="U88:V88"/>
    <mergeCell ref="U93:V93"/>
    <mergeCell ref="W93:X93"/>
    <mergeCell ref="W88:X88"/>
    <mergeCell ref="O88:P88"/>
    <mergeCell ref="Q88:R88"/>
    <mergeCell ref="M88:N88"/>
    <mergeCell ref="Q93:R93"/>
    <mergeCell ref="S93:T93"/>
    <mergeCell ref="K7:L7"/>
    <mergeCell ref="K17:L17"/>
    <mergeCell ref="K32:L32"/>
    <mergeCell ref="M32:N32"/>
    <mergeCell ref="I25:J25"/>
    <mergeCell ref="I26:J26"/>
    <mergeCell ref="I58:J58"/>
    <mergeCell ref="K58:L58"/>
    <mergeCell ref="G88:H88"/>
    <mergeCell ref="I88:J88"/>
    <mergeCell ref="K88:L88"/>
    <mergeCell ref="G27:H27"/>
    <mergeCell ref="I27:J27"/>
    <mergeCell ref="K25:L25"/>
    <mergeCell ref="M58:N58"/>
    <mergeCell ref="E32:F32"/>
    <mergeCell ref="C25:D25"/>
    <mergeCell ref="C17:D17"/>
    <mergeCell ref="M25:N25"/>
    <mergeCell ref="G28:H28"/>
    <mergeCell ref="I28:J28"/>
    <mergeCell ref="K28:L28"/>
    <mergeCell ref="G32:H32"/>
    <mergeCell ref="I17:J17"/>
    <mergeCell ref="I32:J32"/>
    <mergeCell ref="G26:H26"/>
    <mergeCell ref="E17:F17"/>
    <mergeCell ref="G17:H17"/>
    <mergeCell ref="E25:F25"/>
    <mergeCell ref="G25:H25"/>
    <mergeCell ref="C26:D26"/>
    <mergeCell ref="E26:F26"/>
    <mergeCell ref="C27:D27"/>
    <mergeCell ref="E27:F27"/>
    <mergeCell ref="C28:D28"/>
    <mergeCell ref="E28:F28"/>
    <mergeCell ref="C32:D32"/>
    <mergeCell ref="Y88:Z88"/>
    <mergeCell ref="Y93:Z93"/>
    <mergeCell ref="Q7:R7"/>
    <mergeCell ref="Q17:R17"/>
    <mergeCell ref="Q25:R25"/>
    <mergeCell ref="Q28:R28"/>
    <mergeCell ref="Q32:R32"/>
    <mergeCell ref="M28:N28"/>
    <mergeCell ref="Q58:R58"/>
    <mergeCell ref="O58:P58"/>
    <mergeCell ref="O7:P7"/>
    <mergeCell ref="O17:P17"/>
    <mergeCell ref="O25:P25"/>
    <mergeCell ref="O28:P28"/>
    <mergeCell ref="O32:P32"/>
    <mergeCell ref="M7:N7"/>
    <mergeCell ref="M17:N17"/>
    <mergeCell ref="W28:X28"/>
    <mergeCell ref="W32:X32"/>
    <mergeCell ref="W58:X58"/>
  </mergeCells>
  <phoneticPr fontId="3" type="noConversion"/>
  <printOptions horizontalCentered="1"/>
  <pageMargins left="0.5" right="0.5" top="0.5" bottom="0.5" header="0.5" footer="0.25"/>
  <pageSetup scale="71" orientation="landscape" r:id="rId1"/>
  <headerFooter alignWithMargins="0">
    <oddFooter>&amp;R&amp;P of &amp;N
&amp;D</oddFooter>
  </headerFooter>
  <rowBreaks count="1" manualBreakCount="1">
    <brk id="55" max="20" man="1"/>
  </rowBreaks>
  <ignoredErrors>
    <ignoredError sqref="M75:M82 M68:M73 S68:S87 W68:W8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9"/>
  <sheetViews>
    <sheetView view="pageBreakPreview" zoomScaleNormal="100" workbookViewId="0">
      <pane xSplit="2" ySplit="1" topLeftCell="C2" activePane="bottomRight" state="frozen"/>
      <selection activeCell="AF81" sqref="AF81"/>
      <selection pane="topRight" activeCell="AF81" sqref="AF81"/>
      <selection pane="bottomLeft" activeCell="AF81" sqref="AF81"/>
      <selection pane="bottomRight" activeCell="AF81" sqref="AF81"/>
    </sheetView>
  </sheetViews>
  <sheetFormatPr defaultColWidth="10.28515625" defaultRowHeight="12.75" x14ac:dyDescent="0.2"/>
  <cols>
    <col min="1" max="1" width="3.7109375" customWidth="1"/>
    <col min="2" max="2" width="31.5703125" customWidth="1"/>
    <col min="3" max="3" width="7.7109375" hidden="1" customWidth="1"/>
    <col min="4" max="4" width="10.7109375" hidden="1" customWidth="1"/>
    <col min="5" max="5" width="7.7109375" hidden="1" customWidth="1"/>
    <col min="6" max="6" width="10.7109375" hidden="1" customWidth="1"/>
    <col min="7" max="7" width="7.7109375" style="115" hidden="1" customWidth="1"/>
    <col min="8" max="8" width="10.7109375" style="115" hidden="1" customWidth="1"/>
    <col min="9" max="9" width="7.7109375" style="115" hidden="1" customWidth="1"/>
    <col min="10" max="10" width="10.7109375" style="115" hidden="1" customWidth="1"/>
    <col min="11" max="11" width="7.7109375" hidden="1" customWidth="1"/>
    <col min="12" max="12" width="10.7109375" hidden="1" customWidth="1"/>
    <col min="13" max="13" width="7.7109375" hidden="1" customWidth="1"/>
    <col min="14" max="14" width="10.7109375" hidden="1" customWidth="1"/>
    <col min="15" max="15" width="7.7109375" customWidth="1"/>
    <col min="16" max="16" width="10.7109375" customWidth="1"/>
    <col min="17" max="17" width="7.7109375" customWidth="1"/>
    <col min="18" max="18" width="10.7109375" customWidth="1"/>
    <col min="19" max="19" width="7.7109375" customWidth="1"/>
    <col min="20" max="20" width="10.7109375" customWidth="1"/>
    <col min="21" max="21" width="7.7109375" customWidth="1"/>
    <col min="22" max="22" width="10.7109375" customWidth="1"/>
    <col min="23" max="23" width="7.7109375" customWidth="1"/>
    <col min="24" max="24" width="10.7109375" customWidth="1"/>
    <col min="25" max="25" width="7.7109375" customWidth="1"/>
    <col min="26" max="26" width="10.7109375" customWidth="1"/>
    <col min="27" max="27" width="1.85546875" customWidth="1"/>
    <col min="28" max="28" width="7.7109375" customWidth="1"/>
    <col min="29" max="29" width="10.7109375" customWidth="1"/>
    <col min="30" max="30" width="2" customWidth="1"/>
  </cols>
  <sheetData>
    <row r="1" spans="1:29" ht="18" x14ac:dyDescent="0.25">
      <c r="A1" s="1243" t="str">
        <f>Dean_AS!A1</f>
        <v>Department Profile Report - FY 2015</v>
      </c>
      <c r="B1" s="1243"/>
      <c r="C1" s="1243"/>
      <c r="D1" s="1243"/>
      <c r="E1" s="1243"/>
      <c r="F1" s="1243"/>
      <c r="G1" s="1243"/>
      <c r="H1" s="1243"/>
      <c r="I1" s="1239"/>
      <c r="J1" s="1239"/>
      <c r="K1" s="1228"/>
      <c r="L1" s="1182"/>
      <c r="M1" s="1182"/>
      <c r="N1" s="1182"/>
      <c r="O1" s="1182"/>
      <c r="P1" s="1182"/>
      <c r="Q1" s="1182"/>
      <c r="R1" s="1182"/>
      <c r="S1" s="1182"/>
      <c r="T1" s="1182"/>
      <c r="U1" s="1182"/>
      <c r="V1" s="1182"/>
      <c r="W1" s="1182"/>
      <c r="X1" s="1182"/>
      <c r="Y1" s="1182"/>
      <c r="Z1" s="1182"/>
      <c r="AA1" s="1182"/>
      <c r="AB1" s="1182"/>
      <c r="AC1" s="1182"/>
    </row>
    <row r="2" spans="1:29" x14ac:dyDescent="0.2">
      <c r="A2" s="2" t="s">
        <v>23</v>
      </c>
      <c r="B2" s="117"/>
      <c r="C2" s="3"/>
      <c r="D2" s="3"/>
      <c r="E2" s="3"/>
      <c r="F2" s="3"/>
      <c r="G2" s="117"/>
      <c r="H2" s="117"/>
      <c r="I2" s="117"/>
      <c r="J2" s="117"/>
      <c r="K2" s="3"/>
    </row>
    <row r="3" spans="1:29" ht="6.75" customHeight="1" x14ac:dyDescent="0.2">
      <c r="A3" s="3"/>
      <c r="B3" s="3"/>
      <c r="C3" s="3"/>
      <c r="D3" s="3"/>
      <c r="E3" s="3"/>
      <c r="F3" s="3"/>
      <c r="G3" s="117"/>
      <c r="H3" s="117"/>
      <c r="I3" s="117"/>
      <c r="J3" s="117"/>
      <c r="K3" s="3"/>
    </row>
    <row r="4" spans="1:29" x14ac:dyDescent="0.2">
      <c r="A4" s="2" t="s">
        <v>77</v>
      </c>
      <c r="B4" s="3"/>
      <c r="C4" s="3"/>
      <c r="D4" s="3"/>
      <c r="E4" s="3"/>
      <c r="F4" s="3"/>
      <c r="G4" s="117"/>
      <c r="H4" s="117"/>
      <c r="I4" s="117"/>
      <c r="J4" s="117"/>
      <c r="K4" s="3"/>
      <c r="T4" s="617"/>
      <c r="V4" s="617"/>
      <c r="X4" s="617"/>
      <c r="Z4" s="617"/>
    </row>
    <row r="5" spans="1:29" ht="13.5" thickBot="1" x14ac:dyDescent="0.25">
      <c r="A5" s="4"/>
      <c r="B5" s="3"/>
      <c r="C5" s="3"/>
      <c r="D5" s="3"/>
      <c r="E5" s="3"/>
      <c r="F5" s="3"/>
      <c r="G5" s="117"/>
      <c r="H5" s="117"/>
      <c r="I5" s="117"/>
      <c r="J5" s="117"/>
      <c r="K5" s="3"/>
    </row>
    <row r="6" spans="1:29" ht="14.25" thickTop="1" thickBot="1" x14ac:dyDescent="0.25">
      <c r="A6" s="3"/>
      <c r="B6" s="22"/>
      <c r="C6" s="29" t="s">
        <v>49</v>
      </c>
      <c r="D6" s="51"/>
      <c r="E6" s="29" t="s">
        <v>50</v>
      </c>
      <c r="F6" s="7"/>
      <c r="G6" s="302" t="s">
        <v>141</v>
      </c>
      <c r="H6" s="121"/>
      <c r="I6" s="1968" t="s">
        <v>152</v>
      </c>
      <c r="J6" s="1968"/>
      <c r="K6" s="1994" t="s">
        <v>154</v>
      </c>
      <c r="L6" s="1968"/>
      <c r="M6" s="1994" t="s">
        <v>171</v>
      </c>
      <c r="N6" s="1980"/>
      <c r="O6" s="1968" t="s">
        <v>227</v>
      </c>
      <c r="P6" s="1980"/>
      <c r="Q6" s="1968" t="s">
        <v>237</v>
      </c>
      <c r="R6" s="1980"/>
      <c r="S6" s="1968" t="s">
        <v>272</v>
      </c>
      <c r="T6" s="1980"/>
      <c r="U6" s="1968" t="s">
        <v>274</v>
      </c>
      <c r="V6" s="1980"/>
      <c r="W6" s="1968" t="s">
        <v>280</v>
      </c>
      <c r="X6" s="1980"/>
      <c r="Y6" s="1968" t="s">
        <v>290</v>
      </c>
      <c r="Z6" s="1969"/>
      <c r="AB6" s="2003" t="s">
        <v>213</v>
      </c>
      <c r="AC6" s="2004"/>
    </row>
    <row r="7" spans="1:29" x14ac:dyDescent="0.2">
      <c r="A7" s="3"/>
      <c r="B7" s="71"/>
      <c r="C7" s="42" t="s">
        <v>1</v>
      </c>
      <c r="D7" s="47" t="s">
        <v>2</v>
      </c>
      <c r="E7" s="42" t="s">
        <v>1</v>
      </c>
      <c r="F7" s="8" t="s">
        <v>2</v>
      </c>
      <c r="G7" s="303" t="s">
        <v>1</v>
      </c>
      <c r="H7" s="125" t="s">
        <v>2</v>
      </c>
      <c r="I7" s="124" t="s">
        <v>1</v>
      </c>
      <c r="J7" s="300" t="s">
        <v>2</v>
      </c>
      <c r="K7" s="303" t="s">
        <v>1</v>
      </c>
      <c r="L7" s="300" t="s">
        <v>2</v>
      </c>
      <c r="M7" s="303" t="s">
        <v>1</v>
      </c>
      <c r="N7" s="125" t="s">
        <v>2</v>
      </c>
      <c r="O7" s="124" t="s">
        <v>1</v>
      </c>
      <c r="P7" s="125" t="s">
        <v>2</v>
      </c>
      <c r="Q7" s="124" t="s">
        <v>1</v>
      </c>
      <c r="R7" s="125" t="s">
        <v>2</v>
      </c>
      <c r="S7" s="124" t="s">
        <v>1</v>
      </c>
      <c r="T7" s="125" t="s">
        <v>2</v>
      </c>
      <c r="U7" s="124" t="s">
        <v>1</v>
      </c>
      <c r="V7" s="125" t="s">
        <v>2</v>
      </c>
      <c r="W7" s="124" t="s">
        <v>1</v>
      </c>
      <c r="X7" s="125" t="s">
        <v>2</v>
      </c>
      <c r="Y7" s="124" t="s">
        <v>1</v>
      </c>
      <c r="Z7" s="126" t="s">
        <v>2</v>
      </c>
      <c r="AB7" s="921" t="s">
        <v>214</v>
      </c>
      <c r="AC7" s="922" t="s">
        <v>215</v>
      </c>
    </row>
    <row r="8" spans="1:29" ht="13.5" thickBot="1" x14ac:dyDescent="0.25">
      <c r="A8" s="3"/>
      <c r="B8" s="72"/>
      <c r="C8" s="46" t="s">
        <v>3</v>
      </c>
      <c r="D8" s="48" t="s">
        <v>4</v>
      </c>
      <c r="E8" s="46" t="s">
        <v>3</v>
      </c>
      <c r="F8" s="26" t="s">
        <v>4</v>
      </c>
      <c r="G8" s="304" t="s">
        <v>3</v>
      </c>
      <c r="H8" s="123" t="s">
        <v>4</v>
      </c>
      <c r="I8" s="127" t="s">
        <v>3</v>
      </c>
      <c r="J8" s="301" t="s">
        <v>4</v>
      </c>
      <c r="K8" s="304" t="s">
        <v>3</v>
      </c>
      <c r="L8" s="301" t="s">
        <v>4</v>
      </c>
      <c r="M8" s="304" t="s">
        <v>3</v>
      </c>
      <c r="N8" s="123" t="s">
        <v>4</v>
      </c>
      <c r="O8" s="127" t="s">
        <v>3</v>
      </c>
      <c r="P8" s="123" t="s">
        <v>4</v>
      </c>
      <c r="Q8" s="127" t="s">
        <v>3</v>
      </c>
      <c r="R8" s="123" t="s">
        <v>4</v>
      </c>
      <c r="S8" s="127" t="s">
        <v>3</v>
      </c>
      <c r="T8" s="123" t="s">
        <v>4</v>
      </c>
      <c r="U8" s="127" t="s">
        <v>3</v>
      </c>
      <c r="V8" s="123" t="s">
        <v>4</v>
      </c>
      <c r="W8" s="127" t="s">
        <v>3</v>
      </c>
      <c r="X8" s="123" t="s">
        <v>4</v>
      </c>
      <c r="Y8" s="127" t="s">
        <v>3</v>
      </c>
      <c r="Z8" s="128" t="s">
        <v>4</v>
      </c>
      <c r="AB8" s="923" t="s">
        <v>3</v>
      </c>
      <c r="AC8" s="924" t="s">
        <v>4</v>
      </c>
    </row>
    <row r="9" spans="1:29" x14ac:dyDescent="0.2">
      <c r="A9" s="3"/>
      <c r="B9" s="73" t="s">
        <v>5</v>
      </c>
      <c r="C9" s="15"/>
      <c r="D9" s="49"/>
      <c r="E9" s="15"/>
      <c r="F9" s="13"/>
      <c r="G9" s="305"/>
      <c r="H9" s="131"/>
      <c r="I9" s="130"/>
      <c r="J9" s="150"/>
      <c r="K9" s="305"/>
      <c r="L9" s="150"/>
      <c r="M9" s="305"/>
      <c r="N9" s="131"/>
      <c r="O9" s="130"/>
      <c r="P9" s="131"/>
      <c r="Q9" s="130"/>
      <c r="R9" s="131"/>
      <c r="S9" s="130"/>
      <c r="T9" s="131"/>
      <c r="U9" s="130"/>
      <c r="V9" s="131"/>
      <c r="W9" s="130"/>
      <c r="X9" s="131"/>
      <c r="Y9" s="130"/>
      <c r="Z9" s="296"/>
      <c r="AB9" s="925"/>
      <c r="AC9" s="581"/>
    </row>
    <row r="10" spans="1:29" s="617" customFormat="1" x14ac:dyDescent="0.2">
      <c r="A10" s="618"/>
      <c r="B10" s="1538" t="s">
        <v>66</v>
      </c>
      <c r="C10" s="693"/>
      <c r="D10" s="694"/>
      <c r="E10" s="693"/>
      <c r="F10" s="695"/>
      <c r="G10" s="649"/>
      <c r="H10" s="696"/>
      <c r="I10" s="650"/>
      <c r="J10" s="697"/>
      <c r="K10" s="649"/>
      <c r="L10" s="697"/>
      <c r="M10" s="649"/>
      <c r="N10" s="696"/>
      <c r="O10" s="650"/>
      <c r="P10" s="696"/>
      <c r="Q10" s="650"/>
      <c r="R10" s="696"/>
      <c r="S10" s="650"/>
      <c r="T10" s="696"/>
      <c r="U10" s="650"/>
      <c r="V10" s="696"/>
      <c r="W10" s="650"/>
      <c r="X10" s="696"/>
      <c r="Y10" s="650"/>
      <c r="Z10" s="698"/>
      <c r="AB10" s="926"/>
      <c r="AC10" s="927"/>
    </row>
    <row r="11" spans="1:29" s="617" customFormat="1" x14ac:dyDescent="0.2">
      <c r="A11" s="618"/>
      <c r="B11" s="654" t="s">
        <v>221</v>
      </c>
      <c r="C11" s="672">
        <v>157</v>
      </c>
      <c r="D11" s="700">
        <f>24+9</f>
        <v>33</v>
      </c>
      <c r="E11" s="672">
        <f>149+36</f>
        <v>185</v>
      </c>
      <c r="F11" s="701">
        <f>34+8</f>
        <v>42</v>
      </c>
      <c r="G11" s="768">
        <v>209</v>
      </c>
      <c r="H11" s="746">
        <f>30+8</f>
        <v>38</v>
      </c>
      <c r="I11" s="739">
        <f>173+1+11+5+19</f>
        <v>209</v>
      </c>
      <c r="J11" s="748">
        <f>46+7</f>
        <v>53</v>
      </c>
      <c r="K11" s="841">
        <v>197</v>
      </c>
      <c r="L11" s="665">
        <f>30+9</f>
        <v>39</v>
      </c>
      <c r="M11" s="841">
        <f>160+23</f>
        <v>183</v>
      </c>
      <c r="N11" s="663">
        <v>47</v>
      </c>
      <c r="O11" s="739">
        <v>169</v>
      </c>
      <c r="P11" s="663">
        <v>34</v>
      </c>
      <c r="Q11" s="739">
        <v>192</v>
      </c>
      <c r="R11" s="663">
        <v>48</v>
      </c>
      <c r="S11" s="739">
        <v>180</v>
      </c>
      <c r="T11" s="663">
        <v>43</v>
      </c>
      <c r="U11" s="739">
        <f>158+1</f>
        <v>159</v>
      </c>
      <c r="V11" s="663">
        <v>32</v>
      </c>
      <c r="W11" s="739">
        <v>151</v>
      </c>
      <c r="X11" s="663">
        <v>42</v>
      </c>
      <c r="Y11" s="739">
        <v>134</v>
      </c>
      <c r="Z11" s="1646"/>
      <c r="AB11" s="926">
        <f>AVERAGE(W11,U11,S11,Q11,Y11)</f>
        <v>163.19999999999999</v>
      </c>
      <c r="AC11" s="928">
        <f>AVERAGE(X11,V11,T11,R11,P11)</f>
        <v>39.799999999999997</v>
      </c>
    </row>
    <row r="12" spans="1:29" s="617" customFormat="1" x14ac:dyDescent="0.2">
      <c r="A12" s="618"/>
      <c r="B12" s="669" t="s">
        <v>80</v>
      </c>
      <c r="C12" s="734">
        <v>17</v>
      </c>
      <c r="D12" s="703">
        <v>4</v>
      </c>
      <c r="E12" s="705">
        <v>23</v>
      </c>
      <c r="F12" s="704">
        <v>10</v>
      </c>
      <c r="G12" s="757">
        <v>14</v>
      </c>
      <c r="H12" s="750">
        <v>6</v>
      </c>
      <c r="I12" s="725">
        <v>28</v>
      </c>
      <c r="J12" s="751">
        <v>13</v>
      </c>
      <c r="K12" s="727">
        <v>22</v>
      </c>
      <c r="L12" s="730">
        <v>12</v>
      </c>
      <c r="M12" s="727">
        <v>19</v>
      </c>
      <c r="N12" s="729">
        <v>6</v>
      </c>
      <c r="O12" s="725">
        <v>15</v>
      </c>
      <c r="P12" s="729">
        <v>1</v>
      </c>
      <c r="Q12" s="725">
        <v>23</v>
      </c>
      <c r="R12" s="729">
        <v>0</v>
      </c>
      <c r="S12" s="725">
        <v>20</v>
      </c>
      <c r="T12" s="729">
        <v>14</v>
      </c>
      <c r="U12" s="725">
        <v>21</v>
      </c>
      <c r="V12" s="729">
        <v>4</v>
      </c>
      <c r="W12" s="725">
        <v>17</v>
      </c>
      <c r="X12" s="729">
        <v>10</v>
      </c>
      <c r="Y12" s="725">
        <v>15</v>
      </c>
      <c r="Z12" s="1647"/>
      <c r="AB12" s="926">
        <f t="shared" ref="AB12:AB14" si="0">AVERAGE(W12,U12,S12,Q12,Y12)</f>
        <v>19.2</v>
      </c>
      <c r="AC12" s="928">
        <f t="shared" ref="AC12:AC17" si="1">AVERAGE(X12,V12,T12,R12,P12)</f>
        <v>5.8</v>
      </c>
    </row>
    <row r="13" spans="1:29" s="617" customFormat="1" x14ac:dyDescent="0.2">
      <c r="A13" s="618"/>
      <c r="B13" s="669" t="s">
        <v>167</v>
      </c>
      <c r="C13" s="705">
        <v>22</v>
      </c>
      <c r="D13" s="703">
        <v>3</v>
      </c>
      <c r="E13" s="705">
        <v>25</v>
      </c>
      <c r="F13" s="704">
        <v>1</v>
      </c>
      <c r="G13" s="757">
        <v>24</v>
      </c>
      <c r="H13" s="750">
        <v>4</v>
      </c>
      <c r="I13" s="725">
        <v>24</v>
      </c>
      <c r="J13" s="751">
        <f>4+1</f>
        <v>5</v>
      </c>
      <c r="K13" s="727">
        <v>30</v>
      </c>
      <c r="L13" s="730">
        <f>3+1</f>
        <v>4</v>
      </c>
      <c r="M13" s="727">
        <v>34</v>
      </c>
      <c r="N13" s="729">
        <v>9</v>
      </c>
      <c r="O13" s="725">
        <v>29</v>
      </c>
      <c r="P13" s="729">
        <v>2</v>
      </c>
      <c r="Q13" s="725">
        <v>32</v>
      </c>
      <c r="R13" s="729">
        <v>6</v>
      </c>
      <c r="S13" s="725">
        <v>25</v>
      </c>
      <c r="T13" s="729">
        <v>7</v>
      </c>
      <c r="U13" s="725">
        <v>26</v>
      </c>
      <c r="V13" s="729">
        <v>4</v>
      </c>
      <c r="W13" s="725">
        <v>18</v>
      </c>
      <c r="X13" s="729">
        <v>3</v>
      </c>
      <c r="Y13" s="725">
        <v>16</v>
      </c>
      <c r="Z13" s="1647"/>
      <c r="AB13" s="926">
        <f t="shared" si="0"/>
        <v>23.4</v>
      </c>
      <c r="AC13" s="928">
        <f t="shared" si="1"/>
        <v>4.4000000000000004</v>
      </c>
    </row>
    <row r="14" spans="1:29" s="617" customFormat="1" x14ac:dyDescent="0.2">
      <c r="A14" s="618"/>
      <c r="B14" s="1552" t="s">
        <v>6</v>
      </c>
      <c r="C14" s="705">
        <v>31</v>
      </c>
      <c r="D14" s="703">
        <v>2</v>
      </c>
      <c r="E14" s="705">
        <v>36</v>
      </c>
      <c r="F14" s="704">
        <v>2</v>
      </c>
      <c r="G14" s="759">
        <v>43</v>
      </c>
      <c r="H14" s="750">
        <v>4</v>
      </c>
      <c r="I14" s="842">
        <v>43</v>
      </c>
      <c r="J14" s="751">
        <v>3</v>
      </c>
      <c r="K14" s="843">
        <v>45</v>
      </c>
      <c r="L14" s="730">
        <v>2</v>
      </c>
      <c r="M14" s="843">
        <v>45</v>
      </c>
      <c r="N14" s="729">
        <v>3</v>
      </c>
      <c r="O14" s="842">
        <v>47</v>
      </c>
      <c r="P14" s="729">
        <v>3</v>
      </c>
      <c r="Q14" s="842">
        <v>38</v>
      </c>
      <c r="R14" s="729">
        <v>8</v>
      </c>
      <c r="S14" s="842">
        <v>41</v>
      </c>
      <c r="T14" s="729">
        <v>3</v>
      </c>
      <c r="U14" s="842">
        <v>38</v>
      </c>
      <c r="V14" s="729">
        <v>6</v>
      </c>
      <c r="W14" s="842">
        <v>33</v>
      </c>
      <c r="X14" s="729">
        <v>3</v>
      </c>
      <c r="Y14" s="842">
        <v>30</v>
      </c>
      <c r="Z14" s="1647"/>
      <c r="AB14" s="926">
        <f t="shared" si="0"/>
        <v>36</v>
      </c>
      <c r="AC14" s="928">
        <f t="shared" si="1"/>
        <v>4.5999999999999996</v>
      </c>
    </row>
    <row r="15" spans="1:29" s="617" customFormat="1" x14ac:dyDescent="0.2">
      <c r="A15" s="618"/>
      <c r="B15" s="1555" t="s">
        <v>168</v>
      </c>
      <c r="C15" s="705"/>
      <c r="D15" s="703"/>
      <c r="E15" s="705"/>
      <c r="F15" s="704"/>
      <c r="G15" s="759"/>
      <c r="H15" s="750"/>
      <c r="I15" s="842"/>
      <c r="J15" s="751"/>
      <c r="K15" s="843"/>
      <c r="L15" s="730"/>
      <c r="M15" s="843"/>
      <c r="N15" s="729"/>
      <c r="O15" s="842"/>
      <c r="P15" s="729"/>
      <c r="Q15" s="842"/>
      <c r="R15" s="729"/>
      <c r="S15" s="842"/>
      <c r="T15" s="729"/>
      <c r="U15" s="842"/>
      <c r="V15" s="729"/>
      <c r="W15" s="842"/>
      <c r="X15" s="729"/>
      <c r="Y15" s="842"/>
      <c r="Z15" s="1647"/>
      <c r="AB15" s="926"/>
      <c r="AC15" s="928"/>
    </row>
    <row r="16" spans="1:29" s="617" customFormat="1" x14ac:dyDescent="0.2">
      <c r="A16" s="618"/>
      <c r="B16" s="1552" t="s">
        <v>167</v>
      </c>
      <c r="C16" s="705"/>
      <c r="D16" s="703"/>
      <c r="E16" s="706"/>
      <c r="F16" s="708"/>
      <c r="G16" s="1304"/>
      <c r="H16" s="1305"/>
      <c r="I16" s="842">
        <v>0</v>
      </c>
      <c r="J16" s="751">
        <v>6</v>
      </c>
      <c r="K16" s="843">
        <v>19</v>
      </c>
      <c r="L16" s="730">
        <v>12</v>
      </c>
      <c r="M16" s="843">
        <v>23</v>
      </c>
      <c r="N16" s="729">
        <v>12</v>
      </c>
      <c r="O16" s="842">
        <v>42</v>
      </c>
      <c r="P16" s="729">
        <v>29</v>
      </c>
      <c r="Q16" s="842">
        <v>36</v>
      </c>
      <c r="R16" s="729">
        <v>14</v>
      </c>
      <c r="S16" s="842">
        <v>39</v>
      </c>
      <c r="T16" s="729">
        <v>23</v>
      </c>
      <c r="U16" s="842">
        <v>24</v>
      </c>
      <c r="V16" s="729">
        <v>14</v>
      </c>
      <c r="W16" s="842">
        <v>28</v>
      </c>
      <c r="X16" s="729">
        <v>12</v>
      </c>
      <c r="Y16" s="842">
        <v>34</v>
      </c>
      <c r="Z16" s="1647"/>
      <c r="AB16" s="926">
        <f t="shared" ref="AB16:AB17" si="2">AVERAGE(W16,U16,S16,Q16,Y16)</f>
        <v>32.200000000000003</v>
      </c>
      <c r="AC16" s="928">
        <f t="shared" si="1"/>
        <v>18.399999999999999</v>
      </c>
    </row>
    <row r="17" spans="1:32" s="617" customFormat="1" ht="13.5" thickBot="1" x14ac:dyDescent="0.25">
      <c r="A17" s="618"/>
      <c r="B17" s="737" t="s">
        <v>6</v>
      </c>
      <c r="C17" s="762"/>
      <c r="D17" s="763"/>
      <c r="E17" s="762"/>
      <c r="F17" s="769"/>
      <c r="G17" s="756"/>
      <c r="H17" s="844"/>
      <c r="I17" s="732">
        <v>8</v>
      </c>
      <c r="J17" s="771">
        <v>0</v>
      </c>
      <c r="K17" s="733">
        <v>9</v>
      </c>
      <c r="L17" s="718">
        <v>0</v>
      </c>
      <c r="M17" s="733">
        <v>15</v>
      </c>
      <c r="N17" s="716">
        <v>0</v>
      </c>
      <c r="O17" s="732">
        <v>21</v>
      </c>
      <c r="P17" s="716">
        <v>0</v>
      </c>
      <c r="Q17" s="732">
        <v>24</v>
      </c>
      <c r="R17" s="716">
        <v>1</v>
      </c>
      <c r="S17" s="732">
        <v>26</v>
      </c>
      <c r="T17" s="716">
        <v>2</v>
      </c>
      <c r="U17" s="732">
        <v>30</v>
      </c>
      <c r="V17" s="716">
        <v>4</v>
      </c>
      <c r="W17" s="732">
        <v>24</v>
      </c>
      <c r="X17" s="716">
        <v>1</v>
      </c>
      <c r="Y17" s="732">
        <v>23</v>
      </c>
      <c r="Z17" s="1648"/>
      <c r="AB17" s="926">
        <f t="shared" si="2"/>
        <v>25.4</v>
      </c>
      <c r="AC17" s="1019">
        <f t="shared" si="1"/>
        <v>1.6</v>
      </c>
    </row>
    <row r="18" spans="1:32" ht="13.5" thickTop="1" x14ac:dyDescent="0.2">
      <c r="A18" s="3"/>
      <c r="B18" s="70" t="s">
        <v>170</v>
      </c>
      <c r="C18" s="33"/>
      <c r="D18" s="34"/>
      <c r="E18" s="33"/>
      <c r="F18" s="34"/>
      <c r="G18" s="133"/>
      <c r="H18" s="135"/>
      <c r="I18" s="133"/>
      <c r="J18" s="135"/>
      <c r="K18" s="133"/>
      <c r="L18" s="135"/>
      <c r="M18" s="480"/>
      <c r="O18" s="480"/>
      <c r="P18" s="135"/>
      <c r="Q18" s="480"/>
      <c r="R18" s="135"/>
      <c r="S18" s="480"/>
      <c r="T18" s="135"/>
      <c r="U18" s="480"/>
      <c r="V18" s="135"/>
      <c r="W18" s="480"/>
      <c r="X18" s="135"/>
      <c r="Y18" s="480"/>
      <c r="Z18" s="135"/>
      <c r="AB18" s="429"/>
      <c r="AC18" s="1012"/>
    </row>
    <row r="19" spans="1:32" ht="13.5" thickBot="1" x14ac:dyDescent="0.25">
      <c r="A19" s="3"/>
      <c r="B19" s="3"/>
      <c r="C19" s="3"/>
      <c r="D19" s="3"/>
      <c r="E19" s="3"/>
      <c r="F19" s="3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</row>
    <row r="20" spans="1:32" ht="14.25" thickTop="1" thickBot="1" x14ac:dyDescent="0.25">
      <c r="A20" s="3"/>
      <c r="B20" s="340"/>
      <c r="C20" s="2013" t="s">
        <v>49</v>
      </c>
      <c r="D20" s="2014"/>
      <c r="E20" s="2015" t="s">
        <v>50</v>
      </c>
      <c r="F20" s="2015"/>
      <c r="G20" s="2002" t="s">
        <v>141</v>
      </c>
      <c r="H20" s="1982"/>
      <c r="I20" s="1974" t="s">
        <v>152</v>
      </c>
      <c r="J20" s="1974"/>
      <c r="K20" s="2002" t="s">
        <v>154</v>
      </c>
      <c r="L20" s="1974"/>
      <c r="M20" s="2002" t="s">
        <v>171</v>
      </c>
      <c r="N20" s="1982"/>
      <c r="O20" s="1974" t="s">
        <v>227</v>
      </c>
      <c r="P20" s="1982"/>
      <c r="Q20" s="1974" t="s">
        <v>237</v>
      </c>
      <c r="R20" s="1982"/>
      <c r="S20" s="1974" t="s">
        <v>272</v>
      </c>
      <c r="T20" s="1982"/>
      <c r="U20" s="1974" t="s">
        <v>274</v>
      </c>
      <c r="V20" s="1982"/>
      <c r="W20" s="1974" t="s">
        <v>280</v>
      </c>
      <c r="X20" s="1982"/>
      <c r="Y20" s="1974" t="s">
        <v>290</v>
      </c>
      <c r="Z20" s="1975"/>
      <c r="AB20" s="2003" t="s">
        <v>213</v>
      </c>
      <c r="AC20" s="2004"/>
      <c r="AF20" s="1033"/>
    </row>
    <row r="21" spans="1:32" x14ac:dyDescent="0.2">
      <c r="A21" s="3"/>
      <c r="B21" s="73" t="s">
        <v>7</v>
      </c>
      <c r="C21" s="54"/>
      <c r="D21" s="92"/>
      <c r="E21" s="30"/>
      <c r="F21" s="30"/>
      <c r="G21" s="243"/>
      <c r="H21" s="244"/>
      <c r="I21" s="138"/>
      <c r="J21" s="138"/>
      <c r="K21" s="243"/>
      <c r="L21" s="138"/>
      <c r="M21" s="243"/>
      <c r="N21" s="244"/>
      <c r="O21" s="138"/>
      <c r="P21" s="244"/>
      <c r="Q21" s="138"/>
      <c r="R21" s="244"/>
      <c r="S21" s="138"/>
      <c r="T21" s="244"/>
      <c r="U21" s="138"/>
      <c r="V21" s="244"/>
      <c r="W21" s="138"/>
      <c r="X21" s="244"/>
      <c r="Y21" s="138"/>
      <c r="Z21" s="140"/>
      <c r="AB21" s="831"/>
      <c r="AC21" s="930"/>
    </row>
    <row r="22" spans="1:32" x14ac:dyDescent="0.2">
      <c r="A22" s="3"/>
      <c r="B22" s="78" t="s">
        <v>8</v>
      </c>
      <c r="C22" s="184"/>
      <c r="D22" s="93"/>
      <c r="E22" s="31"/>
      <c r="F22" s="31"/>
      <c r="G22" s="239"/>
      <c r="H22" s="245"/>
      <c r="I22" s="139"/>
      <c r="J22" s="139"/>
      <c r="K22" s="239"/>
      <c r="L22" s="139"/>
      <c r="M22" s="239"/>
      <c r="N22" s="245"/>
      <c r="O22" s="139"/>
      <c r="P22" s="245"/>
      <c r="Q22" s="139"/>
      <c r="R22" s="245"/>
      <c r="S22" s="139"/>
      <c r="T22" s="245"/>
      <c r="U22" s="139"/>
      <c r="V22" s="245"/>
      <c r="W22" s="139"/>
      <c r="X22" s="245"/>
      <c r="Y22" s="139"/>
      <c r="Z22" s="141"/>
      <c r="AB22" s="831"/>
      <c r="AC22" s="930"/>
    </row>
    <row r="23" spans="1:32" x14ac:dyDescent="0.2">
      <c r="A23" s="3"/>
      <c r="B23" s="78" t="s">
        <v>9</v>
      </c>
      <c r="C23" s="184"/>
      <c r="D23" s="165">
        <v>7032</v>
      </c>
      <c r="E23" s="31"/>
      <c r="F23" s="171">
        <v>7440</v>
      </c>
      <c r="G23" s="239"/>
      <c r="H23" s="261">
        <v>6645</v>
      </c>
      <c r="I23" s="139"/>
      <c r="J23" s="183">
        <v>7107</v>
      </c>
      <c r="K23" s="239"/>
      <c r="L23" s="183">
        <v>6375</v>
      </c>
      <c r="M23" s="239"/>
      <c r="N23" s="261">
        <v>6354</v>
      </c>
      <c r="O23" s="139"/>
      <c r="P23" s="261">
        <v>6480</v>
      </c>
      <c r="Q23" s="139"/>
      <c r="R23" s="261">
        <v>6711</v>
      </c>
      <c r="S23" s="139"/>
      <c r="T23" s="261">
        <v>6850</v>
      </c>
      <c r="U23" s="139"/>
      <c r="V23" s="261">
        <v>5976</v>
      </c>
      <c r="W23" s="139"/>
      <c r="X23" s="261">
        <v>6006</v>
      </c>
      <c r="Y23" s="139"/>
      <c r="Z23" s="1649"/>
      <c r="AB23" s="24"/>
      <c r="AC23" s="947">
        <f t="shared" ref="AC23:AC27" si="3">AVERAGE(X23,V23,T23,R23,P23)</f>
        <v>6404.6</v>
      </c>
    </row>
    <row r="24" spans="1:32" x14ac:dyDescent="0.2">
      <c r="A24" s="3"/>
      <c r="B24" s="78" t="s">
        <v>10</v>
      </c>
      <c r="C24" s="184"/>
      <c r="D24" s="165">
        <v>3666</v>
      </c>
      <c r="E24" s="31"/>
      <c r="F24" s="171">
        <v>3642</v>
      </c>
      <c r="G24" s="239"/>
      <c r="H24" s="261">
        <v>4196</v>
      </c>
      <c r="I24" s="139"/>
      <c r="J24" s="183">
        <v>4723</v>
      </c>
      <c r="K24" s="239"/>
      <c r="L24" s="183">
        <v>4566</v>
      </c>
      <c r="M24" s="239"/>
      <c r="N24" s="261">
        <v>3996</v>
      </c>
      <c r="O24" s="139"/>
      <c r="P24" s="261">
        <v>3498</v>
      </c>
      <c r="Q24" s="139"/>
      <c r="R24" s="261">
        <v>3624</v>
      </c>
      <c r="S24" s="139"/>
      <c r="T24" s="261">
        <v>3891</v>
      </c>
      <c r="U24" s="139"/>
      <c r="V24" s="261">
        <v>3195</v>
      </c>
      <c r="W24" s="139"/>
      <c r="X24" s="261">
        <v>3300</v>
      </c>
      <c r="Y24" s="139"/>
      <c r="Z24" s="1649"/>
      <c r="AB24" s="12"/>
      <c r="AC24" s="947">
        <f t="shared" si="3"/>
        <v>3501.6</v>
      </c>
    </row>
    <row r="25" spans="1:32" x14ac:dyDescent="0.2">
      <c r="A25" s="3"/>
      <c r="B25" s="78" t="s">
        <v>11</v>
      </c>
      <c r="C25" s="184"/>
      <c r="D25" s="165">
        <v>104</v>
      </c>
      <c r="E25" s="31"/>
      <c r="F25" s="171">
        <v>113</v>
      </c>
      <c r="G25" s="239"/>
      <c r="H25" s="261">
        <v>145</v>
      </c>
      <c r="I25" s="139"/>
      <c r="J25" s="183">
        <v>225</v>
      </c>
      <c r="K25" s="239"/>
      <c r="L25" s="183">
        <v>255</v>
      </c>
      <c r="M25" s="239"/>
      <c r="N25" s="261">
        <v>311</v>
      </c>
      <c r="O25" s="139"/>
      <c r="P25" s="261">
        <v>392</v>
      </c>
      <c r="Q25" s="139"/>
      <c r="R25" s="261">
        <v>362</v>
      </c>
      <c r="S25" s="139"/>
      <c r="T25" s="261">
        <v>296</v>
      </c>
      <c r="U25" s="139"/>
      <c r="V25" s="261">
        <v>227</v>
      </c>
      <c r="W25" s="139"/>
      <c r="X25" s="261">
        <v>208</v>
      </c>
      <c r="Y25" s="139"/>
      <c r="Z25" s="1649"/>
      <c r="AA25" s="1035"/>
      <c r="AB25" s="31"/>
      <c r="AC25" s="947">
        <f t="shared" si="3"/>
        <v>297</v>
      </c>
    </row>
    <row r="26" spans="1:32" x14ac:dyDescent="0.2">
      <c r="A26" s="3"/>
      <c r="B26" s="78" t="s">
        <v>12</v>
      </c>
      <c r="C26" s="184"/>
      <c r="D26" s="94">
        <v>536</v>
      </c>
      <c r="E26" s="31"/>
      <c r="F26" s="39">
        <v>624</v>
      </c>
      <c r="G26" s="239"/>
      <c r="H26" s="240">
        <v>558</v>
      </c>
      <c r="I26" s="139"/>
      <c r="J26" s="241">
        <v>517</v>
      </c>
      <c r="K26" s="239"/>
      <c r="L26" s="241">
        <v>722</v>
      </c>
      <c r="M26" s="239"/>
      <c r="N26" s="240">
        <v>720</v>
      </c>
      <c r="O26" s="139"/>
      <c r="P26" s="240">
        <v>644</v>
      </c>
      <c r="Q26" s="139"/>
      <c r="R26" s="240">
        <v>636</v>
      </c>
      <c r="S26" s="139"/>
      <c r="T26" s="240">
        <v>560</v>
      </c>
      <c r="U26" s="139"/>
      <c r="V26" s="240">
        <v>663</v>
      </c>
      <c r="W26" s="139"/>
      <c r="X26" s="240">
        <v>504</v>
      </c>
      <c r="Y26" s="139"/>
      <c r="Z26" s="1650"/>
      <c r="AA26" s="1035"/>
      <c r="AB26" s="31"/>
      <c r="AC26" s="947">
        <f t="shared" si="3"/>
        <v>601.4</v>
      </c>
    </row>
    <row r="27" spans="1:32" ht="13.5" thickBot="1" x14ac:dyDescent="0.25">
      <c r="A27" s="3"/>
      <c r="B27" s="79" t="s">
        <v>13</v>
      </c>
      <c r="C27" s="185"/>
      <c r="D27" s="186">
        <f>SUM(D23:D26)</f>
        <v>11338</v>
      </c>
      <c r="E27" s="90"/>
      <c r="F27" s="58">
        <f>SUM(F23:F26)</f>
        <v>11819</v>
      </c>
      <c r="G27" s="246"/>
      <c r="H27" s="247">
        <f>SUM(H23:H26)</f>
        <v>11544</v>
      </c>
      <c r="I27" s="164"/>
      <c r="J27" s="242">
        <f>SUM(J23:J26)</f>
        <v>12572</v>
      </c>
      <c r="K27" s="246"/>
      <c r="L27" s="242">
        <f>SUM(L23:L26)</f>
        <v>11918</v>
      </c>
      <c r="M27" s="246"/>
      <c r="N27" s="247">
        <f>SUM(N23:N26)</f>
        <v>11381</v>
      </c>
      <c r="O27" s="164"/>
      <c r="P27" s="247">
        <f>SUM(P23:P26)</f>
        <v>11014</v>
      </c>
      <c r="Q27" s="164"/>
      <c r="R27" s="247">
        <f>SUM(R23:R26)</f>
        <v>11333</v>
      </c>
      <c r="S27" s="164"/>
      <c r="T27" s="247">
        <f>SUM(T23:T26)</f>
        <v>11597</v>
      </c>
      <c r="U27" s="164"/>
      <c r="V27" s="247">
        <f>SUM(V23:V26)</f>
        <v>10061</v>
      </c>
      <c r="W27" s="164"/>
      <c r="X27" s="247">
        <f>SUM(X23:X26)</f>
        <v>10018</v>
      </c>
      <c r="Y27" s="164"/>
      <c r="Z27" s="1651"/>
      <c r="AA27" s="1035"/>
      <c r="AB27" s="182"/>
      <c r="AC27" s="1008">
        <f t="shared" si="3"/>
        <v>10804.6</v>
      </c>
    </row>
    <row r="28" spans="1:32" ht="12" customHeight="1" thickTop="1" thickBot="1" x14ac:dyDescent="0.25">
      <c r="A28" s="930"/>
      <c r="B28" s="931" t="s">
        <v>212</v>
      </c>
      <c r="C28" s="1992" t="s">
        <v>51</v>
      </c>
      <c r="D28" s="1997"/>
      <c r="E28" s="1992" t="s">
        <v>52</v>
      </c>
      <c r="F28" s="1997"/>
      <c r="G28" s="1989" t="s">
        <v>184</v>
      </c>
      <c r="H28" s="1981"/>
      <c r="I28" s="1989" t="s">
        <v>185</v>
      </c>
      <c r="J28" s="2005"/>
      <c r="K28" s="1989" t="s">
        <v>202</v>
      </c>
      <c r="L28" s="2005"/>
      <c r="M28" s="1991" t="s">
        <v>203</v>
      </c>
      <c r="N28" s="1981"/>
      <c r="O28" s="1970" t="s">
        <v>228</v>
      </c>
      <c r="P28" s="1981"/>
      <c r="Q28" s="1970" t="s">
        <v>238</v>
      </c>
      <c r="R28" s="1981"/>
      <c r="S28" s="1970" t="s">
        <v>273</v>
      </c>
      <c r="T28" s="1981"/>
      <c r="U28" s="1970" t="s">
        <v>275</v>
      </c>
      <c r="V28" s="1981"/>
      <c r="W28" s="1970" t="s">
        <v>281</v>
      </c>
      <c r="X28" s="1981"/>
      <c r="Y28" s="1970" t="s">
        <v>291</v>
      </c>
      <c r="Z28" s="1971"/>
      <c r="AA28" s="1036"/>
      <c r="AB28" s="2075"/>
      <c r="AC28" s="2010"/>
      <c r="AD28" s="293"/>
      <c r="AE28" s="293"/>
      <c r="AF28" s="21"/>
    </row>
    <row r="29" spans="1:32" ht="12" customHeight="1" x14ac:dyDescent="0.2">
      <c r="A29" s="930"/>
      <c r="B29" s="933" t="s">
        <v>189</v>
      </c>
      <c r="C29" s="2016">
        <v>9.4E-2</v>
      </c>
      <c r="D29" s="2017"/>
      <c r="E29" s="1995">
        <v>0.104</v>
      </c>
      <c r="F29" s="1996"/>
      <c r="G29" s="1995">
        <v>0.13900000000000001</v>
      </c>
      <c r="H29" s="1996"/>
      <c r="I29" s="1995">
        <v>0.13300000000000001</v>
      </c>
      <c r="J29" s="2006"/>
      <c r="K29" s="934"/>
      <c r="L29" s="935">
        <v>0.13</v>
      </c>
      <c r="M29" s="936"/>
      <c r="N29" s="1178">
        <v>0.13400000000000001</v>
      </c>
      <c r="O29" s="1176"/>
      <c r="P29" s="1178">
        <v>0.13200000000000001</v>
      </c>
      <c r="Q29" s="1271"/>
      <c r="R29" s="1178">
        <v>0.14499999999999999</v>
      </c>
      <c r="S29" s="1271"/>
      <c r="T29" s="1178">
        <v>0.12</v>
      </c>
      <c r="U29" s="1271"/>
      <c r="V29" s="1178">
        <v>0.13</v>
      </c>
      <c r="W29" s="1271"/>
      <c r="X29" s="1178">
        <v>0.11700000000000001</v>
      </c>
      <c r="Y29" s="1271"/>
      <c r="Z29" s="1479">
        <v>0.115</v>
      </c>
      <c r="AA29" s="1037"/>
      <c r="AB29" s="1034"/>
      <c r="AC29" s="1048">
        <f>AVERAGE(X29,V29,T29,R29,Z29)</f>
        <v>0.12540000000000001</v>
      </c>
      <c r="AD29" s="293"/>
      <c r="AE29" s="293"/>
      <c r="AF29" s="21"/>
    </row>
    <row r="30" spans="1:32" ht="12" customHeight="1" x14ac:dyDescent="0.2">
      <c r="A30" s="930"/>
      <c r="B30" s="940" t="s">
        <v>190</v>
      </c>
      <c r="C30" s="2018">
        <v>4.8000000000000001E-2</v>
      </c>
      <c r="D30" s="2019"/>
      <c r="E30" s="2000">
        <v>5.1999999999999998E-2</v>
      </c>
      <c r="F30" s="2001"/>
      <c r="G30" s="2000">
        <v>6.0999999999999999E-2</v>
      </c>
      <c r="H30" s="2001"/>
      <c r="I30" s="2000">
        <v>5.1999999999999998E-2</v>
      </c>
      <c r="J30" s="2011"/>
      <c r="K30" s="941"/>
      <c r="L30" s="942">
        <v>6.2E-2</v>
      </c>
      <c r="M30" s="941"/>
      <c r="N30" s="1179">
        <v>8.4000000000000005E-2</v>
      </c>
      <c r="O30" s="1177"/>
      <c r="P30" s="1179">
        <v>9.5000000000000001E-2</v>
      </c>
      <c r="Q30" s="1272"/>
      <c r="R30" s="1179">
        <v>8.7999999999999995E-2</v>
      </c>
      <c r="S30" s="1272"/>
      <c r="T30" s="1179">
        <v>6.8000000000000005E-2</v>
      </c>
      <c r="U30" s="1272"/>
      <c r="V30" s="1179">
        <v>8.3000000000000004E-2</v>
      </c>
      <c r="W30" s="1272"/>
      <c r="X30" s="1179">
        <v>7.0000000000000007E-2</v>
      </c>
      <c r="Y30" s="1272"/>
      <c r="Z30" s="1480">
        <v>6.7000000000000004E-2</v>
      </c>
      <c r="AA30" s="1037"/>
      <c r="AB30" s="1034"/>
      <c r="AC30" s="1048">
        <v>7.3999999999999996E-2</v>
      </c>
      <c r="AD30" s="293"/>
      <c r="AE30" s="293"/>
      <c r="AF30" s="21"/>
    </row>
    <row r="31" spans="1:32" ht="12.75" customHeight="1" thickBot="1" x14ac:dyDescent="0.25">
      <c r="A31" s="3"/>
      <c r="B31" s="943" t="s">
        <v>191</v>
      </c>
      <c r="C31" s="1998">
        <f>1-C29-C30</f>
        <v>0.85799999999999998</v>
      </c>
      <c r="D31" s="1999"/>
      <c r="E31" s="1998">
        <f>1-E29-E30</f>
        <v>0.84399999999999997</v>
      </c>
      <c r="F31" s="1999"/>
      <c r="G31" s="1998">
        <f>1-G29-G30</f>
        <v>0.8</v>
      </c>
      <c r="H31" s="1999"/>
      <c r="I31" s="1998">
        <f>1-I29-I30</f>
        <v>0.81499999999999995</v>
      </c>
      <c r="J31" s="1999"/>
      <c r="K31" s="1998">
        <f>1-L29-L30</f>
        <v>0.80800000000000005</v>
      </c>
      <c r="L31" s="1999"/>
      <c r="M31" s="1998">
        <f>1-N29-N30</f>
        <v>0.78200000000000003</v>
      </c>
      <c r="N31" s="1999"/>
      <c r="O31" s="1998">
        <f>1-P29-P30</f>
        <v>0.77300000000000002</v>
      </c>
      <c r="P31" s="1999"/>
      <c r="Q31" s="1972">
        <f>1-R29-R30</f>
        <v>0.76700000000000002</v>
      </c>
      <c r="R31" s="1973"/>
      <c r="S31" s="1972">
        <f>1-T29-T30</f>
        <v>0.81200000000000006</v>
      </c>
      <c r="T31" s="1973"/>
      <c r="U31" s="1972">
        <f>1-V29-V30</f>
        <v>0.78700000000000003</v>
      </c>
      <c r="V31" s="1973"/>
      <c r="W31" s="1972">
        <f>1-X29-X30</f>
        <v>0.81299999999999994</v>
      </c>
      <c r="X31" s="1973"/>
      <c r="Y31" s="1972">
        <f>1-Z29-Z30</f>
        <v>0.81800000000000006</v>
      </c>
      <c r="Z31" s="1973"/>
      <c r="AA31" s="937"/>
      <c r="AB31" s="2007">
        <f>1-AC29-AC30</f>
        <v>0.80060000000000009</v>
      </c>
      <c r="AC31" s="2008"/>
      <c r="AD31" s="1050"/>
      <c r="AE31" s="293"/>
      <c r="AF31" s="21"/>
    </row>
    <row r="32" spans="1:32" s="3" customFormat="1" thickTop="1" x14ac:dyDescent="0.2">
      <c r="B32" s="109"/>
      <c r="C32" s="110"/>
      <c r="D32" s="111"/>
      <c r="E32" s="110"/>
      <c r="F32" s="111"/>
      <c r="G32" s="146"/>
      <c r="H32" s="147"/>
      <c r="I32" s="146"/>
      <c r="J32" s="147"/>
      <c r="K32" s="146"/>
      <c r="L32" s="147"/>
      <c r="M32" s="146"/>
      <c r="N32" s="147"/>
      <c r="O32" s="146"/>
      <c r="P32" s="147"/>
      <c r="Q32" s="146"/>
      <c r="R32" s="147"/>
      <c r="S32" s="146"/>
      <c r="T32" s="147"/>
      <c r="U32" s="146"/>
      <c r="V32" s="147"/>
      <c r="W32" s="146"/>
      <c r="X32" s="147"/>
      <c r="Y32" s="146"/>
      <c r="Z32" s="147"/>
      <c r="AA32" s="28"/>
    </row>
    <row r="33" spans="1:29" s="3" customFormat="1" x14ac:dyDescent="0.2">
      <c r="A33" s="112" t="s">
        <v>68</v>
      </c>
      <c r="B33" s="96"/>
      <c r="C33" s="28"/>
      <c r="D33" s="28"/>
      <c r="E33" s="28"/>
      <c r="F33" s="28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28"/>
    </row>
    <row r="34" spans="1:29" s="3" customFormat="1" ht="13.5" thickBot="1" x14ac:dyDescent="0.25">
      <c r="A34" s="112"/>
      <c r="B34" s="96"/>
      <c r="C34" s="28"/>
      <c r="D34" s="28"/>
      <c r="E34" s="28"/>
      <c r="F34" s="28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28"/>
    </row>
    <row r="35" spans="1:29" s="3" customFormat="1" ht="14.25" thickTop="1" thickBot="1" x14ac:dyDescent="0.25">
      <c r="A35" s="2"/>
      <c r="B35" s="329" t="s">
        <v>69</v>
      </c>
      <c r="C35" s="2013" t="s">
        <v>49</v>
      </c>
      <c r="D35" s="2014"/>
      <c r="E35" s="2015" t="s">
        <v>50</v>
      </c>
      <c r="F35" s="2015"/>
      <c r="G35" s="2002" t="s">
        <v>141</v>
      </c>
      <c r="H35" s="1982"/>
      <c r="I35" s="1974" t="s">
        <v>152</v>
      </c>
      <c r="J35" s="1974"/>
      <c r="K35" s="2002" t="s">
        <v>154</v>
      </c>
      <c r="L35" s="1974"/>
      <c r="M35" s="2002" t="s">
        <v>171</v>
      </c>
      <c r="N35" s="1982"/>
      <c r="O35" s="1974" t="s">
        <v>227</v>
      </c>
      <c r="P35" s="1982"/>
      <c r="Q35" s="1974" t="s">
        <v>237</v>
      </c>
      <c r="R35" s="1982"/>
      <c r="S35" s="1974" t="s">
        <v>272</v>
      </c>
      <c r="T35" s="1982"/>
      <c r="U35" s="1974" t="s">
        <v>274</v>
      </c>
      <c r="V35" s="1982"/>
      <c r="W35" s="1974" t="s">
        <v>280</v>
      </c>
      <c r="X35" s="1982"/>
      <c r="Y35" s="1974" t="s">
        <v>290</v>
      </c>
      <c r="Z35" s="1975"/>
      <c r="AA35" s="930"/>
      <c r="AB35" s="2015" t="s">
        <v>213</v>
      </c>
      <c r="AC35" s="2004"/>
    </row>
    <row r="36" spans="1:29" s="3" customFormat="1" x14ac:dyDescent="0.2">
      <c r="A36" s="2"/>
      <c r="B36" s="330" t="s">
        <v>70</v>
      </c>
      <c r="C36" s="184"/>
      <c r="D36" s="93"/>
      <c r="E36" s="31"/>
      <c r="F36" s="31"/>
      <c r="G36" s="239"/>
      <c r="H36" s="245"/>
      <c r="I36" s="139"/>
      <c r="J36" s="139"/>
      <c r="K36" s="239"/>
      <c r="L36" s="139"/>
      <c r="M36" s="239"/>
      <c r="N36" s="245"/>
      <c r="O36" s="139"/>
      <c r="P36" s="245"/>
      <c r="Q36" s="139"/>
      <c r="R36" s="245"/>
      <c r="S36" s="139"/>
      <c r="T36" s="245"/>
      <c r="U36" s="139"/>
      <c r="V36" s="245"/>
      <c r="W36" s="139"/>
      <c r="X36" s="245"/>
      <c r="Y36" s="139"/>
      <c r="Z36" s="141"/>
      <c r="AA36" s="930"/>
      <c r="AB36" s="28"/>
      <c r="AC36" s="930"/>
    </row>
    <row r="37" spans="1:29" s="3" customFormat="1" x14ac:dyDescent="0.2">
      <c r="A37" s="2"/>
      <c r="B37" s="331" t="s">
        <v>71</v>
      </c>
      <c r="C37" s="54"/>
      <c r="D37" s="188">
        <v>1320886</v>
      </c>
      <c r="E37" s="30"/>
      <c r="F37" s="205">
        <v>1406826</v>
      </c>
      <c r="G37" s="243"/>
      <c r="H37" s="416">
        <v>1361046</v>
      </c>
      <c r="I37" s="138"/>
      <c r="J37" s="451">
        <v>1567312</v>
      </c>
      <c r="K37" s="243"/>
      <c r="L37" s="451">
        <v>1534731</v>
      </c>
      <c r="M37" s="243"/>
      <c r="N37" s="416">
        <v>1768925</v>
      </c>
      <c r="O37" s="138"/>
      <c r="P37" s="416">
        <v>1603451</v>
      </c>
      <c r="Q37" s="138"/>
      <c r="R37" s="416">
        <v>1590876</v>
      </c>
      <c r="S37" s="138"/>
      <c r="T37" s="416">
        <v>1622180</v>
      </c>
      <c r="U37" s="138"/>
      <c r="V37" s="416">
        <v>1768079</v>
      </c>
      <c r="W37" s="138"/>
      <c r="X37" s="416">
        <v>1771242</v>
      </c>
      <c r="Y37" s="138"/>
      <c r="Z37" s="294">
        <v>2166428</v>
      </c>
      <c r="AA37" s="930"/>
      <c r="AB37" s="30"/>
      <c r="AC37" s="947">
        <f>AVERAGE(X37,V37,T37,R37,Z37)</f>
        <v>1783761</v>
      </c>
    </row>
    <row r="38" spans="1:29" s="3" customFormat="1" x14ac:dyDescent="0.2">
      <c r="A38" s="2"/>
      <c r="B38" s="331" t="s">
        <v>247</v>
      </c>
      <c r="C38" s="54"/>
      <c r="D38" s="188"/>
      <c r="E38" s="30"/>
      <c r="F38" s="205"/>
      <c r="G38" s="243"/>
      <c r="H38" s="416"/>
      <c r="I38" s="138"/>
      <c r="J38" s="451"/>
      <c r="K38" s="243"/>
      <c r="L38" s="451"/>
      <c r="M38" s="243"/>
      <c r="N38" s="416"/>
      <c r="O38" s="138"/>
      <c r="P38" s="416"/>
      <c r="Q38" s="138"/>
      <c r="R38" s="416"/>
      <c r="S38" s="138"/>
      <c r="T38" s="416"/>
      <c r="U38" s="138"/>
      <c r="V38" s="416"/>
      <c r="W38" s="138"/>
      <c r="X38" s="416">
        <v>20986</v>
      </c>
      <c r="Y38" s="138"/>
      <c r="Z38" s="294">
        <v>22380</v>
      </c>
      <c r="AA38" s="930"/>
      <c r="AB38" s="30"/>
      <c r="AC38" s="947"/>
    </row>
    <row r="39" spans="1:29" s="3" customFormat="1" ht="36" x14ac:dyDescent="0.2">
      <c r="A39" s="2"/>
      <c r="B39" s="332" t="s">
        <v>250</v>
      </c>
      <c r="C39" s="184"/>
      <c r="D39" s="189">
        <v>33673</v>
      </c>
      <c r="E39" s="31"/>
      <c r="F39" s="206">
        <v>27279</v>
      </c>
      <c r="G39" s="239"/>
      <c r="H39" s="369">
        <v>135230</v>
      </c>
      <c r="I39" s="139"/>
      <c r="J39" s="347">
        <v>135621</v>
      </c>
      <c r="K39" s="239"/>
      <c r="L39" s="347">
        <v>193336</v>
      </c>
      <c r="M39" s="239"/>
      <c r="N39" s="369">
        <v>182504</v>
      </c>
      <c r="O39" s="139"/>
      <c r="P39" s="369">
        <v>405671</v>
      </c>
      <c r="Q39" s="139"/>
      <c r="R39" s="369">
        <v>351304</v>
      </c>
      <c r="S39" s="139"/>
      <c r="T39" s="369">
        <v>349258</v>
      </c>
      <c r="U39" s="139"/>
      <c r="V39" s="369">
        <v>255522</v>
      </c>
      <c r="W39" s="139"/>
      <c r="X39" s="369">
        <v>366628</v>
      </c>
      <c r="Y39" s="139"/>
      <c r="Z39" s="282">
        <v>129772</v>
      </c>
      <c r="AA39" s="930"/>
      <c r="AB39" s="31"/>
      <c r="AC39" s="947">
        <f t="shared" ref="AC39:AC40" si="4">AVERAGE(X39,V39,T39,R39,Z39)</f>
        <v>290496.8</v>
      </c>
    </row>
    <row r="40" spans="1:29" s="3" customFormat="1" x14ac:dyDescent="0.2">
      <c r="A40" s="2"/>
      <c r="B40" s="333" t="s">
        <v>72</v>
      </c>
      <c r="C40" s="187"/>
      <c r="D40" s="190">
        <f>SUM(D37:D39)</f>
        <v>1354559</v>
      </c>
      <c r="E40" s="90"/>
      <c r="F40" s="207">
        <f>SUM(F37:F39)</f>
        <v>1434105</v>
      </c>
      <c r="G40" s="262"/>
      <c r="H40" s="263">
        <f>SUM(H37:H39)</f>
        <v>1496276</v>
      </c>
      <c r="I40" s="250"/>
      <c r="J40" s="249">
        <f>SUM(J37:J39)</f>
        <v>1702933</v>
      </c>
      <c r="K40" s="262"/>
      <c r="L40" s="249">
        <f>SUM(L37:L39)</f>
        <v>1728067</v>
      </c>
      <c r="M40" s="262"/>
      <c r="N40" s="263">
        <f>SUM(N37:N39)</f>
        <v>1951429</v>
      </c>
      <c r="O40" s="250"/>
      <c r="P40" s="263">
        <f>SUM(P37:P39)</f>
        <v>2009122</v>
      </c>
      <c r="Q40" s="250"/>
      <c r="R40" s="263">
        <f>SUM(R37:R39)</f>
        <v>1942180</v>
      </c>
      <c r="S40" s="250"/>
      <c r="T40" s="263">
        <f>SUM(T37:T39)</f>
        <v>1971438</v>
      </c>
      <c r="U40" s="250"/>
      <c r="V40" s="263">
        <f>SUM(V37:V39)</f>
        <v>2023601</v>
      </c>
      <c r="W40" s="250"/>
      <c r="X40" s="263">
        <f>SUM(X37:X39)</f>
        <v>2158856</v>
      </c>
      <c r="Y40" s="250"/>
      <c r="Z40" s="149">
        <f>SUM(Z37:Z39)</f>
        <v>2318580</v>
      </c>
      <c r="AA40" s="930"/>
      <c r="AB40" s="31"/>
      <c r="AC40" s="1008">
        <f t="shared" si="4"/>
        <v>2082931</v>
      </c>
    </row>
    <row r="41" spans="1:29" s="3" customFormat="1" x14ac:dyDescent="0.2">
      <c r="A41" s="2"/>
      <c r="B41" s="330" t="s">
        <v>73</v>
      </c>
      <c r="C41" s="184"/>
      <c r="D41" s="189"/>
      <c r="E41" s="31"/>
      <c r="F41" s="206"/>
      <c r="G41" s="239"/>
      <c r="H41" s="369"/>
      <c r="I41" s="139"/>
      <c r="J41" s="347"/>
      <c r="K41" s="239"/>
      <c r="L41" s="347"/>
      <c r="M41" s="239"/>
      <c r="N41" s="369"/>
      <c r="O41" s="139"/>
      <c r="P41" s="369"/>
      <c r="Q41" s="139"/>
      <c r="R41" s="369"/>
      <c r="S41" s="139"/>
      <c r="T41" s="369"/>
      <c r="U41" s="139"/>
      <c r="V41" s="369"/>
      <c r="W41" s="139"/>
      <c r="X41" s="369"/>
      <c r="Y41" s="139"/>
      <c r="Z41" s="282"/>
      <c r="AA41" s="930"/>
      <c r="AB41" s="31"/>
      <c r="AC41" s="947"/>
    </row>
    <row r="42" spans="1:29" s="3" customFormat="1" x14ac:dyDescent="0.2">
      <c r="A42" s="2"/>
      <c r="B42" s="331" t="s">
        <v>71</v>
      </c>
      <c r="C42" s="184"/>
      <c r="D42" s="189"/>
      <c r="E42" s="31"/>
      <c r="F42" s="206"/>
      <c r="G42" s="239"/>
      <c r="H42" s="369"/>
      <c r="I42" s="139"/>
      <c r="J42" s="347"/>
      <c r="K42" s="239"/>
      <c r="L42" s="347"/>
      <c r="M42" s="239"/>
      <c r="N42" s="369"/>
      <c r="O42" s="139"/>
      <c r="P42" s="369"/>
      <c r="Q42" s="139"/>
      <c r="R42" s="369"/>
      <c r="S42" s="139"/>
      <c r="T42" s="369"/>
      <c r="U42" s="139"/>
      <c r="V42" s="369"/>
      <c r="W42" s="139"/>
      <c r="X42" s="369"/>
      <c r="Y42" s="139"/>
      <c r="Z42" s="282"/>
      <c r="AA42" s="930"/>
      <c r="AB42" s="31"/>
      <c r="AC42" s="947"/>
    </row>
    <row r="43" spans="1:29" s="3" customFormat="1" x14ac:dyDescent="0.2">
      <c r="A43" s="2"/>
      <c r="B43" s="331" t="s">
        <v>247</v>
      </c>
      <c r="C43" s="184"/>
      <c r="D43" s="189"/>
      <c r="E43" s="31"/>
      <c r="F43" s="206"/>
      <c r="G43" s="239"/>
      <c r="H43" s="369"/>
      <c r="I43" s="139"/>
      <c r="J43" s="347"/>
      <c r="K43" s="239"/>
      <c r="L43" s="347"/>
      <c r="M43" s="239"/>
      <c r="N43" s="369"/>
      <c r="O43" s="139"/>
      <c r="P43" s="369"/>
      <c r="Q43" s="139"/>
      <c r="R43" s="369"/>
      <c r="S43" s="139" t="s">
        <v>29</v>
      </c>
      <c r="T43" s="369"/>
      <c r="U43" s="139" t="s">
        <v>29</v>
      </c>
      <c r="V43" s="369"/>
      <c r="W43" s="139" t="s">
        <v>29</v>
      </c>
      <c r="X43" s="369"/>
      <c r="Y43" s="139" t="s">
        <v>29</v>
      </c>
      <c r="Z43" s="282"/>
      <c r="AA43" s="930"/>
      <c r="AB43" s="31"/>
      <c r="AC43" s="947"/>
    </row>
    <row r="44" spans="1:29" s="3" customFormat="1" ht="36" x14ac:dyDescent="0.2">
      <c r="A44" s="2"/>
      <c r="B44" s="850" t="s">
        <v>251</v>
      </c>
      <c r="C44" s="239"/>
      <c r="D44" s="369"/>
      <c r="E44" s="31"/>
      <c r="F44" s="206"/>
      <c r="G44" s="239"/>
      <c r="H44" s="369"/>
      <c r="I44" s="139"/>
      <c r="J44" s="347"/>
      <c r="K44" s="239"/>
      <c r="L44" s="347"/>
      <c r="M44" s="239"/>
      <c r="N44" s="369"/>
      <c r="O44" s="139"/>
      <c r="P44" s="369"/>
      <c r="Q44" s="139"/>
      <c r="R44" s="369"/>
      <c r="S44" s="139" t="s">
        <v>29</v>
      </c>
      <c r="T44" s="369"/>
      <c r="U44" s="139" t="s">
        <v>29</v>
      </c>
      <c r="V44" s="369"/>
      <c r="W44" s="139" t="s">
        <v>29</v>
      </c>
      <c r="X44" s="369"/>
      <c r="Y44" s="139" t="s">
        <v>29</v>
      </c>
      <c r="Z44" s="282"/>
      <c r="AA44" s="930"/>
      <c r="AB44" s="31"/>
      <c r="AC44" s="947"/>
    </row>
    <row r="45" spans="1:29" s="3" customFormat="1" x14ac:dyDescent="0.2">
      <c r="A45" s="2"/>
      <c r="B45" s="851" t="s">
        <v>74</v>
      </c>
      <c r="C45" s="262"/>
      <c r="D45" s="263">
        <f>SUM(D42:D44)</f>
        <v>0</v>
      </c>
      <c r="E45" s="90"/>
      <c r="F45" s="207">
        <f>SUM(F42:F44)</f>
        <v>0</v>
      </c>
      <c r="G45" s="262"/>
      <c r="H45" s="263">
        <f>SUM(H42:H44)</f>
        <v>0</v>
      </c>
      <c r="I45" s="250"/>
      <c r="J45" s="249">
        <f>SUM(J42:J44)</f>
        <v>0</v>
      </c>
      <c r="K45" s="262"/>
      <c r="L45" s="249">
        <f>SUM(L42:L44)</f>
        <v>0</v>
      </c>
      <c r="M45" s="262"/>
      <c r="N45" s="263">
        <f>SUM(N42:N44)</f>
        <v>0</v>
      </c>
      <c r="O45" s="250"/>
      <c r="P45" s="263">
        <f>SUM(P42:P44)</f>
        <v>0</v>
      </c>
      <c r="Q45" s="250"/>
      <c r="R45" s="263">
        <f>SUM(R42:R44)</f>
        <v>0</v>
      </c>
      <c r="S45" s="250"/>
      <c r="T45" s="263"/>
      <c r="U45" s="250"/>
      <c r="V45" s="263"/>
      <c r="W45" s="250"/>
      <c r="X45" s="263"/>
      <c r="Y45" s="250"/>
      <c r="Z45" s="149"/>
      <c r="AA45" s="930"/>
      <c r="AB45" s="31"/>
      <c r="AC45" s="1008">
        <f t="shared" ref="AC45" si="5">AVERAGE(X45,V45,T45,R45,Z45)</f>
        <v>0</v>
      </c>
    </row>
    <row r="46" spans="1:29" s="3" customFormat="1" ht="13.5" thickBot="1" x14ac:dyDescent="0.25">
      <c r="A46" s="2"/>
      <c r="B46" s="1328" t="s">
        <v>75</v>
      </c>
      <c r="C46" s="239"/>
      <c r="D46" s="263">
        <f>SUM(D40,D45)</f>
        <v>1354559</v>
      </c>
      <c r="E46" s="31"/>
      <c r="F46" s="207">
        <f>SUM(F40,F45)</f>
        <v>1434105</v>
      </c>
      <c r="G46" s="239"/>
      <c r="H46" s="263">
        <f>SUM(H40,H45)</f>
        <v>1496276</v>
      </c>
      <c r="I46" s="139"/>
      <c r="J46" s="249">
        <f>SUM(J40,J45)</f>
        <v>1702933</v>
      </c>
      <c r="K46" s="239"/>
      <c r="L46" s="249">
        <f>SUM(L40,L45)</f>
        <v>1728067</v>
      </c>
      <c r="M46" s="239"/>
      <c r="N46" s="263">
        <f>SUM(N40,N45)</f>
        <v>1951429</v>
      </c>
      <c r="O46" s="139"/>
      <c r="P46" s="263">
        <f>SUM(P40,P45)</f>
        <v>2009122</v>
      </c>
      <c r="Q46" s="139"/>
      <c r="R46" s="263">
        <f>SUM(R40,R45)</f>
        <v>1942180</v>
      </c>
      <c r="S46" s="139"/>
      <c r="T46" s="263">
        <f>SUM(T40,T45)</f>
        <v>1971438</v>
      </c>
      <c r="U46" s="139"/>
      <c r="V46" s="263">
        <f>SUM(V40,V45)</f>
        <v>2023601</v>
      </c>
      <c r="W46" s="139"/>
      <c r="X46" s="263">
        <f>SUM(X40,X45)</f>
        <v>2158856</v>
      </c>
      <c r="Y46" s="139"/>
      <c r="Z46" s="149">
        <f>SUM(Z40,Z45)</f>
        <v>2318580</v>
      </c>
      <c r="AA46" s="930"/>
      <c r="AB46" s="327"/>
      <c r="AC46" s="1008">
        <f>AVERAGE(X46,V46,T46,R46,Z46)</f>
        <v>2082931</v>
      </c>
    </row>
    <row r="47" spans="1:29" s="3" customFormat="1" ht="12" x14ac:dyDescent="0.2">
      <c r="B47" s="586" t="s">
        <v>259</v>
      </c>
      <c r="C47" s="265"/>
      <c r="D47" s="248"/>
      <c r="E47" s="36"/>
      <c r="F47" s="36"/>
      <c r="G47" s="265"/>
      <c r="H47" s="248"/>
      <c r="I47" s="151"/>
      <c r="J47" s="151"/>
      <c r="K47" s="265"/>
      <c r="L47" s="151"/>
      <c r="M47" s="265"/>
      <c r="N47" s="248"/>
      <c r="O47" s="151"/>
      <c r="P47" s="248"/>
      <c r="Q47" s="151"/>
      <c r="R47" s="248"/>
      <c r="S47" s="151"/>
      <c r="T47" s="248"/>
      <c r="U47" s="151"/>
      <c r="V47" s="248"/>
      <c r="W47" s="151"/>
      <c r="X47" s="248"/>
      <c r="Y47" s="151"/>
      <c r="Z47" s="152"/>
      <c r="AA47" s="930"/>
      <c r="AB47" s="28"/>
      <c r="AC47" s="978"/>
    </row>
    <row r="48" spans="1:29" x14ac:dyDescent="0.2">
      <c r="A48" s="3"/>
      <c r="B48" s="161" t="s">
        <v>14</v>
      </c>
      <c r="C48" s="309"/>
      <c r="D48" s="466">
        <f>253779+1174958</f>
        <v>1428737</v>
      </c>
      <c r="E48" s="64"/>
      <c r="F48" s="377">
        <v>1460802</v>
      </c>
      <c r="G48" s="309"/>
      <c r="H48" s="489">
        <v>1500292.63</v>
      </c>
      <c r="I48" s="465"/>
      <c r="J48" s="487">
        <v>1664305.68</v>
      </c>
      <c r="K48" s="488"/>
      <c r="L48" s="837">
        <f>67678+1665178</f>
        <v>1732856</v>
      </c>
      <c r="M48" s="488"/>
      <c r="N48" s="510">
        <v>1800981</v>
      </c>
      <c r="O48" s="465"/>
      <c r="P48" s="545">
        <v>1779919</v>
      </c>
      <c r="Q48" s="828"/>
      <c r="R48" s="1266">
        <v>1785417</v>
      </c>
      <c r="S48" s="828"/>
      <c r="T48" s="1266">
        <v>1859158</v>
      </c>
      <c r="U48" s="828"/>
      <c r="V48" s="1266">
        <v>1931054</v>
      </c>
      <c r="W48" s="828"/>
      <c r="X48" s="1266">
        <v>2096440.71</v>
      </c>
      <c r="Y48" s="828"/>
      <c r="Z48" s="1576"/>
      <c r="AA48" s="1035"/>
      <c r="AB48" s="30"/>
      <c r="AC48" s="1521">
        <f>AVERAGE(X48,V48,R48,T48,P48)</f>
        <v>1890397.7420000001</v>
      </c>
    </row>
    <row r="49" spans="1:29" ht="13.5" thickBot="1" x14ac:dyDescent="0.25">
      <c r="A49" s="3"/>
      <c r="B49" s="1265" t="s">
        <v>15</v>
      </c>
      <c r="C49" s="268"/>
      <c r="D49" s="467">
        <v>7115</v>
      </c>
      <c r="E49" s="40"/>
      <c r="F49" s="378">
        <v>50626</v>
      </c>
      <c r="G49" s="268"/>
      <c r="H49" s="517">
        <v>101338</v>
      </c>
      <c r="I49" s="237"/>
      <c r="J49" s="516">
        <v>96555</v>
      </c>
      <c r="K49" s="596"/>
      <c r="L49" s="827">
        <f>23950+55857</f>
        <v>79807</v>
      </c>
      <c r="M49" s="596"/>
      <c r="N49" s="509">
        <f>51322</f>
        <v>51322</v>
      </c>
      <c r="O49" s="237"/>
      <c r="P49" s="509">
        <f>35328+9445</f>
        <v>44773</v>
      </c>
      <c r="Q49" s="1481"/>
      <c r="R49" s="1152">
        <f>26606.56+42947.16</f>
        <v>69553.72</v>
      </c>
      <c r="S49" s="1481"/>
      <c r="T49" s="1152">
        <f>48531.7+23622.52</f>
        <v>72154.22</v>
      </c>
      <c r="U49" s="1481"/>
      <c r="V49" s="1152">
        <v>65371</v>
      </c>
      <c r="W49" s="1481"/>
      <c r="X49" s="1152">
        <v>51306.07</v>
      </c>
      <c r="Y49" s="1481"/>
      <c r="Z49" s="1569"/>
      <c r="AA49" s="1035"/>
      <c r="AB49" s="113"/>
      <c r="AC49" s="949">
        <f>AVERAGE(X49,V49,R49,T49,P49)</f>
        <v>60631.601999999999</v>
      </c>
    </row>
    <row r="50" spans="1:29" x14ac:dyDescent="0.2">
      <c r="A50" s="3"/>
      <c r="B50" s="1553"/>
      <c r="C50" s="308" t="s">
        <v>133</v>
      </c>
      <c r="D50" s="417" t="s">
        <v>139</v>
      </c>
      <c r="E50" s="166" t="s">
        <v>133</v>
      </c>
      <c r="F50" s="84" t="s">
        <v>139</v>
      </c>
      <c r="G50" s="380" t="s">
        <v>133</v>
      </c>
      <c r="H50" s="194" t="s">
        <v>139</v>
      </c>
      <c r="I50" s="166" t="s">
        <v>133</v>
      </c>
      <c r="J50" s="194" t="s">
        <v>139</v>
      </c>
      <c r="K50" s="166" t="s">
        <v>133</v>
      </c>
      <c r="L50" s="84" t="s">
        <v>139</v>
      </c>
      <c r="M50" s="380" t="s">
        <v>133</v>
      </c>
      <c r="N50" s="194" t="s">
        <v>139</v>
      </c>
      <c r="O50" s="414" t="s">
        <v>133</v>
      </c>
      <c r="P50" s="417" t="s">
        <v>139</v>
      </c>
      <c r="Q50" s="166" t="s">
        <v>133</v>
      </c>
      <c r="R50" s="194" t="s">
        <v>139</v>
      </c>
      <c r="S50" s="166" t="s">
        <v>133</v>
      </c>
      <c r="T50" s="194" t="s">
        <v>139</v>
      </c>
      <c r="U50" s="166" t="s">
        <v>133</v>
      </c>
      <c r="V50" s="194" t="s">
        <v>139</v>
      </c>
      <c r="W50" s="414" t="s">
        <v>133</v>
      </c>
      <c r="X50" s="417" t="s">
        <v>139</v>
      </c>
      <c r="Y50" s="166" t="s">
        <v>133</v>
      </c>
      <c r="Z50" s="84" t="s">
        <v>139</v>
      </c>
      <c r="AA50" s="1031"/>
      <c r="AB50" s="323" t="s">
        <v>133</v>
      </c>
      <c r="AC50" s="295" t="s">
        <v>139</v>
      </c>
    </row>
    <row r="51" spans="1:29" s="3" customFormat="1" ht="11.45" customHeight="1" x14ac:dyDescent="0.2">
      <c r="B51" s="86" t="s">
        <v>67</v>
      </c>
      <c r="C51" s="475">
        <v>6</v>
      </c>
      <c r="D51" s="511">
        <v>668175</v>
      </c>
      <c r="E51" s="108">
        <v>2</v>
      </c>
      <c r="F51" s="522">
        <v>45000</v>
      </c>
      <c r="G51" s="476">
        <v>1</v>
      </c>
      <c r="H51" s="439">
        <v>158803</v>
      </c>
      <c r="I51" s="476">
        <v>4</v>
      </c>
      <c r="J51" s="525">
        <v>183384</v>
      </c>
      <c r="K51" s="476">
        <v>2</v>
      </c>
      <c r="L51" s="525">
        <v>107834</v>
      </c>
      <c r="M51" s="532">
        <v>3</v>
      </c>
      <c r="N51" s="510">
        <v>99493</v>
      </c>
      <c r="O51" s="532">
        <v>3</v>
      </c>
      <c r="P51" s="510">
        <v>168757</v>
      </c>
      <c r="Q51" s="532">
        <v>2</v>
      </c>
      <c r="R51" s="510">
        <v>198840</v>
      </c>
      <c r="S51" s="532">
        <v>0</v>
      </c>
      <c r="T51" s="510">
        <v>0</v>
      </c>
      <c r="U51" s="532">
        <v>2</v>
      </c>
      <c r="V51" s="510">
        <v>40971</v>
      </c>
      <c r="W51" s="532">
        <v>1</v>
      </c>
      <c r="X51" s="510">
        <v>40000</v>
      </c>
      <c r="Y51" s="1445"/>
      <c r="Z51" s="1482"/>
      <c r="AA51" s="955"/>
      <c r="AB51" s="108">
        <f>AVERAGE(W51,U51,Q51,S51,O51)</f>
        <v>1.6</v>
      </c>
      <c r="AC51" s="951">
        <f>AVERAGE(X51,V51,R51,T51,P51)</f>
        <v>89713.600000000006</v>
      </c>
    </row>
    <row r="52" spans="1:29" s="3" customFormat="1" ht="11.45" customHeight="1" x14ac:dyDescent="0.2">
      <c r="B52" s="86"/>
      <c r="C52" s="916"/>
      <c r="D52" s="197"/>
      <c r="E52" s="838"/>
      <c r="F52" s="306"/>
      <c r="G52" s="551"/>
      <c r="H52" s="418"/>
      <c r="I52" s="551"/>
      <c r="J52" s="452"/>
      <c r="K52" s="551"/>
      <c r="L52" s="452"/>
      <c r="M52" s="530"/>
      <c r="N52" s="545"/>
      <c r="O52" s="530"/>
      <c r="P52" s="545"/>
      <c r="Q52" s="530"/>
      <c r="R52" s="545"/>
      <c r="S52" s="530"/>
      <c r="T52" s="545"/>
      <c r="U52" s="530"/>
      <c r="V52" s="545"/>
      <c r="W52" s="530"/>
      <c r="X52" s="545"/>
      <c r="Y52" s="1446"/>
      <c r="Z52" s="1483"/>
      <c r="AA52" s="955"/>
      <c r="AB52" s="1013"/>
      <c r="AC52" s="949"/>
    </row>
    <row r="53" spans="1:29" s="3" customFormat="1" thickBot="1" x14ac:dyDescent="0.25">
      <c r="B53" s="358" t="s">
        <v>16</v>
      </c>
      <c r="C53" s="913">
        <v>4</v>
      </c>
      <c r="D53" s="208">
        <v>361121</v>
      </c>
      <c r="E53" s="839">
        <v>1</v>
      </c>
      <c r="F53" s="69">
        <v>40000</v>
      </c>
      <c r="G53" s="552">
        <v>2</v>
      </c>
      <c r="H53" s="524">
        <v>395000</v>
      </c>
      <c r="I53" s="552">
        <v>3</v>
      </c>
      <c r="J53" s="526">
        <v>1147088</v>
      </c>
      <c r="K53" s="552">
        <v>2</v>
      </c>
      <c r="L53" s="526">
        <v>45000</v>
      </c>
      <c r="M53" s="552">
        <v>2</v>
      </c>
      <c r="N53" s="509">
        <v>84987</v>
      </c>
      <c r="O53" s="552">
        <v>2</v>
      </c>
      <c r="P53" s="509">
        <v>65000</v>
      </c>
      <c r="Q53" s="552">
        <v>1</v>
      </c>
      <c r="R53" s="509">
        <v>25000</v>
      </c>
      <c r="S53" s="552">
        <v>2</v>
      </c>
      <c r="T53" s="509">
        <v>43000</v>
      </c>
      <c r="U53" s="552">
        <v>3</v>
      </c>
      <c r="V53" s="509">
        <v>234342</v>
      </c>
      <c r="W53" s="552">
        <v>0</v>
      </c>
      <c r="X53" s="509">
        <v>0</v>
      </c>
      <c r="Y53" s="1447"/>
      <c r="Z53" s="1484"/>
      <c r="AA53" s="955"/>
      <c r="AB53" s="839">
        <f>AVERAGE(W53,U53,Q53,S53,O53)</f>
        <v>1.6</v>
      </c>
      <c r="AC53" s="1009">
        <f>AVERAGE(X53,V53,R53,T53,P53)</f>
        <v>73468.399999999994</v>
      </c>
    </row>
    <row r="54" spans="1:29" s="3" customFormat="1" thickTop="1" x14ac:dyDescent="0.2">
      <c r="B54" s="355" t="s">
        <v>84</v>
      </c>
      <c r="C54" s="199"/>
      <c r="D54" s="209"/>
      <c r="E54" s="45"/>
      <c r="F54" s="323"/>
      <c r="G54" s="269"/>
      <c r="H54" s="419"/>
      <c r="I54" s="269"/>
      <c r="J54" s="307"/>
      <c r="K54" s="269"/>
      <c r="L54" s="307"/>
      <c r="M54" s="269"/>
      <c r="N54" s="419"/>
      <c r="O54" s="156"/>
      <c r="P54" s="419"/>
      <c r="Q54" s="156"/>
      <c r="R54" s="419"/>
      <c r="S54" s="156"/>
      <c r="T54" s="419"/>
      <c r="U54" s="156"/>
      <c r="V54" s="419"/>
      <c r="W54" s="156"/>
      <c r="X54" s="419"/>
      <c r="Y54" s="156"/>
      <c r="Z54" s="158"/>
      <c r="AA54" s="955"/>
      <c r="AB54" s="109"/>
      <c r="AC54" s="1030"/>
    </row>
    <row r="55" spans="1:29" s="3" customFormat="1" ht="12" x14ac:dyDescent="0.2">
      <c r="B55" s="334" t="s">
        <v>35</v>
      </c>
      <c r="C55" s="201"/>
      <c r="D55" s="210"/>
      <c r="E55" s="97"/>
      <c r="F55" s="34"/>
      <c r="G55" s="271"/>
      <c r="H55" s="420"/>
      <c r="I55" s="271"/>
      <c r="J55" s="135"/>
      <c r="K55" s="271"/>
      <c r="L55" s="135"/>
      <c r="M55" s="271"/>
      <c r="N55" s="420"/>
      <c r="O55" s="157"/>
      <c r="P55" s="420"/>
      <c r="Q55" s="157"/>
      <c r="R55" s="420"/>
      <c r="S55" s="157"/>
      <c r="T55" s="420"/>
      <c r="U55" s="157"/>
      <c r="V55" s="420"/>
      <c r="W55" s="157"/>
      <c r="X55" s="420"/>
      <c r="Y55" s="157"/>
      <c r="Z55" s="287"/>
      <c r="AA55" s="955"/>
      <c r="AB55" s="720"/>
      <c r="AC55" s="1011"/>
    </row>
    <row r="56" spans="1:29" s="3" customFormat="1" ht="12" x14ac:dyDescent="0.2">
      <c r="B56" s="338" t="s">
        <v>85</v>
      </c>
      <c r="C56" s="202"/>
      <c r="D56" s="232">
        <v>91358</v>
      </c>
      <c r="E56" s="35"/>
      <c r="F56" s="345">
        <v>121002.45</v>
      </c>
      <c r="G56" s="272"/>
      <c r="H56" s="503">
        <v>31593.45</v>
      </c>
      <c r="I56" s="272"/>
      <c r="J56" s="548">
        <v>19957.45</v>
      </c>
      <c r="K56" s="272"/>
      <c r="L56" s="811">
        <v>276469.95</v>
      </c>
      <c r="M56" s="272"/>
      <c r="N56" s="548">
        <v>163720</v>
      </c>
      <c r="O56" s="254"/>
      <c r="P56" s="548">
        <v>301363</v>
      </c>
      <c r="Q56" s="254"/>
      <c r="R56" s="548">
        <v>397747</v>
      </c>
      <c r="S56" s="254"/>
      <c r="T56" s="548">
        <v>204664.97</v>
      </c>
      <c r="U56" s="254"/>
      <c r="V56" s="548">
        <v>122732.83</v>
      </c>
      <c r="W56" s="254"/>
      <c r="X56" s="548">
        <v>571675.06999999995</v>
      </c>
      <c r="Y56" s="254"/>
      <c r="Z56" s="1581"/>
      <c r="AA56" s="955"/>
      <c r="AB56" s="1013"/>
      <c r="AC56" s="949">
        <f t="shared" ref="AC56:AC57" si="6">AVERAGE(X56,V56,R56,T56,P56)</f>
        <v>319636.57399999996</v>
      </c>
    </row>
    <row r="57" spans="1:29" s="3" customFormat="1" thickBot="1" x14ac:dyDescent="0.25">
      <c r="B57" s="361" t="s">
        <v>86</v>
      </c>
      <c r="C57" s="204"/>
      <c r="D57" s="211">
        <v>119085.72</v>
      </c>
      <c r="E57" s="37"/>
      <c r="F57" s="324">
        <v>129583.07</v>
      </c>
      <c r="G57" s="274"/>
      <c r="H57" s="504">
        <v>141825.46</v>
      </c>
      <c r="I57" s="274"/>
      <c r="J57" s="556">
        <v>161694.6</v>
      </c>
      <c r="K57" s="274"/>
      <c r="L57" s="536">
        <v>133095.5</v>
      </c>
      <c r="M57" s="274"/>
      <c r="N57" s="1236">
        <v>103230.34</v>
      </c>
      <c r="O57" s="260"/>
      <c r="P57" s="1236">
        <v>111354</v>
      </c>
      <c r="Q57" s="260"/>
      <c r="R57" s="1236">
        <v>128750</v>
      </c>
      <c r="S57" s="260"/>
      <c r="T57" s="1236">
        <v>123617.57</v>
      </c>
      <c r="U57" s="260"/>
      <c r="V57" s="1236">
        <v>119047.61</v>
      </c>
      <c r="W57" s="260"/>
      <c r="X57" s="1236">
        <v>138545.29</v>
      </c>
      <c r="Y57" s="260"/>
      <c r="Z57" s="1582"/>
      <c r="AB57" s="1015"/>
      <c r="AC57" s="1024">
        <f t="shared" si="6"/>
        <v>124262.894</v>
      </c>
    </row>
    <row r="58" spans="1:29" ht="13.5" thickTop="1" x14ac:dyDescent="0.2">
      <c r="A58" s="3"/>
      <c r="B58" s="96"/>
      <c r="C58" s="97"/>
      <c r="D58" s="98"/>
      <c r="E58" s="97"/>
      <c r="F58" s="34"/>
      <c r="G58" s="157"/>
      <c r="H58" s="135"/>
      <c r="I58" s="157"/>
      <c r="J58" s="429"/>
      <c r="K58" s="157"/>
      <c r="L58" s="429"/>
      <c r="M58" s="157"/>
      <c r="N58" s="429"/>
      <c r="O58" s="157"/>
      <c r="P58" s="429"/>
      <c r="Q58" s="157"/>
      <c r="R58" s="429"/>
      <c r="S58" s="157"/>
      <c r="T58" s="429"/>
      <c r="U58" s="157"/>
      <c r="V58" s="429"/>
      <c r="W58" s="157"/>
      <c r="X58" s="429"/>
      <c r="Y58" s="157"/>
      <c r="Z58" s="429"/>
    </row>
    <row r="59" spans="1:29" x14ac:dyDescent="0.2">
      <c r="A59" s="2" t="s">
        <v>76</v>
      </c>
      <c r="B59" s="96"/>
      <c r="C59" s="97"/>
      <c r="D59" s="98"/>
      <c r="E59" s="97"/>
      <c r="F59" s="34"/>
      <c r="G59" s="157"/>
      <c r="H59" s="135"/>
      <c r="I59" s="157"/>
      <c r="J59" s="135"/>
      <c r="K59" s="157"/>
      <c r="L59" s="135"/>
      <c r="M59" s="157"/>
      <c r="N59" s="135"/>
      <c r="O59" s="157"/>
      <c r="P59" s="135"/>
      <c r="Q59" s="157"/>
      <c r="R59" s="135"/>
      <c r="S59" s="157"/>
      <c r="T59" s="135"/>
      <c r="U59" s="157"/>
      <c r="V59" s="135"/>
      <c r="W59" s="157"/>
      <c r="X59" s="135"/>
      <c r="Y59" s="157"/>
      <c r="Z59" s="135"/>
    </row>
    <row r="60" spans="1:29" ht="13.5" thickBot="1" x14ac:dyDescent="0.25">
      <c r="A60" s="3"/>
      <c r="B60" s="96"/>
      <c r="C60" s="97"/>
      <c r="D60" s="98"/>
      <c r="E60" s="97"/>
      <c r="F60" s="34"/>
      <c r="G60" s="157"/>
      <c r="H60" s="135"/>
      <c r="I60" s="157"/>
      <c r="J60" s="135"/>
      <c r="K60" s="157"/>
      <c r="L60" s="135"/>
      <c r="M60" s="157"/>
      <c r="N60" s="135"/>
      <c r="O60" s="157"/>
      <c r="P60" s="135"/>
      <c r="Q60" s="157"/>
      <c r="R60" s="135"/>
      <c r="S60" s="157"/>
      <c r="T60" s="135"/>
      <c r="U60" s="157"/>
      <c r="V60" s="135"/>
      <c r="W60" s="157"/>
      <c r="X60" s="135"/>
      <c r="Y60" s="157"/>
      <c r="Z60" s="135"/>
    </row>
    <row r="61" spans="1:29" s="3" customFormat="1" ht="14.25" customHeight="1" thickTop="1" thickBot="1" x14ac:dyDescent="0.25">
      <c r="B61" s="340"/>
      <c r="C61" s="2013" t="s">
        <v>49</v>
      </c>
      <c r="D61" s="2014"/>
      <c r="E61" s="2015" t="s">
        <v>50</v>
      </c>
      <c r="F61" s="2015"/>
      <c r="G61" s="2002" t="s">
        <v>141</v>
      </c>
      <c r="H61" s="1982"/>
      <c r="I61" s="1974" t="s">
        <v>152</v>
      </c>
      <c r="J61" s="1974"/>
      <c r="K61" s="2002" t="s">
        <v>154</v>
      </c>
      <c r="L61" s="1974"/>
      <c r="M61" s="2002" t="s">
        <v>171</v>
      </c>
      <c r="N61" s="1982"/>
      <c r="O61" s="1974" t="s">
        <v>227</v>
      </c>
      <c r="P61" s="1974"/>
      <c r="Q61" s="2002" t="s">
        <v>237</v>
      </c>
      <c r="R61" s="1982"/>
      <c r="S61" s="1974" t="s">
        <v>272</v>
      </c>
      <c r="T61" s="1982"/>
      <c r="U61" s="1974" t="s">
        <v>274</v>
      </c>
      <c r="V61" s="1982"/>
      <c r="W61" s="1974" t="s">
        <v>280</v>
      </c>
      <c r="X61" s="1982"/>
      <c r="Y61" s="1974" t="s">
        <v>290</v>
      </c>
      <c r="Z61" s="1975"/>
      <c r="AB61" s="2003" t="s">
        <v>213</v>
      </c>
      <c r="AC61" s="2004"/>
    </row>
    <row r="62" spans="1:29" s="3" customFormat="1" ht="12" x14ac:dyDescent="0.2">
      <c r="B62" s="73" t="s">
        <v>53</v>
      </c>
      <c r="C62" s="54"/>
      <c r="D62" s="92"/>
      <c r="E62" s="30"/>
      <c r="F62" s="30"/>
      <c r="G62" s="243"/>
      <c r="H62" s="244"/>
      <c r="I62" s="138"/>
      <c r="J62" s="138"/>
      <c r="K62" s="243"/>
      <c r="L62" s="138"/>
      <c r="M62" s="243"/>
      <c r="N62" s="244"/>
      <c r="O62" s="138"/>
      <c r="P62" s="244"/>
      <c r="Q62" s="138"/>
      <c r="R62" s="244"/>
      <c r="S62" s="138"/>
      <c r="T62" s="244"/>
      <c r="U62" s="138"/>
      <c r="V62" s="244"/>
      <c r="W62" s="138"/>
      <c r="X62" s="244"/>
      <c r="Y62" s="138"/>
      <c r="Z62" s="140"/>
      <c r="AB62" s="831"/>
      <c r="AC62" s="930"/>
    </row>
    <row r="63" spans="1:29" s="3" customFormat="1" ht="12" x14ac:dyDescent="0.2">
      <c r="B63" s="74" t="s">
        <v>54</v>
      </c>
      <c r="C63" s="184"/>
      <c r="D63" s="165"/>
      <c r="E63" s="31"/>
      <c r="F63" s="171"/>
      <c r="G63" s="239"/>
      <c r="H63" s="261"/>
      <c r="I63" s="139"/>
      <c r="J63" s="183"/>
      <c r="K63" s="239"/>
      <c r="L63" s="183"/>
      <c r="M63" s="239"/>
      <c r="N63" s="261"/>
      <c r="O63" s="139"/>
      <c r="P63" s="261"/>
      <c r="Q63" s="139"/>
      <c r="R63" s="261"/>
      <c r="S63" s="139"/>
      <c r="T63" s="261"/>
      <c r="U63" s="139"/>
      <c r="V63" s="261"/>
      <c r="W63" s="139"/>
      <c r="X63" s="261"/>
      <c r="Y63" s="139"/>
      <c r="Z63" s="142"/>
      <c r="AB63" s="24"/>
      <c r="AC63" s="579"/>
    </row>
    <row r="64" spans="1:29" s="3" customFormat="1" ht="12" x14ac:dyDescent="0.2">
      <c r="B64" s="75" t="s">
        <v>55</v>
      </c>
      <c r="C64" s="184"/>
      <c r="D64" s="165">
        <f>14+3</f>
        <v>17</v>
      </c>
      <c r="E64" s="31"/>
      <c r="F64" s="171">
        <v>17</v>
      </c>
      <c r="G64" s="239"/>
      <c r="H64" s="261">
        <v>16</v>
      </c>
      <c r="I64" s="139"/>
      <c r="J64" s="183">
        <v>20</v>
      </c>
      <c r="K64" s="239"/>
      <c r="L64" s="183">
        <v>19</v>
      </c>
      <c r="M64" s="239"/>
      <c r="N64" s="261">
        <v>20</v>
      </c>
      <c r="O64" s="139"/>
      <c r="P64" s="261">
        <v>20</v>
      </c>
      <c r="Q64" s="139"/>
      <c r="R64" s="261">
        <v>20</v>
      </c>
      <c r="S64" s="139"/>
      <c r="T64" s="261">
        <f>19</f>
        <v>19</v>
      </c>
      <c r="U64" s="139"/>
      <c r="V64" s="261">
        <v>21</v>
      </c>
      <c r="W64" s="139"/>
      <c r="X64" s="261">
        <v>22</v>
      </c>
      <c r="Y64" s="139"/>
      <c r="Z64" s="142">
        <v>19</v>
      </c>
      <c r="AB64" s="12"/>
      <c r="AC64" s="1113">
        <f>AVERAGE(X64,V64,T64,R64,Z64)</f>
        <v>20.2</v>
      </c>
    </row>
    <row r="65" spans="2:29" s="3" customFormat="1" ht="12" x14ac:dyDescent="0.2">
      <c r="B65" s="75" t="s">
        <v>181</v>
      </c>
      <c r="C65" s="184"/>
      <c r="D65" s="165">
        <v>2</v>
      </c>
      <c r="E65" s="31"/>
      <c r="F65" s="171">
        <v>0</v>
      </c>
      <c r="G65" s="239"/>
      <c r="H65" s="261">
        <v>2</v>
      </c>
      <c r="I65" s="139"/>
      <c r="J65" s="183">
        <v>3</v>
      </c>
      <c r="K65" s="239"/>
      <c r="L65" s="183">
        <v>3</v>
      </c>
      <c r="M65" s="239"/>
      <c r="N65" s="261">
        <v>3</v>
      </c>
      <c r="O65" s="139"/>
      <c r="P65" s="261">
        <v>2</v>
      </c>
      <c r="Q65" s="139"/>
      <c r="R65" s="261">
        <v>2</v>
      </c>
      <c r="S65" s="139"/>
      <c r="T65" s="261">
        <f>3</f>
        <v>3</v>
      </c>
      <c r="U65" s="139"/>
      <c r="V65" s="261">
        <v>0</v>
      </c>
      <c r="W65" s="139"/>
      <c r="X65" s="261">
        <v>2</v>
      </c>
      <c r="Y65" s="139"/>
      <c r="Z65" s="142">
        <v>2</v>
      </c>
      <c r="AB65" s="12"/>
      <c r="AC65" s="1113">
        <f t="shared" ref="AC65:AC69" si="7">AVERAGE(X65,V65,T65,R65,Z65)</f>
        <v>1.8</v>
      </c>
    </row>
    <row r="66" spans="2:29" s="3" customFormat="1" ht="12" x14ac:dyDescent="0.2">
      <c r="B66" s="74" t="s">
        <v>57</v>
      </c>
      <c r="C66" s="184"/>
      <c r="D66" s="94"/>
      <c r="E66" s="31"/>
      <c r="F66" s="39"/>
      <c r="G66" s="239"/>
      <c r="H66" s="240"/>
      <c r="I66" s="139"/>
      <c r="J66" s="241"/>
      <c r="K66" s="239"/>
      <c r="L66" s="241"/>
      <c r="M66" s="239"/>
      <c r="N66" s="240"/>
      <c r="O66" s="139"/>
      <c r="P66" s="240"/>
      <c r="Q66" s="139"/>
      <c r="R66" s="240"/>
      <c r="S66" s="139"/>
      <c r="T66" s="240"/>
      <c r="U66" s="139"/>
      <c r="V66" s="240"/>
      <c r="W66" s="139"/>
      <c r="X66" s="240"/>
      <c r="Y66" s="139"/>
      <c r="Z66" s="143"/>
      <c r="AB66" s="12"/>
      <c r="AC66" s="1113"/>
    </row>
    <row r="67" spans="2:29" s="3" customFormat="1" ht="12" x14ac:dyDescent="0.2">
      <c r="B67" s="75" t="s">
        <v>55</v>
      </c>
      <c r="C67" s="184"/>
      <c r="D67" s="94">
        <v>0</v>
      </c>
      <c r="E67" s="31"/>
      <c r="F67" s="39">
        <v>0</v>
      </c>
      <c r="G67" s="239"/>
      <c r="H67" s="240">
        <v>0</v>
      </c>
      <c r="I67" s="139"/>
      <c r="J67" s="241">
        <v>0</v>
      </c>
      <c r="K67" s="239"/>
      <c r="L67" s="241">
        <v>0</v>
      </c>
      <c r="M67" s="239"/>
      <c r="N67" s="240">
        <v>0</v>
      </c>
      <c r="O67" s="139"/>
      <c r="P67" s="240">
        <v>0</v>
      </c>
      <c r="Q67" s="139"/>
      <c r="R67" s="240">
        <v>0</v>
      </c>
      <c r="S67" s="139"/>
      <c r="T67" s="240">
        <v>0</v>
      </c>
      <c r="U67" s="139"/>
      <c r="V67" s="240">
        <v>0</v>
      </c>
      <c r="W67" s="139"/>
      <c r="X67" s="240">
        <v>0</v>
      </c>
      <c r="Y67" s="139"/>
      <c r="Z67" s="143">
        <v>1</v>
      </c>
      <c r="AB67" s="12"/>
      <c r="AC67" s="1113">
        <f t="shared" si="7"/>
        <v>0.2</v>
      </c>
    </row>
    <row r="68" spans="2:29" s="3" customFormat="1" ht="12" x14ac:dyDescent="0.2">
      <c r="B68" s="341" t="s">
        <v>181</v>
      </c>
      <c r="C68" s="184"/>
      <c r="D68" s="94">
        <v>0</v>
      </c>
      <c r="E68" s="31"/>
      <c r="F68" s="39">
        <v>0</v>
      </c>
      <c r="G68" s="239"/>
      <c r="H68" s="240">
        <v>0</v>
      </c>
      <c r="I68" s="139"/>
      <c r="J68" s="241">
        <v>1</v>
      </c>
      <c r="K68" s="239"/>
      <c r="L68" s="241">
        <v>1</v>
      </c>
      <c r="M68" s="239"/>
      <c r="N68" s="240">
        <v>1</v>
      </c>
      <c r="O68" s="139"/>
      <c r="P68" s="240">
        <v>0</v>
      </c>
      <c r="Q68" s="139"/>
      <c r="R68" s="240">
        <v>0</v>
      </c>
      <c r="S68" s="139"/>
      <c r="T68" s="240">
        <v>0</v>
      </c>
      <c r="U68" s="139"/>
      <c r="V68" s="240">
        <v>0</v>
      </c>
      <c r="W68" s="139"/>
      <c r="X68" s="240">
        <v>0</v>
      </c>
      <c r="Y68" s="139"/>
      <c r="Z68" s="143">
        <v>0</v>
      </c>
      <c r="AB68" s="12"/>
      <c r="AC68" s="1113">
        <f t="shared" si="7"/>
        <v>0</v>
      </c>
    </row>
    <row r="69" spans="2:29" s="3" customFormat="1" thickBot="1" x14ac:dyDescent="0.25">
      <c r="B69" s="79" t="s">
        <v>13</v>
      </c>
      <c r="C69" s="233"/>
      <c r="D69" s="234">
        <f>SUM(D64:D68)</f>
        <v>19</v>
      </c>
      <c r="E69" s="107"/>
      <c r="F69" s="106">
        <f>SUM(F64:F68)</f>
        <v>17</v>
      </c>
      <c r="G69" s="297"/>
      <c r="H69" s="427">
        <f>SUM(H64:H68)</f>
        <v>18</v>
      </c>
      <c r="I69" s="426"/>
      <c r="J69" s="454">
        <f>SUM(J64:J68)</f>
        <v>24</v>
      </c>
      <c r="K69" s="297"/>
      <c r="L69" s="454">
        <f>SUM(L64:L68)</f>
        <v>23</v>
      </c>
      <c r="M69" s="297"/>
      <c r="N69" s="427">
        <f>SUM(N64:N68)</f>
        <v>24</v>
      </c>
      <c r="O69" s="426"/>
      <c r="P69" s="427">
        <f>SUM(P64:P68)</f>
        <v>22</v>
      </c>
      <c r="Q69" s="426"/>
      <c r="R69" s="427">
        <f>SUM(R64:R68)</f>
        <v>22</v>
      </c>
      <c r="S69" s="426"/>
      <c r="T69" s="427">
        <f>SUM(T64:T68)</f>
        <v>22</v>
      </c>
      <c r="U69" s="426"/>
      <c r="V69" s="427">
        <f>SUM(V64:V68)</f>
        <v>21</v>
      </c>
      <c r="W69" s="426"/>
      <c r="X69" s="427">
        <f>SUM(X64:X68)</f>
        <v>24</v>
      </c>
      <c r="Y69" s="426"/>
      <c r="Z69" s="374">
        <f>SUM(Z64:Z68)</f>
        <v>22</v>
      </c>
      <c r="AB69" s="831"/>
      <c r="AC69" s="1114">
        <f t="shared" si="7"/>
        <v>22.2</v>
      </c>
    </row>
    <row r="70" spans="2:29" s="3" customFormat="1" thickTop="1" x14ac:dyDescent="0.2">
      <c r="B70" s="342" t="s">
        <v>135</v>
      </c>
      <c r="C70" s="392"/>
      <c r="D70" s="393"/>
      <c r="E70" s="43" t="s">
        <v>133</v>
      </c>
      <c r="F70" s="41" t="s">
        <v>134</v>
      </c>
      <c r="G70" s="317" t="s">
        <v>133</v>
      </c>
      <c r="H70" s="412" t="s">
        <v>134</v>
      </c>
      <c r="I70" s="411" t="s">
        <v>133</v>
      </c>
      <c r="J70" s="449" t="s">
        <v>134</v>
      </c>
      <c r="K70" s="317" t="s">
        <v>133</v>
      </c>
      <c r="L70" s="449" t="s">
        <v>134</v>
      </c>
      <c r="M70" s="317" t="s">
        <v>133</v>
      </c>
      <c r="N70" s="441" t="s">
        <v>134</v>
      </c>
      <c r="O70" s="411" t="s">
        <v>133</v>
      </c>
      <c r="P70" s="412" t="s">
        <v>134</v>
      </c>
      <c r="Q70" s="411" t="s">
        <v>133</v>
      </c>
      <c r="R70" s="412" t="s">
        <v>134</v>
      </c>
      <c r="S70" s="411" t="s">
        <v>133</v>
      </c>
      <c r="T70" s="412" t="s">
        <v>134</v>
      </c>
      <c r="U70" s="411" t="s">
        <v>133</v>
      </c>
      <c r="V70" s="412" t="s">
        <v>134</v>
      </c>
      <c r="W70" s="411" t="s">
        <v>133</v>
      </c>
      <c r="X70" s="412" t="s">
        <v>134</v>
      </c>
      <c r="Y70" s="411" t="s">
        <v>133</v>
      </c>
      <c r="Z70" s="289" t="s">
        <v>134</v>
      </c>
      <c r="AB70" s="952" t="s">
        <v>133</v>
      </c>
      <c r="AC70" s="862" t="s">
        <v>134</v>
      </c>
    </row>
    <row r="71" spans="2:29" s="3" customFormat="1" ht="12" x14ac:dyDescent="0.2">
      <c r="B71" s="75" t="s">
        <v>87</v>
      </c>
      <c r="C71" s="319">
        <v>19</v>
      </c>
      <c r="D71" s="216">
        <f>C71/D$69</f>
        <v>1</v>
      </c>
      <c r="E71" s="173">
        <v>17</v>
      </c>
      <c r="F71" s="221">
        <f t="shared" ref="F71:H78" si="8">E71/F$69</f>
        <v>1</v>
      </c>
      <c r="G71" s="215">
        <v>18</v>
      </c>
      <c r="H71" s="216">
        <f t="shared" si="8"/>
        <v>1</v>
      </c>
      <c r="I71" s="173">
        <v>24</v>
      </c>
      <c r="J71" s="221">
        <f t="shared" ref="J71:L78" si="9">I71/J$69</f>
        <v>1</v>
      </c>
      <c r="K71" s="215">
        <f>19+1+3</f>
        <v>23</v>
      </c>
      <c r="L71" s="221">
        <f t="shared" si="9"/>
        <v>1</v>
      </c>
      <c r="M71" s="215">
        <f>4+20</f>
        <v>24</v>
      </c>
      <c r="N71" s="216">
        <f t="shared" ref="N71:T78" si="10">M71/N$69</f>
        <v>1</v>
      </c>
      <c r="O71" s="173">
        <v>22</v>
      </c>
      <c r="P71" s="216">
        <f t="shared" si="10"/>
        <v>1</v>
      </c>
      <c r="Q71" s="173">
        <v>21</v>
      </c>
      <c r="R71" s="216">
        <f t="shared" si="10"/>
        <v>0.95454545454545459</v>
      </c>
      <c r="S71" s="173">
        <f>3+18</f>
        <v>21</v>
      </c>
      <c r="T71" s="216">
        <f t="shared" si="10"/>
        <v>0.95454545454545459</v>
      </c>
      <c r="U71" s="173">
        <v>20</v>
      </c>
      <c r="V71" s="216">
        <f t="shared" ref="V71:V78" si="11">U71/V$69</f>
        <v>0.95238095238095233</v>
      </c>
      <c r="W71" s="173">
        <f>2+21</f>
        <v>23</v>
      </c>
      <c r="X71" s="216">
        <f t="shared" ref="X71:Z78" si="12">W71/X$69</f>
        <v>0.95833333333333337</v>
      </c>
      <c r="Y71" s="173">
        <v>21</v>
      </c>
      <c r="Z71" s="1494">
        <f t="shared" si="12"/>
        <v>0.95454545454545459</v>
      </c>
      <c r="AA71" s="955"/>
      <c r="AB71" s="1016">
        <f t="shared" ref="AB71:AB90" si="13">AVERAGE(W71,U71,S71,Q71,Y71)</f>
        <v>21.2</v>
      </c>
      <c r="AC71" s="863">
        <f t="shared" ref="AC71:AC90" si="14">AVERAGE(X71,V71,T71,R71,Z71)</f>
        <v>0.95487012987012998</v>
      </c>
    </row>
    <row r="72" spans="2:29" s="3" customFormat="1" ht="12" x14ac:dyDescent="0.2">
      <c r="B72" s="85" t="s">
        <v>88</v>
      </c>
      <c r="C72" s="319">
        <v>0</v>
      </c>
      <c r="D72" s="216">
        <f t="shared" ref="D72:D90" si="15">C72/$D$69</f>
        <v>0</v>
      </c>
      <c r="E72" s="173">
        <v>0</v>
      </c>
      <c r="F72" s="221">
        <f t="shared" si="8"/>
        <v>0</v>
      </c>
      <c r="G72" s="215">
        <v>0</v>
      </c>
      <c r="H72" s="216">
        <f t="shared" si="8"/>
        <v>0</v>
      </c>
      <c r="I72" s="173">
        <v>0</v>
      </c>
      <c r="J72" s="221">
        <f t="shared" si="9"/>
        <v>0</v>
      </c>
      <c r="K72" s="215">
        <v>0</v>
      </c>
      <c r="L72" s="221">
        <f t="shared" si="9"/>
        <v>0</v>
      </c>
      <c r="M72" s="215">
        <v>0</v>
      </c>
      <c r="N72" s="216">
        <f t="shared" si="10"/>
        <v>0</v>
      </c>
      <c r="O72" s="173">
        <v>0</v>
      </c>
      <c r="P72" s="216">
        <f t="shared" si="10"/>
        <v>0</v>
      </c>
      <c r="Q72" s="173">
        <v>0</v>
      </c>
      <c r="R72" s="216">
        <f t="shared" si="10"/>
        <v>0</v>
      </c>
      <c r="S72" s="173">
        <f>0</f>
        <v>0</v>
      </c>
      <c r="T72" s="216">
        <f t="shared" si="10"/>
        <v>0</v>
      </c>
      <c r="U72" s="173">
        <v>0</v>
      </c>
      <c r="V72" s="216">
        <f t="shared" si="11"/>
        <v>0</v>
      </c>
      <c r="W72" s="173">
        <v>0</v>
      </c>
      <c r="X72" s="216">
        <f t="shared" si="12"/>
        <v>0</v>
      </c>
      <c r="Y72" s="173">
        <v>0</v>
      </c>
      <c r="Z72" s="1494">
        <f t="shared" si="12"/>
        <v>0</v>
      </c>
      <c r="AA72" s="955"/>
      <c r="AB72" s="1016">
        <f t="shared" si="13"/>
        <v>0</v>
      </c>
      <c r="AC72" s="863">
        <f t="shared" si="14"/>
        <v>0</v>
      </c>
    </row>
    <row r="73" spans="2:29" s="3" customFormat="1" ht="12" x14ac:dyDescent="0.2">
      <c r="B73" s="85" t="s">
        <v>89</v>
      </c>
      <c r="C73" s="319">
        <v>0</v>
      </c>
      <c r="D73" s="216">
        <f t="shared" si="15"/>
        <v>0</v>
      </c>
      <c r="E73" s="173">
        <v>0</v>
      </c>
      <c r="F73" s="221">
        <f t="shared" si="8"/>
        <v>0</v>
      </c>
      <c r="G73" s="215">
        <v>0</v>
      </c>
      <c r="H73" s="216">
        <f t="shared" si="8"/>
        <v>0</v>
      </c>
      <c r="I73" s="173">
        <v>0</v>
      </c>
      <c r="J73" s="221">
        <f t="shared" si="9"/>
        <v>0</v>
      </c>
      <c r="K73" s="215">
        <v>0</v>
      </c>
      <c r="L73" s="221">
        <f t="shared" si="9"/>
        <v>0</v>
      </c>
      <c r="M73" s="215">
        <v>0</v>
      </c>
      <c r="N73" s="216">
        <f t="shared" si="10"/>
        <v>0</v>
      </c>
      <c r="O73" s="173">
        <v>0</v>
      </c>
      <c r="P73" s="216">
        <f t="shared" si="10"/>
        <v>0</v>
      </c>
      <c r="Q73" s="173">
        <v>0</v>
      </c>
      <c r="R73" s="216">
        <f t="shared" si="10"/>
        <v>0</v>
      </c>
      <c r="S73" s="173">
        <f>0</f>
        <v>0</v>
      </c>
      <c r="T73" s="216">
        <f t="shared" si="10"/>
        <v>0</v>
      </c>
      <c r="U73" s="173">
        <v>0</v>
      </c>
      <c r="V73" s="216">
        <f t="shared" si="11"/>
        <v>0</v>
      </c>
      <c r="W73" s="173">
        <v>0</v>
      </c>
      <c r="X73" s="216">
        <f t="shared" si="12"/>
        <v>0</v>
      </c>
      <c r="Y73" s="173">
        <v>0</v>
      </c>
      <c r="Z73" s="1494">
        <f t="shared" si="12"/>
        <v>0</v>
      </c>
      <c r="AA73" s="955"/>
      <c r="AB73" s="1016">
        <f t="shared" si="13"/>
        <v>0</v>
      </c>
      <c r="AC73" s="863">
        <f t="shared" si="14"/>
        <v>0</v>
      </c>
    </row>
    <row r="74" spans="2:29" s="3" customFormat="1" ht="12" x14ac:dyDescent="0.2">
      <c r="B74" s="85" t="s">
        <v>90</v>
      </c>
      <c r="C74" s="319">
        <v>0</v>
      </c>
      <c r="D74" s="216">
        <f t="shared" si="15"/>
        <v>0</v>
      </c>
      <c r="E74" s="173">
        <v>0</v>
      </c>
      <c r="F74" s="221">
        <f t="shared" si="8"/>
        <v>0</v>
      </c>
      <c r="G74" s="215">
        <v>0</v>
      </c>
      <c r="H74" s="216">
        <f t="shared" si="8"/>
        <v>0</v>
      </c>
      <c r="I74" s="173">
        <v>0</v>
      </c>
      <c r="J74" s="221">
        <f t="shared" si="9"/>
        <v>0</v>
      </c>
      <c r="K74" s="215">
        <v>0</v>
      </c>
      <c r="L74" s="221">
        <f t="shared" si="9"/>
        <v>0</v>
      </c>
      <c r="M74" s="215">
        <v>0</v>
      </c>
      <c r="N74" s="216">
        <f t="shared" si="10"/>
        <v>0</v>
      </c>
      <c r="O74" s="173">
        <v>0</v>
      </c>
      <c r="P74" s="216">
        <f t="shared" si="10"/>
        <v>0</v>
      </c>
      <c r="Q74" s="173">
        <v>0</v>
      </c>
      <c r="R74" s="216">
        <f t="shared" si="10"/>
        <v>0</v>
      </c>
      <c r="S74" s="173">
        <f>0</f>
        <v>0</v>
      </c>
      <c r="T74" s="216">
        <f t="shared" si="10"/>
        <v>0</v>
      </c>
      <c r="U74" s="173">
        <v>0</v>
      </c>
      <c r="V74" s="216">
        <f t="shared" si="11"/>
        <v>0</v>
      </c>
      <c r="W74" s="173">
        <v>0</v>
      </c>
      <c r="X74" s="216">
        <f t="shared" si="12"/>
        <v>0</v>
      </c>
      <c r="Y74" s="173">
        <v>0</v>
      </c>
      <c r="Z74" s="1494">
        <f t="shared" si="12"/>
        <v>0</v>
      </c>
      <c r="AA74" s="955"/>
      <c r="AB74" s="1016">
        <f t="shared" si="13"/>
        <v>0</v>
      </c>
      <c r="AC74" s="863">
        <f t="shared" si="14"/>
        <v>0</v>
      </c>
    </row>
    <row r="75" spans="2:29" s="3" customFormat="1" ht="12" x14ac:dyDescent="0.2">
      <c r="B75" s="85" t="s">
        <v>91</v>
      </c>
      <c r="C75" s="319">
        <v>0</v>
      </c>
      <c r="D75" s="216">
        <f t="shared" si="15"/>
        <v>0</v>
      </c>
      <c r="E75" s="173">
        <v>0</v>
      </c>
      <c r="F75" s="221">
        <f t="shared" si="8"/>
        <v>0</v>
      </c>
      <c r="G75" s="215">
        <v>0</v>
      </c>
      <c r="H75" s="216">
        <f t="shared" si="8"/>
        <v>0</v>
      </c>
      <c r="I75" s="173">
        <v>0</v>
      </c>
      <c r="J75" s="221">
        <f t="shared" si="9"/>
        <v>0</v>
      </c>
      <c r="K75" s="215">
        <v>0</v>
      </c>
      <c r="L75" s="221">
        <f t="shared" si="9"/>
        <v>0</v>
      </c>
      <c r="M75" s="215">
        <v>0</v>
      </c>
      <c r="N75" s="216">
        <f t="shared" si="10"/>
        <v>0</v>
      </c>
      <c r="O75" s="173">
        <v>0</v>
      </c>
      <c r="P75" s="216">
        <f t="shared" si="10"/>
        <v>0</v>
      </c>
      <c r="Q75" s="173">
        <v>0</v>
      </c>
      <c r="R75" s="216">
        <f t="shared" si="10"/>
        <v>0</v>
      </c>
      <c r="S75" s="173">
        <f>0</f>
        <v>0</v>
      </c>
      <c r="T75" s="216">
        <f t="shared" si="10"/>
        <v>0</v>
      </c>
      <c r="U75" s="173">
        <v>0</v>
      </c>
      <c r="V75" s="216">
        <f t="shared" si="11"/>
        <v>0</v>
      </c>
      <c r="W75" s="173">
        <v>0</v>
      </c>
      <c r="X75" s="216">
        <f t="shared" si="12"/>
        <v>0</v>
      </c>
      <c r="Y75" s="173">
        <v>0</v>
      </c>
      <c r="Z75" s="1494">
        <f t="shared" si="12"/>
        <v>0</v>
      </c>
      <c r="AA75" s="955"/>
      <c r="AB75" s="1016">
        <f t="shared" si="13"/>
        <v>0</v>
      </c>
      <c r="AC75" s="863">
        <f t="shared" si="14"/>
        <v>0</v>
      </c>
    </row>
    <row r="76" spans="2:29" s="3" customFormat="1" ht="12" x14ac:dyDescent="0.2">
      <c r="B76" s="85" t="s">
        <v>92</v>
      </c>
      <c r="C76" s="319">
        <v>0</v>
      </c>
      <c r="D76" s="216">
        <f t="shared" si="15"/>
        <v>0</v>
      </c>
      <c r="E76" s="173">
        <v>0</v>
      </c>
      <c r="F76" s="221">
        <f t="shared" si="8"/>
        <v>0</v>
      </c>
      <c r="G76" s="215">
        <v>0</v>
      </c>
      <c r="H76" s="216">
        <f t="shared" si="8"/>
        <v>0</v>
      </c>
      <c r="I76" s="173">
        <v>0</v>
      </c>
      <c r="J76" s="221">
        <f t="shared" si="9"/>
        <v>0</v>
      </c>
      <c r="K76" s="215">
        <v>0</v>
      </c>
      <c r="L76" s="221">
        <f t="shared" si="9"/>
        <v>0</v>
      </c>
      <c r="M76" s="215">
        <v>0</v>
      </c>
      <c r="N76" s="216">
        <f t="shared" si="10"/>
        <v>0</v>
      </c>
      <c r="O76" s="173">
        <v>0</v>
      </c>
      <c r="P76" s="216">
        <f t="shared" si="10"/>
        <v>0</v>
      </c>
      <c r="Q76" s="173">
        <v>0</v>
      </c>
      <c r="R76" s="216">
        <f t="shared" si="10"/>
        <v>0</v>
      </c>
      <c r="S76" s="173">
        <f>0</f>
        <v>0</v>
      </c>
      <c r="T76" s="216">
        <f t="shared" si="10"/>
        <v>0</v>
      </c>
      <c r="U76" s="173">
        <v>0</v>
      </c>
      <c r="V76" s="216">
        <f t="shared" si="11"/>
        <v>0</v>
      </c>
      <c r="W76" s="173">
        <v>0</v>
      </c>
      <c r="X76" s="216">
        <f t="shared" si="12"/>
        <v>0</v>
      </c>
      <c r="Y76" s="173">
        <v>0</v>
      </c>
      <c r="Z76" s="1494">
        <f t="shared" si="12"/>
        <v>0</v>
      </c>
      <c r="AA76" s="955"/>
      <c r="AB76" s="1016">
        <f t="shared" si="13"/>
        <v>0</v>
      </c>
      <c r="AC76" s="863">
        <f t="shared" si="14"/>
        <v>0</v>
      </c>
    </row>
    <row r="77" spans="2:29" s="3" customFormat="1" ht="12" x14ac:dyDescent="0.2">
      <c r="B77" s="75" t="s">
        <v>256</v>
      </c>
      <c r="C77" s="346"/>
      <c r="D77" s="216"/>
      <c r="E77" s="174"/>
      <c r="F77" s="221"/>
      <c r="G77" s="1510"/>
      <c r="H77" s="1511"/>
      <c r="I77" s="1512"/>
      <c r="J77" s="1513"/>
      <c r="K77" s="1510"/>
      <c r="L77" s="1513"/>
      <c r="M77" s="1510"/>
      <c r="N77" s="1511"/>
      <c r="O77" s="1512"/>
      <c r="P77" s="1511"/>
      <c r="Q77" s="174">
        <v>0</v>
      </c>
      <c r="R77" s="216">
        <f t="shared" si="10"/>
        <v>0</v>
      </c>
      <c r="S77" s="174">
        <f>0</f>
        <v>0</v>
      </c>
      <c r="T77" s="216">
        <f t="shared" si="10"/>
        <v>0</v>
      </c>
      <c r="U77" s="174">
        <v>0</v>
      </c>
      <c r="V77" s="216">
        <f t="shared" si="11"/>
        <v>0</v>
      </c>
      <c r="W77" s="174">
        <v>0</v>
      </c>
      <c r="X77" s="216">
        <f t="shared" si="12"/>
        <v>0</v>
      </c>
      <c r="Y77" s="174">
        <v>1</v>
      </c>
      <c r="Z77" s="1494">
        <f t="shared" si="12"/>
        <v>4.5454545454545456E-2</v>
      </c>
      <c r="AA77" s="955"/>
      <c r="AB77" s="1016">
        <f t="shared" si="13"/>
        <v>0.2</v>
      </c>
      <c r="AC77" s="863">
        <f t="shared" si="14"/>
        <v>9.0909090909090905E-3</v>
      </c>
    </row>
    <row r="78" spans="2:29" s="3" customFormat="1" ht="12" x14ac:dyDescent="0.2">
      <c r="B78" s="85" t="s">
        <v>93</v>
      </c>
      <c r="C78" s="346">
        <v>0</v>
      </c>
      <c r="D78" s="216">
        <f t="shared" si="15"/>
        <v>0</v>
      </c>
      <c r="E78" s="174">
        <v>0</v>
      </c>
      <c r="F78" s="221">
        <f t="shared" si="8"/>
        <v>0</v>
      </c>
      <c r="G78" s="217">
        <v>0</v>
      </c>
      <c r="H78" s="216">
        <f t="shared" si="8"/>
        <v>0</v>
      </c>
      <c r="I78" s="174">
        <v>0</v>
      </c>
      <c r="J78" s="221">
        <f t="shared" si="9"/>
        <v>0</v>
      </c>
      <c r="K78" s="217">
        <v>0</v>
      </c>
      <c r="L78" s="221">
        <f t="shared" si="9"/>
        <v>0</v>
      </c>
      <c r="M78" s="217">
        <v>0</v>
      </c>
      <c r="N78" s="216">
        <f t="shared" si="10"/>
        <v>0</v>
      </c>
      <c r="O78" s="174">
        <v>0</v>
      </c>
      <c r="P78" s="216">
        <f t="shared" si="10"/>
        <v>0</v>
      </c>
      <c r="Q78" s="174">
        <v>1</v>
      </c>
      <c r="R78" s="216">
        <f t="shared" si="10"/>
        <v>4.5454545454545456E-2</v>
      </c>
      <c r="S78" s="174">
        <f>1</f>
        <v>1</v>
      </c>
      <c r="T78" s="216">
        <f t="shared" si="10"/>
        <v>4.5454545454545456E-2</v>
      </c>
      <c r="U78" s="174">
        <v>1</v>
      </c>
      <c r="V78" s="216">
        <f t="shared" si="11"/>
        <v>4.7619047619047616E-2</v>
      </c>
      <c r="W78" s="174">
        <v>1</v>
      </c>
      <c r="X78" s="216">
        <f t="shared" si="12"/>
        <v>4.1666666666666664E-2</v>
      </c>
      <c r="Y78" s="174">
        <v>0</v>
      </c>
      <c r="Z78" s="1494">
        <f t="shared" si="12"/>
        <v>0</v>
      </c>
      <c r="AA78" s="955"/>
      <c r="AB78" s="1016">
        <f t="shared" si="13"/>
        <v>0.8</v>
      </c>
      <c r="AC78" s="863">
        <f t="shared" si="14"/>
        <v>3.6038961038961037E-2</v>
      </c>
    </row>
    <row r="79" spans="2:29" s="3" customFormat="1" ht="12" x14ac:dyDescent="0.2">
      <c r="B79" s="343" t="s">
        <v>136</v>
      </c>
      <c r="C79" s="218"/>
      <c r="D79" s="216"/>
      <c r="E79" s="226"/>
      <c r="F79" s="310"/>
      <c r="G79" s="326"/>
      <c r="H79" s="394"/>
      <c r="I79" s="226"/>
      <c r="J79" s="310"/>
      <c r="K79" s="326"/>
      <c r="L79" s="310"/>
      <c r="M79" s="326"/>
      <c r="N79" s="394"/>
      <c r="O79" s="226"/>
      <c r="P79" s="394"/>
      <c r="Q79" s="226"/>
      <c r="R79" s="394"/>
      <c r="S79" s="226"/>
      <c r="T79" s="394"/>
      <c r="U79" s="226"/>
      <c r="V79" s="394"/>
      <c r="W79" s="226"/>
      <c r="X79" s="394"/>
      <c r="Y79" s="226"/>
      <c r="Z79" s="1500"/>
      <c r="AA79" s="955"/>
      <c r="AB79" s="1016"/>
      <c r="AC79" s="863"/>
    </row>
    <row r="80" spans="2:29" s="3" customFormat="1" ht="12" x14ac:dyDescent="0.2">
      <c r="B80" s="75" t="s">
        <v>124</v>
      </c>
      <c r="C80" s="230">
        <v>13</v>
      </c>
      <c r="D80" s="216">
        <f t="shared" si="15"/>
        <v>0.68421052631578949</v>
      </c>
      <c r="E80" s="171">
        <v>12</v>
      </c>
      <c r="F80" s="311">
        <f>E80/F$69</f>
        <v>0.70588235294117652</v>
      </c>
      <c r="G80" s="229">
        <v>13</v>
      </c>
      <c r="H80" s="395">
        <f>G80/H$69</f>
        <v>0.72222222222222221</v>
      </c>
      <c r="I80" s="183">
        <v>16</v>
      </c>
      <c r="J80" s="221">
        <f>I80/J$69</f>
        <v>0.66666666666666663</v>
      </c>
      <c r="K80" s="229">
        <v>15</v>
      </c>
      <c r="L80" s="221">
        <f>K80/L$69</f>
        <v>0.65217391304347827</v>
      </c>
      <c r="M80" s="229">
        <f>13+3</f>
        <v>16</v>
      </c>
      <c r="N80" s="216">
        <f>M80/N$69</f>
        <v>0.66666666666666663</v>
      </c>
      <c r="O80" s="183">
        <v>14</v>
      </c>
      <c r="P80" s="216">
        <f>O80/P$69</f>
        <v>0.63636363636363635</v>
      </c>
      <c r="Q80" s="183">
        <v>14</v>
      </c>
      <c r="R80" s="216">
        <f>Q80/R$69</f>
        <v>0.63636363636363635</v>
      </c>
      <c r="S80" s="183">
        <f>2+12</f>
        <v>14</v>
      </c>
      <c r="T80" s="216">
        <f>S80/T$69</f>
        <v>0.63636363636363635</v>
      </c>
      <c r="U80" s="183">
        <v>13</v>
      </c>
      <c r="V80" s="216">
        <f>U80/V$69</f>
        <v>0.61904761904761907</v>
      </c>
      <c r="W80" s="183">
        <f>1+14</f>
        <v>15</v>
      </c>
      <c r="X80" s="216">
        <f>W80/X$69</f>
        <v>0.625</v>
      </c>
      <c r="Y80" s="183">
        <v>13</v>
      </c>
      <c r="Z80" s="1494">
        <f>Y80/Z$69</f>
        <v>0.59090909090909094</v>
      </c>
      <c r="AA80" s="955"/>
      <c r="AB80" s="1016">
        <f t="shared" si="13"/>
        <v>13.8</v>
      </c>
      <c r="AC80" s="863">
        <f t="shared" si="14"/>
        <v>0.6215367965367965</v>
      </c>
    </row>
    <row r="81" spans="1:31" s="3" customFormat="1" ht="12" x14ac:dyDescent="0.2">
      <c r="B81" s="75" t="s">
        <v>125</v>
      </c>
      <c r="C81" s="230">
        <v>6</v>
      </c>
      <c r="D81" s="216">
        <f t="shared" si="15"/>
        <v>0.31578947368421051</v>
      </c>
      <c r="E81" s="223">
        <v>5</v>
      </c>
      <c r="F81" s="311">
        <f>E81/F$69</f>
        <v>0.29411764705882354</v>
      </c>
      <c r="G81" s="230">
        <v>5</v>
      </c>
      <c r="H81" s="395">
        <f>G81/H$69</f>
        <v>0.27777777777777779</v>
      </c>
      <c r="I81" s="283">
        <v>8</v>
      </c>
      <c r="J81" s="221">
        <f>I81/J$69</f>
        <v>0.33333333333333331</v>
      </c>
      <c r="K81" s="230">
        <v>8</v>
      </c>
      <c r="L81" s="221">
        <f>K81/L$69</f>
        <v>0.34782608695652173</v>
      </c>
      <c r="M81" s="230">
        <f>7+1</f>
        <v>8</v>
      </c>
      <c r="N81" s="216">
        <f>M81/N$69</f>
        <v>0.33333333333333331</v>
      </c>
      <c r="O81" s="283">
        <v>8</v>
      </c>
      <c r="P81" s="216">
        <f>O81/P$69</f>
        <v>0.36363636363636365</v>
      </c>
      <c r="Q81" s="283">
        <v>8</v>
      </c>
      <c r="R81" s="216">
        <f>Q81/R$69</f>
        <v>0.36363636363636365</v>
      </c>
      <c r="S81" s="283">
        <f>1+7</f>
        <v>8</v>
      </c>
      <c r="T81" s="216">
        <f>S81/T$69</f>
        <v>0.36363636363636365</v>
      </c>
      <c r="U81" s="283">
        <v>8</v>
      </c>
      <c r="V81" s="216">
        <f>U81/V$69</f>
        <v>0.38095238095238093</v>
      </c>
      <c r="W81" s="283">
        <f>1+8</f>
        <v>9</v>
      </c>
      <c r="X81" s="216">
        <f>W81/X$69</f>
        <v>0.375</v>
      </c>
      <c r="Y81" s="283">
        <v>9</v>
      </c>
      <c r="Z81" s="1494">
        <f>Y81/Z$69</f>
        <v>0.40909090909090912</v>
      </c>
      <c r="AA81" s="955"/>
      <c r="AB81" s="1016">
        <f t="shared" si="13"/>
        <v>8.4</v>
      </c>
      <c r="AC81" s="863">
        <f t="shared" si="14"/>
        <v>0.3784632034632035</v>
      </c>
    </row>
    <row r="82" spans="1:31" s="3" customFormat="1" ht="12" x14ac:dyDescent="0.2">
      <c r="B82" s="343" t="s">
        <v>137</v>
      </c>
      <c r="C82" s="219"/>
      <c r="D82" s="216"/>
      <c r="E82" s="227"/>
      <c r="F82" s="311"/>
      <c r="G82" s="315"/>
      <c r="H82" s="395"/>
      <c r="I82" s="285"/>
      <c r="J82" s="221"/>
      <c r="K82" s="315"/>
      <c r="L82" s="221"/>
      <c r="M82" s="315"/>
      <c r="N82" s="216"/>
      <c r="O82" s="285"/>
      <c r="P82" s="216"/>
      <c r="Q82" s="285"/>
      <c r="R82" s="216"/>
      <c r="S82" s="285"/>
      <c r="T82" s="216"/>
      <c r="U82" s="285"/>
      <c r="V82" s="216"/>
      <c r="W82" s="285"/>
      <c r="X82" s="216"/>
      <c r="Y82" s="285"/>
      <c r="Z82" s="1494"/>
      <c r="AA82" s="955"/>
      <c r="AB82" s="1016"/>
      <c r="AC82" s="863"/>
    </row>
    <row r="83" spans="1:31" s="3" customFormat="1" ht="12" x14ac:dyDescent="0.2">
      <c r="B83" s="75" t="s">
        <v>126</v>
      </c>
      <c r="C83" s="224">
        <v>14</v>
      </c>
      <c r="D83" s="216">
        <f t="shared" si="15"/>
        <v>0.73684210526315785</v>
      </c>
      <c r="E83" s="223">
        <v>15</v>
      </c>
      <c r="F83" s="311">
        <f>E83/F$69</f>
        <v>0.88235294117647056</v>
      </c>
      <c r="G83" s="230">
        <v>15</v>
      </c>
      <c r="H83" s="395">
        <f>G83/H$69</f>
        <v>0.83333333333333337</v>
      </c>
      <c r="I83" s="283">
        <v>15</v>
      </c>
      <c r="J83" s="221">
        <f>I83/J$69</f>
        <v>0.625</v>
      </c>
      <c r="K83" s="230">
        <v>15</v>
      </c>
      <c r="L83" s="221">
        <f>K83/L$69</f>
        <v>0.65217391304347827</v>
      </c>
      <c r="M83" s="230">
        <f>2+14</f>
        <v>16</v>
      </c>
      <c r="N83" s="216">
        <f>M83/N$69</f>
        <v>0.66666666666666663</v>
      </c>
      <c r="O83" s="283">
        <v>14</v>
      </c>
      <c r="P83" s="216">
        <f>O83/P$69</f>
        <v>0.63636363636363635</v>
      </c>
      <c r="Q83" s="283">
        <v>15</v>
      </c>
      <c r="R83" s="216">
        <f>Q83/R$69</f>
        <v>0.68181818181818177</v>
      </c>
      <c r="S83" s="283">
        <f>1+14</f>
        <v>15</v>
      </c>
      <c r="T83" s="216">
        <f>S83/T$69</f>
        <v>0.68181818181818177</v>
      </c>
      <c r="U83" s="283">
        <v>17</v>
      </c>
      <c r="V83" s="216">
        <f>U83/V$69</f>
        <v>0.80952380952380953</v>
      </c>
      <c r="W83" s="283">
        <v>17</v>
      </c>
      <c r="X83" s="216">
        <f>W83/X$69</f>
        <v>0.70833333333333337</v>
      </c>
      <c r="Y83" s="283">
        <v>15</v>
      </c>
      <c r="Z83" s="1494">
        <f>Y83/Z$69</f>
        <v>0.68181818181818177</v>
      </c>
      <c r="AA83" s="955"/>
      <c r="AB83" s="1016">
        <f t="shared" si="13"/>
        <v>15.8</v>
      </c>
      <c r="AC83" s="863">
        <f t="shared" si="14"/>
        <v>0.71266233766233755</v>
      </c>
    </row>
    <row r="84" spans="1:31" s="3" customFormat="1" ht="12" x14ac:dyDescent="0.2">
      <c r="B84" s="75" t="s">
        <v>127</v>
      </c>
      <c r="C84" s="224">
        <v>3</v>
      </c>
      <c r="D84" s="216">
        <f t="shared" si="15"/>
        <v>0.15789473684210525</v>
      </c>
      <c r="E84" s="223">
        <v>2</v>
      </c>
      <c r="F84" s="311">
        <f>E84/F$69</f>
        <v>0.11764705882352941</v>
      </c>
      <c r="G84" s="230">
        <v>1</v>
      </c>
      <c r="H84" s="395">
        <f>G84/H$69</f>
        <v>5.5555555555555552E-2</v>
      </c>
      <c r="I84" s="283">
        <v>3</v>
      </c>
      <c r="J84" s="221">
        <f>I84/J$69</f>
        <v>0.125</v>
      </c>
      <c r="K84" s="230">
        <v>4</v>
      </c>
      <c r="L84" s="221">
        <f>K84/L$69</f>
        <v>0.17391304347826086</v>
      </c>
      <c r="M84" s="230">
        <v>4</v>
      </c>
      <c r="N84" s="216">
        <f>M84/N$69</f>
        <v>0.16666666666666666</v>
      </c>
      <c r="O84" s="283">
        <v>3</v>
      </c>
      <c r="P84" s="216">
        <f>O84/P$69</f>
        <v>0.13636363636363635</v>
      </c>
      <c r="Q84" s="283">
        <v>3</v>
      </c>
      <c r="R84" s="216">
        <f>Q84/R$69</f>
        <v>0.13636363636363635</v>
      </c>
      <c r="S84" s="283">
        <f>0+3</f>
        <v>3</v>
      </c>
      <c r="T84" s="216">
        <f>S84/T$69</f>
        <v>0.13636363636363635</v>
      </c>
      <c r="U84" s="283">
        <v>2</v>
      </c>
      <c r="V84" s="216">
        <f>U84/V$69</f>
        <v>9.5238095238095233E-2</v>
      </c>
      <c r="W84" s="283">
        <v>3</v>
      </c>
      <c r="X84" s="216">
        <f>W84/X$69</f>
        <v>0.125</v>
      </c>
      <c r="Y84" s="283">
        <v>3</v>
      </c>
      <c r="Z84" s="1494">
        <f>Y84/Z$69</f>
        <v>0.13636363636363635</v>
      </c>
      <c r="AA84" s="955"/>
      <c r="AB84" s="1016">
        <f t="shared" si="13"/>
        <v>2.8</v>
      </c>
      <c r="AC84" s="863">
        <f t="shared" si="14"/>
        <v>0.12586580086580085</v>
      </c>
    </row>
    <row r="85" spans="1:31" s="3" customFormat="1" ht="12" x14ac:dyDescent="0.2">
      <c r="B85" s="75" t="s">
        <v>128</v>
      </c>
      <c r="C85" s="224">
        <v>2</v>
      </c>
      <c r="D85" s="216">
        <f t="shared" si="15"/>
        <v>0.10526315789473684</v>
      </c>
      <c r="E85" s="223">
        <v>0</v>
      </c>
      <c r="F85" s="311">
        <f>E85/F$69</f>
        <v>0</v>
      </c>
      <c r="G85" s="230">
        <v>2</v>
      </c>
      <c r="H85" s="395">
        <f>G85/H$69</f>
        <v>0.1111111111111111</v>
      </c>
      <c r="I85" s="283">
        <v>6</v>
      </c>
      <c r="J85" s="221">
        <f>I85/J$69</f>
        <v>0.25</v>
      </c>
      <c r="K85" s="230">
        <v>4</v>
      </c>
      <c r="L85" s="221">
        <f>K85/L$69</f>
        <v>0.17391304347826086</v>
      </c>
      <c r="M85" s="230">
        <f>2+2</f>
        <v>4</v>
      </c>
      <c r="N85" s="216">
        <f>M85/N$69</f>
        <v>0.16666666666666666</v>
      </c>
      <c r="O85" s="283">
        <v>5</v>
      </c>
      <c r="P85" s="216">
        <f>O85/P$69</f>
        <v>0.22727272727272727</v>
      </c>
      <c r="Q85" s="283">
        <v>4</v>
      </c>
      <c r="R85" s="216">
        <f>Q85/R$69</f>
        <v>0.18181818181818182</v>
      </c>
      <c r="S85" s="283">
        <f>2+2</f>
        <v>4</v>
      </c>
      <c r="T85" s="216">
        <f>S85/T$69</f>
        <v>0.18181818181818182</v>
      </c>
      <c r="U85" s="283">
        <v>2</v>
      </c>
      <c r="V85" s="216">
        <f>U85/V$69</f>
        <v>9.5238095238095233E-2</v>
      </c>
      <c r="W85" s="283">
        <f>2+2</f>
        <v>4</v>
      </c>
      <c r="X85" s="216">
        <f>W85/X$69</f>
        <v>0.16666666666666666</v>
      </c>
      <c r="Y85" s="283">
        <v>4</v>
      </c>
      <c r="Z85" s="1494">
        <f>Y85/Z$69</f>
        <v>0.18181818181818182</v>
      </c>
      <c r="AA85" s="955"/>
      <c r="AB85" s="1016">
        <f t="shared" si="13"/>
        <v>3.6</v>
      </c>
      <c r="AC85" s="863">
        <f t="shared" si="14"/>
        <v>0.16147186147186146</v>
      </c>
    </row>
    <row r="86" spans="1:31" s="3" customFormat="1" ht="12" x14ac:dyDescent="0.2">
      <c r="B86" s="343" t="s">
        <v>138</v>
      </c>
      <c r="C86" s="219"/>
      <c r="D86" s="216"/>
      <c r="E86" s="227"/>
      <c r="F86" s="311"/>
      <c r="G86" s="315"/>
      <c r="H86" s="395"/>
      <c r="I86" s="285"/>
      <c r="J86" s="221"/>
      <c r="K86" s="315"/>
      <c r="L86" s="221"/>
      <c r="M86" s="315"/>
      <c r="N86" s="216"/>
      <c r="O86" s="285"/>
      <c r="P86" s="216"/>
      <c r="Q86" s="285"/>
      <c r="R86" s="216"/>
      <c r="S86" s="285"/>
      <c r="T86" s="216"/>
      <c r="U86" s="285"/>
      <c r="V86" s="216"/>
      <c r="W86" s="285"/>
      <c r="X86" s="216"/>
      <c r="Y86" s="285"/>
      <c r="Z86" s="1494"/>
      <c r="AB86" s="1016"/>
      <c r="AC86" s="863"/>
    </row>
    <row r="87" spans="1:31" s="3" customFormat="1" ht="12" x14ac:dyDescent="0.2">
      <c r="B87" s="75" t="s">
        <v>129</v>
      </c>
      <c r="C87" s="224">
        <v>18</v>
      </c>
      <c r="D87" s="216">
        <f t="shared" si="15"/>
        <v>0.94736842105263153</v>
      </c>
      <c r="E87" s="223">
        <v>17</v>
      </c>
      <c r="F87" s="311">
        <f>E87/F$69</f>
        <v>1</v>
      </c>
      <c r="G87" s="230">
        <v>17</v>
      </c>
      <c r="H87" s="395">
        <f>G87/H$69</f>
        <v>0.94444444444444442</v>
      </c>
      <c r="I87" s="283">
        <v>20</v>
      </c>
      <c r="J87" s="221">
        <f>I87/J$69</f>
        <v>0.83333333333333337</v>
      </c>
      <c r="K87" s="230">
        <v>21</v>
      </c>
      <c r="L87" s="221">
        <f>K87/L$69</f>
        <v>0.91304347826086951</v>
      </c>
      <c r="M87" s="230">
        <f>3+18</f>
        <v>21</v>
      </c>
      <c r="N87" s="216">
        <f>M87/N$69</f>
        <v>0.875</v>
      </c>
      <c r="O87" s="283">
        <v>22</v>
      </c>
      <c r="P87" s="216">
        <f>O87/P$69</f>
        <v>1</v>
      </c>
      <c r="Q87" s="283">
        <v>22</v>
      </c>
      <c r="R87" s="216">
        <f>Q87/R$69</f>
        <v>1</v>
      </c>
      <c r="S87" s="283">
        <f>3+19</f>
        <v>22</v>
      </c>
      <c r="T87" s="216">
        <f>S87/T$69</f>
        <v>1</v>
      </c>
      <c r="U87" s="283">
        <v>21</v>
      </c>
      <c r="V87" s="216">
        <f>U87/V$69</f>
        <v>1</v>
      </c>
      <c r="W87" s="283">
        <f>2+22</f>
        <v>24</v>
      </c>
      <c r="X87" s="216">
        <f>W87/X$69</f>
        <v>1</v>
      </c>
      <c r="Y87" s="283">
        <v>22</v>
      </c>
      <c r="Z87" s="1494">
        <f>Y87/Z$69</f>
        <v>1</v>
      </c>
      <c r="AB87" s="1016">
        <f t="shared" si="13"/>
        <v>22.2</v>
      </c>
      <c r="AC87" s="863">
        <f t="shared" si="14"/>
        <v>1</v>
      </c>
    </row>
    <row r="88" spans="1:31" s="3" customFormat="1" ht="12" x14ac:dyDescent="0.2">
      <c r="B88" s="75" t="s">
        <v>130</v>
      </c>
      <c r="C88" s="224">
        <v>1</v>
      </c>
      <c r="D88" s="216">
        <f t="shared" si="15"/>
        <v>5.2631578947368418E-2</v>
      </c>
      <c r="E88" s="223">
        <v>0</v>
      </c>
      <c r="F88" s="311">
        <f>E88/F$69</f>
        <v>0</v>
      </c>
      <c r="G88" s="230">
        <v>1</v>
      </c>
      <c r="H88" s="395">
        <f>G88/H$69</f>
        <v>5.5555555555555552E-2</v>
      </c>
      <c r="I88" s="283">
        <v>3</v>
      </c>
      <c r="J88" s="221">
        <f>I88/J$69</f>
        <v>0.125</v>
      </c>
      <c r="K88" s="230">
        <v>2</v>
      </c>
      <c r="L88" s="221">
        <f>K88/L$69</f>
        <v>8.6956521739130432E-2</v>
      </c>
      <c r="M88" s="230">
        <f>1+2</f>
        <v>3</v>
      </c>
      <c r="N88" s="216">
        <f>M88/N$69</f>
        <v>0.125</v>
      </c>
      <c r="O88" s="283">
        <v>0</v>
      </c>
      <c r="P88" s="216">
        <f>O88/P$69</f>
        <v>0</v>
      </c>
      <c r="Q88" s="283">
        <v>0</v>
      </c>
      <c r="R88" s="216">
        <f>Q88/R$69</f>
        <v>0</v>
      </c>
      <c r="S88" s="283">
        <f>0</f>
        <v>0</v>
      </c>
      <c r="T88" s="216">
        <f>S88/T$69</f>
        <v>0</v>
      </c>
      <c r="U88" s="283">
        <v>0</v>
      </c>
      <c r="V88" s="216">
        <f>U88/V$69</f>
        <v>0</v>
      </c>
      <c r="W88" s="283">
        <v>0</v>
      </c>
      <c r="X88" s="216">
        <f>W88/X$69</f>
        <v>0</v>
      </c>
      <c r="Y88" s="283">
        <v>0</v>
      </c>
      <c r="Z88" s="1494">
        <f>Y88/Z$69</f>
        <v>0</v>
      </c>
      <c r="AB88" s="1016">
        <f t="shared" si="13"/>
        <v>0</v>
      </c>
      <c r="AC88" s="863">
        <f t="shared" si="14"/>
        <v>0</v>
      </c>
    </row>
    <row r="89" spans="1:31" s="3" customFormat="1" ht="12" x14ac:dyDescent="0.2">
      <c r="B89" s="75" t="s">
        <v>131</v>
      </c>
      <c r="C89" s="224">
        <v>0</v>
      </c>
      <c r="D89" s="216">
        <f t="shared" si="15"/>
        <v>0</v>
      </c>
      <c r="E89" s="223">
        <v>0</v>
      </c>
      <c r="F89" s="311">
        <f>E89/F$69</f>
        <v>0</v>
      </c>
      <c r="G89" s="230">
        <v>0</v>
      </c>
      <c r="H89" s="395">
        <f>G89/H$69</f>
        <v>0</v>
      </c>
      <c r="I89" s="283">
        <v>1</v>
      </c>
      <c r="J89" s="221">
        <f>I89/J$69</f>
        <v>4.1666666666666664E-2</v>
      </c>
      <c r="K89" s="230">
        <v>0</v>
      </c>
      <c r="L89" s="221">
        <f>K89/L$69</f>
        <v>0</v>
      </c>
      <c r="M89" s="230">
        <v>0</v>
      </c>
      <c r="N89" s="216">
        <f>M89/N$69</f>
        <v>0</v>
      </c>
      <c r="O89" s="283">
        <v>0</v>
      </c>
      <c r="P89" s="216">
        <f>O89/P$69</f>
        <v>0</v>
      </c>
      <c r="Q89" s="283">
        <v>0</v>
      </c>
      <c r="R89" s="216">
        <f>Q89/R$69</f>
        <v>0</v>
      </c>
      <c r="S89" s="283">
        <f>0</f>
        <v>0</v>
      </c>
      <c r="T89" s="216">
        <f>S89/T$69</f>
        <v>0</v>
      </c>
      <c r="U89" s="283">
        <v>0</v>
      </c>
      <c r="V89" s="216">
        <f>U89/V$69</f>
        <v>0</v>
      </c>
      <c r="W89" s="283">
        <v>0</v>
      </c>
      <c r="X89" s="216">
        <f>W89/X$69</f>
        <v>0</v>
      </c>
      <c r="Y89" s="283">
        <v>0</v>
      </c>
      <c r="Z89" s="1494">
        <f>Y89/Z$69</f>
        <v>0</v>
      </c>
      <c r="AB89" s="1016">
        <f t="shared" si="13"/>
        <v>0</v>
      </c>
      <c r="AC89" s="863">
        <f t="shared" si="14"/>
        <v>0</v>
      </c>
    </row>
    <row r="90" spans="1:31" s="3" customFormat="1" thickBot="1" x14ac:dyDescent="0.25">
      <c r="B90" s="344" t="s">
        <v>132</v>
      </c>
      <c r="C90" s="61">
        <v>0</v>
      </c>
      <c r="D90" s="220">
        <f t="shared" si="15"/>
        <v>0</v>
      </c>
      <c r="E90" s="228">
        <v>0</v>
      </c>
      <c r="F90" s="312">
        <f>E90/F$69</f>
        <v>0</v>
      </c>
      <c r="G90" s="375">
        <v>0</v>
      </c>
      <c r="H90" s="397">
        <f>G90/H$69</f>
        <v>0</v>
      </c>
      <c r="I90" s="284">
        <v>0</v>
      </c>
      <c r="J90" s="222">
        <f>I90/J$69</f>
        <v>0</v>
      </c>
      <c r="K90" s="375">
        <v>0</v>
      </c>
      <c r="L90" s="222">
        <f>K90/L$69</f>
        <v>0</v>
      </c>
      <c r="M90" s="375">
        <v>0</v>
      </c>
      <c r="N90" s="220">
        <f>M90/N$69</f>
        <v>0</v>
      </c>
      <c r="O90" s="284">
        <v>0</v>
      </c>
      <c r="P90" s="220">
        <f>O90/P$69</f>
        <v>0</v>
      </c>
      <c r="Q90" s="284">
        <v>0</v>
      </c>
      <c r="R90" s="220">
        <f>Q90/R$69</f>
        <v>0</v>
      </c>
      <c r="S90" s="284">
        <f>0</f>
        <v>0</v>
      </c>
      <c r="T90" s="220">
        <f>S90/T$69</f>
        <v>0</v>
      </c>
      <c r="U90" s="284">
        <v>0</v>
      </c>
      <c r="V90" s="220">
        <f>U90/V$69</f>
        <v>0</v>
      </c>
      <c r="W90" s="284">
        <v>0</v>
      </c>
      <c r="X90" s="220">
        <f>W90/X$69</f>
        <v>0</v>
      </c>
      <c r="Y90" s="284">
        <v>0</v>
      </c>
      <c r="Z90" s="1495">
        <f>Y90/Z$69</f>
        <v>0</v>
      </c>
      <c r="AB90" s="1016">
        <f t="shared" si="13"/>
        <v>0</v>
      </c>
      <c r="AC90" s="863">
        <f t="shared" si="14"/>
        <v>0</v>
      </c>
    </row>
    <row r="91" spans="1:31" ht="14.25" thickTop="1" thickBot="1" x14ac:dyDescent="0.25">
      <c r="A91" s="1"/>
      <c r="B91" s="956" t="s">
        <v>186</v>
      </c>
      <c r="C91" s="1992" t="s">
        <v>51</v>
      </c>
      <c r="D91" s="1993"/>
      <c r="E91" s="1992" t="s">
        <v>52</v>
      </c>
      <c r="F91" s="1993"/>
      <c r="G91" s="1989" t="s">
        <v>184</v>
      </c>
      <c r="H91" s="1990"/>
      <c r="I91" s="1989" t="s">
        <v>185</v>
      </c>
      <c r="J91" s="1990"/>
      <c r="K91" s="1989" t="s">
        <v>202</v>
      </c>
      <c r="L91" s="1990"/>
      <c r="M91" s="1991" t="s">
        <v>203</v>
      </c>
      <c r="N91" s="1979"/>
      <c r="O91" s="1970" t="s">
        <v>228</v>
      </c>
      <c r="P91" s="1979"/>
      <c r="Q91" s="1970" t="s">
        <v>238</v>
      </c>
      <c r="R91" s="1979"/>
      <c r="S91" s="1970" t="s">
        <v>273</v>
      </c>
      <c r="T91" s="1979"/>
      <c r="U91" s="1970" t="s">
        <v>275</v>
      </c>
      <c r="V91" s="1979"/>
      <c r="W91" s="1970" t="s">
        <v>281</v>
      </c>
      <c r="X91" s="1979"/>
      <c r="Y91" s="1970" t="s">
        <v>291</v>
      </c>
      <c r="Z91" s="1976"/>
      <c r="AB91" s="2003" t="s">
        <v>213</v>
      </c>
      <c r="AC91" s="2004"/>
    </row>
    <row r="92" spans="1:31" x14ac:dyDescent="0.2">
      <c r="A92" s="1"/>
      <c r="B92" s="957"/>
      <c r="C92" s="958"/>
      <c r="D92" s="959"/>
      <c r="E92" s="1273" t="s">
        <v>133</v>
      </c>
      <c r="F92" s="1180" t="s">
        <v>17</v>
      </c>
      <c r="G92" s="958" t="s">
        <v>133</v>
      </c>
      <c r="H92" s="1242" t="s">
        <v>17</v>
      </c>
      <c r="I92" s="1273" t="s">
        <v>133</v>
      </c>
      <c r="J92" s="1242" t="s">
        <v>17</v>
      </c>
      <c r="K92" s="1273" t="s">
        <v>133</v>
      </c>
      <c r="L92" s="1242" t="s">
        <v>17</v>
      </c>
      <c r="M92" s="1273" t="s">
        <v>133</v>
      </c>
      <c r="N92" s="1242" t="s">
        <v>17</v>
      </c>
      <c r="O92" s="1448" t="s">
        <v>133</v>
      </c>
      <c r="P92" s="1450" t="s">
        <v>17</v>
      </c>
      <c r="Q92" s="1451" t="s">
        <v>133</v>
      </c>
      <c r="R92" s="1450" t="s">
        <v>17</v>
      </c>
      <c r="S92" s="1451" t="s">
        <v>133</v>
      </c>
      <c r="T92" s="1450" t="s">
        <v>17</v>
      </c>
      <c r="U92" s="1768" t="s">
        <v>133</v>
      </c>
      <c r="V92" s="1450" t="s">
        <v>17</v>
      </c>
      <c r="W92" s="1768" t="s">
        <v>133</v>
      </c>
      <c r="X92" s="1450" t="s">
        <v>17</v>
      </c>
      <c r="Y92" s="1768" t="s">
        <v>133</v>
      </c>
      <c r="Z92" s="1452" t="s">
        <v>17</v>
      </c>
      <c r="AB92" s="953" t="s">
        <v>133</v>
      </c>
      <c r="AC92" s="954" t="s">
        <v>17</v>
      </c>
    </row>
    <row r="93" spans="1:31" x14ac:dyDescent="0.2">
      <c r="A93" s="1"/>
      <c r="B93" s="341" t="s">
        <v>187</v>
      </c>
      <c r="C93" s="960">
        <v>3</v>
      </c>
      <c r="D93" s="961">
        <v>1.5</v>
      </c>
      <c r="E93" s="960">
        <v>1</v>
      </c>
      <c r="F93" s="961">
        <v>0.5</v>
      </c>
      <c r="G93" s="960">
        <v>5</v>
      </c>
      <c r="H93" s="961">
        <v>2.5</v>
      </c>
      <c r="I93" s="960">
        <v>3</v>
      </c>
      <c r="J93" s="961">
        <v>1.5</v>
      </c>
      <c r="K93" s="960">
        <v>4</v>
      </c>
      <c r="L93" s="961">
        <v>2</v>
      </c>
      <c r="M93" s="960">
        <v>5</v>
      </c>
      <c r="N93" s="961">
        <v>2.1</v>
      </c>
      <c r="O93" s="960">
        <v>4</v>
      </c>
      <c r="P93" s="961">
        <v>2</v>
      </c>
      <c r="Q93" s="960">
        <v>1</v>
      </c>
      <c r="R93" s="961">
        <v>0.5</v>
      </c>
      <c r="S93" s="960">
        <v>6</v>
      </c>
      <c r="T93" s="961">
        <v>2.6</v>
      </c>
      <c r="U93" s="960">
        <v>4</v>
      </c>
      <c r="V93" s="961">
        <v>2</v>
      </c>
      <c r="W93" s="960">
        <v>3</v>
      </c>
      <c r="X93" s="961">
        <v>1.5</v>
      </c>
      <c r="Y93" s="960">
        <v>1</v>
      </c>
      <c r="Z93" s="1517">
        <v>0.5</v>
      </c>
      <c r="AB93" s="1115">
        <f t="shared" ref="AB93:AB95" si="16">AVERAGE(W93,U93,S93,Q93,Y93)</f>
        <v>3</v>
      </c>
      <c r="AC93" s="1116">
        <f t="shared" ref="AC93:AC95" si="17">AVERAGE(X93,V93,T93,R93,Z93)</f>
        <v>1.42</v>
      </c>
    </row>
    <row r="94" spans="1:31" x14ac:dyDescent="0.2">
      <c r="A94" s="1"/>
      <c r="B94" s="341" t="s">
        <v>188</v>
      </c>
      <c r="C94" s="960">
        <v>10</v>
      </c>
      <c r="D94" s="961">
        <v>5</v>
      </c>
      <c r="E94" s="960">
        <v>10</v>
      </c>
      <c r="F94" s="961">
        <v>5</v>
      </c>
      <c r="G94" s="960">
        <v>11</v>
      </c>
      <c r="H94" s="961">
        <v>5.5</v>
      </c>
      <c r="I94" s="960">
        <v>11</v>
      </c>
      <c r="J94" s="961">
        <v>5.5</v>
      </c>
      <c r="K94" s="960">
        <v>10</v>
      </c>
      <c r="L94" s="961">
        <v>5</v>
      </c>
      <c r="M94" s="960">
        <v>9</v>
      </c>
      <c r="N94" s="961">
        <v>4.5</v>
      </c>
      <c r="O94" s="960">
        <v>12</v>
      </c>
      <c r="P94" s="961">
        <v>6</v>
      </c>
      <c r="Q94" s="960">
        <v>10</v>
      </c>
      <c r="R94" s="961">
        <v>14</v>
      </c>
      <c r="S94" s="960">
        <v>9</v>
      </c>
      <c r="T94" s="961">
        <v>4.5</v>
      </c>
      <c r="U94" s="960">
        <v>8</v>
      </c>
      <c r="V94" s="961">
        <v>4</v>
      </c>
      <c r="W94" s="960">
        <v>10</v>
      </c>
      <c r="X94" s="961">
        <v>5</v>
      </c>
      <c r="Y94" s="960">
        <v>14</v>
      </c>
      <c r="Z94" s="1517">
        <v>6.9</v>
      </c>
      <c r="AB94" s="1115">
        <f t="shared" si="16"/>
        <v>10.199999999999999</v>
      </c>
      <c r="AC94" s="1116">
        <f t="shared" si="17"/>
        <v>6.88</v>
      </c>
    </row>
    <row r="95" spans="1:31" ht="13.5" thickBot="1" x14ac:dyDescent="0.25">
      <c r="A95" s="1"/>
      <c r="B95" s="344" t="s">
        <v>211</v>
      </c>
      <c r="C95" s="962">
        <v>0</v>
      </c>
      <c r="D95" s="963">
        <v>0</v>
      </c>
      <c r="E95" s="964">
        <v>0</v>
      </c>
      <c r="F95" s="963">
        <v>0</v>
      </c>
      <c r="G95" s="964">
        <v>0</v>
      </c>
      <c r="H95" s="963">
        <v>0</v>
      </c>
      <c r="I95" s="964">
        <v>2</v>
      </c>
      <c r="J95" s="963">
        <v>0.2</v>
      </c>
      <c r="K95" s="964">
        <v>0</v>
      </c>
      <c r="L95" s="963">
        <v>0</v>
      </c>
      <c r="M95" s="964">
        <v>1</v>
      </c>
      <c r="N95" s="963">
        <v>0.4</v>
      </c>
      <c r="O95" s="964">
        <v>0</v>
      </c>
      <c r="P95" s="963">
        <v>0</v>
      </c>
      <c r="Q95" s="964">
        <v>0</v>
      </c>
      <c r="R95" s="963">
        <v>0</v>
      </c>
      <c r="S95" s="964">
        <v>0</v>
      </c>
      <c r="T95" s="963">
        <v>0</v>
      </c>
      <c r="U95" s="964">
        <v>0</v>
      </c>
      <c r="V95" s="963">
        <v>0</v>
      </c>
      <c r="W95" s="964">
        <v>0</v>
      </c>
      <c r="X95" s="963">
        <v>0</v>
      </c>
      <c r="Y95" s="964">
        <v>0</v>
      </c>
      <c r="Z95" s="1518">
        <v>0</v>
      </c>
      <c r="AB95" s="1115">
        <f t="shared" si="16"/>
        <v>0</v>
      </c>
      <c r="AC95" s="1116">
        <f t="shared" si="17"/>
        <v>0</v>
      </c>
    </row>
    <row r="96" spans="1:31" ht="17.25" thickTop="1" thickBot="1" x14ac:dyDescent="0.3">
      <c r="A96" s="966"/>
      <c r="B96" s="967"/>
      <c r="C96" s="1992" t="s">
        <v>51</v>
      </c>
      <c r="D96" s="1993"/>
      <c r="E96" s="1992" t="s">
        <v>52</v>
      </c>
      <c r="F96" s="1993"/>
      <c r="G96" s="1989" t="s">
        <v>184</v>
      </c>
      <c r="H96" s="1990"/>
      <c r="I96" s="1989" t="s">
        <v>185</v>
      </c>
      <c r="J96" s="1990"/>
      <c r="K96" s="1989" t="s">
        <v>202</v>
      </c>
      <c r="L96" s="1990"/>
      <c r="M96" s="1991" t="s">
        <v>203</v>
      </c>
      <c r="N96" s="1979"/>
      <c r="O96" s="1970" t="s">
        <v>254</v>
      </c>
      <c r="P96" s="1979"/>
      <c r="Q96" s="1970" t="s">
        <v>238</v>
      </c>
      <c r="R96" s="1979"/>
      <c r="S96" s="1970" t="s">
        <v>273</v>
      </c>
      <c r="T96" s="1979"/>
      <c r="U96" s="1970" t="s">
        <v>275</v>
      </c>
      <c r="V96" s="1979"/>
      <c r="W96" s="1970" t="s">
        <v>281</v>
      </c>
      <c r="X96" s="1979"/>
      <c r="Y96" s="1970" t="s">
        <v>291</v>
      </c>
      <c r="Z96" s="1976"/>
      <c r="AA96" s="932"/>
      <c r="AB96" s="1987"/>
      <c r="AC96" s="1988"/>
      <c r="AD96" s="3"/>
      <c r="AE96" s="3"/>
    </row>
    <row r="97" spans="1:31" x14ac:dyDescent="0.2">
      <c r="A97" s="3"/>
      <c r="B97" s="342" t="s">
        <v>210</v>
      </c>
      <c r="C97" s="3"/>
      <c r="D97" s="969"/>
      <c r="E97" s="970"/>
      <c r="F97" s="971"/>
      <c r="G97" s="972"/>
      <c r="H97" s="973"/>
      <c r="I97" s="974"/>
      <c r="J97" s="593"/>
      <c r="K97" s="975"/>
      <c r="L97" s="976"/>
      <c r="M97" s="975"/>
      <c r="N97" s="991"/>
      <c r="O97" s="117"/>
      <c r="P97" s="1422"/>
      <c r="Q97" s="975"/>
      <c r="R97" s="991"/>
      <c r="S97" s="975"/>
      <c r="T97" s="991"/>
      <c r="U97" s="117"/>
      <c r="V97" s="1422"/>
      <c r="W97" s="975"/>
      <c r="X97" s="976"/>
      <c r="Y97" s="975"/>
      <c r="Z97" s="977"/>
      <c r="AA97" s="28"/>
      <c r="AB97" s="28"/>
      <c r="AC97" s="28"/>
      <c r="AD97" s="3"/>
      <c r="AE97" s="3"/>
    </row>
    <row r="98" spans="1:31" x14ac:dyDescent="0.2">
      <c r="A98" s="930"/>
      <c r="B98" s="979" t="s">
        <v>192</v>
      </c>
      <c r="C98" s="1983">
        <v>5.26</v>
      </c>
      <c r="D98" s="1984"/>
      <c r="E98" s="980"/>
      <c r="F98" s="981"/>
      <c r="G98" s="982"/>
      <c r="H98" s="983"/>
      <c r="I98" s="1983">
        <v>6.35</v>
      </c>
      <c r="J98" s="1984"/>
      <c r="K98" s="984"/>
      <c r="L98" s="985"/>
      <c r="M98" s="984"/>
      <c r="N98" s="991"/>
      <c r="O98" s="136"/>
      <c r="P98" s="1401">
        <v>15.7</v>
      </c>
      <c r="Q98" s="984"/>
      <c r="R98" s="991"/>
      <c r="S98" s="984"/>
      <c r="T98" s="991"/>
      <c r="U98" s="136"/>
      <c r="V98" s="1401">
        <v>19</v>
      </c>
      <c r="W98" s="984"/>
      <c r="X98" s="991"/>
      <c r="Y98" s="984"/>
      <c r="Z98" s="977"/>
      <c r="AA98" s="28"/>
      <c r="AB98" s="28"/>
      <c r="AC98" s="1106"/>
      <c r="AD98" s="3"/>
      <c r="AE98" s="3"/>
    </row>
    <row r="99" spans="1:31" x14ac:dyDescent="0.2">
      <c r="A99" s="930"/>
      <c r="B99" s="986" t="s">
        <v>193</v>
      </c>
      <c r="C99" s="1983"/>
      <c r="D99" s="1984"/>
      <c r="E99" s="980"/>
      <c r="F99" s="981"/>
      <c r="G99" s="982"/>
      <c r="H99" s="983"/>
      <c r="I99" s="1983"/>
      <c r="J99" s="1984"/>
      <c r="K99" s="984"/>
      <c r="L99" s="985"/>
      <c r="M99" s="984"/>
      <c r="N99" s="991"/>
      <c r="O99" s="136"/>
      <c r="P99" s="1401"/>
      <c r="Q99" s="984"/>
      <c r="R99" s="991"/>
      <c r="S99" s="984"/>
      <c r="T99" s="991"/>
      <c r="U99" s="136"/>
      <c r="V99" s="1401"/>
      <c r="W99" s="984"/>
      <c r="X99" s="991"/>
      <c r="Y99" s="984"/>
      <c r="Z99" s="977"/>
      <c r="AA99" s="28"/>
      <c r="AB99" s="28"/>
      <c r="AC99" s="1106"/>
      <c r="AD99" s="3"/>
      <c r="AE99" s="3"/>
    </row>
    <row r="100" spans="1:31" x14ac:dyDescent="0.2">
      <c r="A100" s="930"/>
      <c r="B100" s="986" t="s">
        <v>194</v>
      </c>
      <c r="C100" s="1983">
        <v>3.4</v>
      </c>
      <c r="D100" s="1984"/>
      <c r="E100" s="980"/>
      <c r="F100" s="981"/>
      <c r="G100" s="982"/>
      <c r="H100" s="983"/>
      <c r="I100" s="1983">
        <v>3.5</v>
      </c>
      <c r="J100" s="1984"/>
      <c r="K100" s="984"/>
      <c r="L100" s="985"/>
      <c r="M100" s="984"/>
      <c r="N100" s="991"/>
      <c r="O100" s="136"/>
      <c r="P100" s="1401">
        <v>4</v>
      </c>
      <c r="Q100" s="984"/>
      <c r="R100" s="991"/>
      <c r="S100" s="984"/>
      <c r="T100" s="991"/>
      <c r="U100" s="136"/>
      <c r="V100" s="1401">
        <v>3.5</v>
      </c>
      <c r="W100" s="984"/>
      <c r="X100" s="991"/>
      <c r="Y100" s="984"/>
      <c r="Z100" s="977"/>
      <c r="AA100" s="28"/>
      <c r="AB100" s="28"/>
      <c r="AC100" s="1106"/>
      <c r="AD100" s="3"/>
      <c r="AE100" s="3"/>
    </row>
    <row r="101" spans="1:31" x14ac:dyDescent="0.2">
      <c r="A101" s="930"/>
      <c r="B101" s="979" t="s">
        <v>195</v>
      </c>
      <c r="C101" s="1983">
        <v>2</v>
      </c>
      <c r="D101" s="1984"/>
      <c r="E101" s="980"/>
      <c r="F101" s="981"/>
      <c r="G101" s="982"/>
      <c r="H101" s="983"/>
      <c r="I101" s="1983">
        <v>2.5</v>
      </c>
      <c r="J101" s="1984"/>
      <c r="K101" s="984"/>
      <c r="L101" s="985"/>
      <c r="M101" s="984"/>
      <c r="N101" s="991"/>
      <c r="O101" s="136"/>
      <c r="P101" s="1401">
        <v>2.5</v>
      </c>
      <c r="Q101" s="984"/>
      <c r="R101" s="991"/>
      <c r="S101" s="984"/>
      <c r="T101" s="991"/>
      <c r="U101" s="136"/>
      <c r="V101" s="1401">
        <v>1</v>
      </c>
      <c r="W101" s="984"/>
      <c r="X101" s="991"/>
      <c r="Y101" s="984"/>
      <c r="Z101" s="977"/>
      <c r="AA101" s="28"/>
      <c r="AB101" s="28"/>
      <c r="AC101" s="1106"/>
      <c r="AD101" s="3"/>
      <c r="AE101" s="3"/>
    </row>
    <row r="102" spans="1:31" x14ac:dyDescent="0.2">
      <c r="A102" s="930"/>
      <c r="B102" s="987" t="s">
        <v>196</v>
      </c>
      <c r="C102" s="1983">
        <v>0.4</v>
      </c>
      <c r="D102" s="1984"/>
      <c r="E102" s="980"/>
      <c r="F102" s="981"/>
      <c r="G102" s="982"/>
      <c r="H102" s="983"/>
      <c r="I102" s="1983">
        <v>1.73</v>
      </c>
      <c r="J102" s="1984"/>
      <c r="K102" s="984"/>
      <c r="L102" s="985"/>
      <c r="M102" s="984"/>
      <c r="N102" s="991"/>
      <c r="O102" s="136"/>
      <c r="P102" s="1401">
        <v>2.2000000000000002</v>
      </c>
      <c r="Q102" s="984"/>
      <c r="R102" s="991"/>
      <c r="S102" s="984"/>
      <c r="T102" s="991"/>
      <c r="U102" s="136"/>
      <c r="V102" s="1401">
        <v>2</v>
      </c>
      <c r="W102" s="984"/>
      <c r="X102" s="991"/>
      <c r="Y102" s="984"/>
      <c r="Z102" s="977"/>
      <c r="AA102" s="28"/>
      <c r="AB102" s="28"/>
      <c r="AC102" s="1106"/>
      <c r="AD102" s="3"/>
      <c r="AE102" s="3"/>
    </row>
    <row r="103" spans="1:31" x14ac:dyDescent="0.2">
      <c r="A103" s="930"/>
      <c r="B103" s="987" t="s">
        <v>197</v>
      </c>
      <c r="C103" s="1983">
        <f>SUM(C98:D102)</f>
        <v>11.06</v>
      </c>
      <c r="D103" s="1984"/>
      <c r="E103" s="980"/>
      <c r="F103" s="981"/>
      <c r="G103" s="982"/>
      <c r="H103" s="983"/>
      <c r="I103" s="1983">
        <f>SUM(I98:J102)</f>
        <v>14.08</v>
      </c>
      <c r="J103" s="1984"/>
      <c r="K103" s="984"/>
      <c r="L103" s="985"/>
      <c r="M103" s="984"/>
      <c r="N103" s="991"/>
      <c r="O103" s="136"/>
      <c r="P103" s="1401">
        <f>SUM(P98:P102)</f>
        <v>24.4</v>
      </c>
      <c r="Q103" s="984"/>
      <c r="R103" s="991"/>
      <c r="S103" s="984"/>
      <c r="T103" s="991"/>
      <c r="U103" s="136"/>
      <c r="V103" s="1401">
        <f>SUM(V98:V102)</f>
        <v>25.5</v>
      </c>
      <c r="W103" s="984"/>
      <c r="X103" s="991"/>
      <c r="Y103" s="984"/>
      <c r="Z103" s="977"/>
      <c r="AA103" s="28"/>
      <c r="AB103" s="28"/>
      <c r="AC103" s="1106"/>
      <c r="AD103" s="3"/>
      <c r="AE103" s="3"/>
    </row>
    <row r="104" spans="1:31" ht="13.5" thickBot="1" x14ac:dyDescent="0.25">
      <c r="A104" s="930"/>
      <c r="B104" s="988" t="s">
        <v>204</v>
      </c>
      <c r="C104" s="2056"/>
      <c r="D104" s="2055"/>
      <c r="E104" s="989"/>
      <c r="F104" s="990"/>
      <c r="G104" s="975"/>
      <c r="H104" s="991"/>
      <c r="I104" s="2056"/>
      <c r="J104" s="2055"/>
      <c r="K104" s="984"/>
      <c r="L104" s="985"/>
      <c r="M104" s="984"/>
      <c r="N104" s="991"/>
      <c r="O104" s="136"/>
      <c r="P104" s="1422"/>
      <c r="Q104" s="984"/>
      <c r="R104" s="991"/>
      <c r="S104" s="984"/>
      <c r="T104" s="991"/>
      <c r="U104" s="136"/>
      <c r="V104" s="1422"/>
      <c r="W104" s="984"/>
      <c r="X104" s="991"/>
      <c r="Y104" s="984"/>
      <c r="Z104" s="977"/>
      <c r="AA104" s="28"/>
      <c r="AB104" s="28"/>
      <c r="AC104" s="1106"/>
      <c r="AD104" s="3"/>
      <c r="AE104" s="3"/>
    </row>
    <row r="105" spans="1:31" x14ac:dyDescent="0.2">
      <c r="A105" s="930"/>
      <c r="B105" s="979" t="s">
        <v>198</v>
      </c>
      <c r="C105" s="2043">
        <v>3792</v>
      </c>
      <c r="D105" s="2044"/>
      <c r="E105" s="992"/>
      <c r="F105" s="993"/>
      <c r="G105" s="994"/>
      <c r="H105" s="995"/>
      <c r="I105" s="2043">
        <v>2685</v>
      </c>
      <c r="J105" s="2044"/>
      <c r="K105" s="984"/>
      <c r="L105" s="985"/>
      <c r="M105" s="984"/>
      <c r="N105" s="991"/>
      <c r="O105" s="136"/>
      <c r="P105" s="1462">
        <v>2662</v>
      </c>
      <c r="Q105" s="984"/>
      <c r="R105" s="991"/>
      <c r="S105" s="984"/>
      <c r="T105" s="991"/>
      <c r="U105" s="136"/>
      <c r="V105" s="1462">
        <v>3477</v>
      </c>
      <c r="W105" s="984"/>
      <c r="X105" s="991"/>
      <c r="Y105" s="984"/>
      <c r="Z105" s="977"/>
      <c r="AA105" s="28"/>
      <c r="AB105" s="28"/>
      <c r="AC105" s="1473"/>
      <c r="AD105" s="3"/>
      <c r="AE105" s="3"/>
    </row>
    <row r="106" spans="1:31" x14ac:dyDescent="0.2">
      <c r="A106" s="930"/>
      <c r="B106" s="987" t="s">
        <v>199</v>
      </c>
      <c r="C106" s="2043">
        <v>1623</v>
      </c>
      <c r="D106" s="2044"/>
      <c r="E106" s="992"/>
      <c r="F106" s="993"/>
      <c r="G106" s="994"/>
      <c r="H106" s="995"/>
      <c r="I106" s="2043">
        <v>1650</v>
      </c>
      <c r="J106" s="2044"/>
      <c r="K106" s="984"/>
      <c r="L106" s="985"/>
      <c r="M106" s="984"/>
      <c r="N106" s="991"/>
      <c r="O106" s="136"/>
      <c r="P106" s="1462">
        <v>2088</v>
      </c>
      <c r="Q106" s="984"/>
      <c r="R106" s="991"/>
      <c r="S106" s="984"/>
      <c r="T106" s="991"/>
      <c r="U106" s="136"/>
      <c r="V106" s="1462">
        <v>1440</v>
      </c>
      <c r="W106" s="984"/>
      <c r="X106" s="991"/>
      <c r="Y106" s="984"/>
      <c r="Z106" s="977"/>
      <c r="AA106" s="28"/>
      <c r="AB106" s="28"/>
      <c r="AC106" s="1473"/>
      <c r="AD106" s="3"/>
      <c r="AE106" s="3"/>
    </row>
    <row r="107" spans="1:31" x14ac:dyDescent="0.2">
      <c r="A107" s="930"/>
      <c r="B107" s="987" t="s">
        <v>200</v>
      </c>
      <c r="C107" s="2043">
        <v>192</v>
      </c>
      <c r="D107" s="2044"/>
      <c r="E107" s="992"/>
      <c r="F107" s="993"/>
      <c r="G107" s="994"/>
      <c r="H107" s="995"/>
      <c r="I107" s="2043">
        <v>1386</v>
      </c>
      <c r="J107" s="2044"/>
      <c r="K107" s="984"/>
      <c r="L107" s="985"/>
      <c r="M107" s="984"/>
      <c r="N107" s="991"/>
      <c r="O107" s="136"/>
      <c r="P107" s="1462">
        <f>381+24</f>
        <v>405</v>
      </c>
      <c r="Q107" s="984"/>
      <c r="R107" s="991"/>
      <c r="S107" s="984"/>
      <c r="T107" s="991"/>
      <c r="U107" s="136"/>
      <c r="V107" s="1462">
        <v>222</v>
      </c>
      <c r="W107" s="984"/>
      <c r="X107" s="991"/>
      <c r="Y107" s="984"/>
      <c r="Z107" s="977"/>
      <c r="AA107" s="28"/>
      <c r="AB107" s="28"/>
      <c r="AC107" s="1473"/>
      <c r="AD107" s="3"/>
      <c r="AE107" s="3"/>
    </row>
    <row r="108" spans="1:31" x14ac:dyDescent="0.2">
      <c r="A108" s="930"/>
      <c r="B108" s="987" t="s">
        <v>209</v>
      </c>
      <c r="C108" s="2043">
        <f>SUM(C105:D107)</f>
        <v>5607</v>
      </c>
      <c r="D108" s="2044"/>
      <c r="E108" s="992"/>
      <c r="F108" s="993"/>
      <c r="G108" s="994"/>
      <c r="H108" s="995"/>
      <c r="I108" s="2043">
        <f>SUM(I105:J107)</f>
        <v>5721</v>
      </c>
      <c r="J108" s="2044"/>
      <c r="K108" s="984"/>
      <c r="L108" s="985"/>
      <c r="M108" s="984"/>
      <c r="N108" s="991"/>
      <c r="O108" s="136"/>
      <c r="P108" s="1462">
        <f>SUM(P105:P107)</f>
        <v>5155</v>
      </c>
      <c r="Q108" s="984"/>
      <c r="R108" s="991"/>
      <c r="S108" s="984"/>
      <c r="T108" s="991"/>
      <c r="U108" s="136"/>
      <c r="V108" s="1462">
        <f>SUM(V105:V107)</f>
        <v>5139</v>
      </c>
      <c r="W108" s="984"/>
      <c r="X108" s="991"/>
      <c r="Y108" s="984"/>
      <c r="Z108" s="977"/>
      <c r="AA108" s="28"/>
      <c r="AB108" s="28"/>
      <c r="AC108" s="1473"/>
      <c r="AD108" s="3"/>
      <c r="AE108" s="3"/>
    </row>
    <row r="109" spans="1:31" ht="13.5" thickBot="1" x14ac:dyDescent="0.25">
      <c r="A109" s="930"/>
      <c r="B109" s="988" t="s">
        <v>205</v>
      </c>
      <c r="C109" s="2056"/>
      <c r="D109" s="2055"/>
      <c r="E109" s="989"/>
      <c r="F109" s="990"/>
      <c r="G109" s="975"/>
      <c r="H109" s="991"/>
      <c r="I109" s="2056"/>
      <c r="J109" s="2055"/>
      <c r="K109" s="984"/>
      <c r="L109" s="985"/>
      <c r="M109" s="984"/>
      <c r="N109" s="991"/>
      <c r="O109" s="136"/>
      <c r="P109" s="1422"/>
      <c r="Q109" s="984"/>
      <c r="R109" s="991"/>
      <c r="S109" s="984"/>
      <c r="T109" s="991"/>
      <c r="U109" s="136"/>
      <c r="V109" s="1422"/>
      <c r="W109" s="984"/>
      <c r="X109" s="991"/>
      <c r="Y109" s="984"/>
      <c r="Z109" s="977"/>
      <c r="AA109" s="28"/>
      <c r="AB109" s="28"/>
      <c r="AC109" s="1106"/>
      <c r="AD109" s="28"/>
      <c r="AE109" s="28"/>
    </row>
    <row r="110" spans="1:31" x14ac:dyDescent="0.2">
      <c r="A110" s="930"/>
      <c r="B110" s="979" t="s">
        <v>206</v>
      </c>
      <c r="C110" s="1985">
        <f>C105/C98</f>
        <v>720.91254752851717</v>
      </c>
      <c r="D110" s="1986"/>
      <c r="E110" s="996"/>
      <c r="F110" s="997"/>
      <c r="G110" s="998"/>
      <c r="H110" s="999"/>
      <c r="I110" s="1985">
        <f>I105/I98</f>
        <v>422.83464566929138</v>
      </c>
      <c r="J110" s="1986"/>
      <c r="K110" s="1000"/>
      <c r="L110" s="1001"/>
      <c r="M110" s="1000"/>
      <c r="N110" s="999"/>
      <c r="O110" s="494"/>
      <c r="P110" s="1402">
        <f>P105/P98</f>
        <v>169.55414012738854</v>
      </c>
      <c r="Q110" s="1000"/>
      <c r="R110" s="999"/>
      <c r="S110" s="1000"/>
      <c r="T110" s="999"/>
      <c r="U110" s="494"/>
      <c r="V110" s="1402">
        <f>V105/V98</f>
        <v>183</v>
      </c>
      <c r="W110" s="1000"/>
      <c r="X110" s="999"/>
      <c r="Y110" s="1000"/>
      <c r="Z110" s="1460"/>
      <c r="AA110" s="668"/>
      <c r="AB110" s="668"/>
      <c r="AC110" s="1106"/>
      <c r="AD110" s="21"/>
      <c r="AE110" s="21"/>
    </row>
    <row r="111" spans="1:31" x14ac:dyDescent="0.2">
      <c r="A111" s="930"/>
      <c r="B111" s="987" t="s">
        <v>207</v>
      </c>
      <c r="C111" s="1985">
        <f>C106/C100</f>
        <v>477.35294117647061</v>
      </c>
      <c r="D111" s="1986"/>
      <c r="E111" s="996"/>
      <c r="F111" s="997"/>
      <c r="G111" s="998"/>
      <c r="H111" s="999"/>
      <c r="I111" s="1985">
        <f>I106/I100</f>
        <v>471.42857142857144</v>
      </c>
      <c r="J111" s="1986"/>
      <c r="K111" s="1000"/>
      <c r="L111" s="1001"/>
      <c r="M111" s="1000"/>
      <c r="N111" s="999"/>
      <c r="O111" s="494"/>
      <c r="P111" s="1402">
        <f>P106/P100</f>
        <v>522</v>
      </c>
      <c r="Q111" s="1000"/>
      <c r="R111" s="999"/>
      <c r="S111" s="1000"/>
      <c r="T111" s="999"/>
      <c r="U111" s="494"/>
      <c r="V111" s="1402">
        <f>V106/(V100+V101)</f>
        <v>320</v>
      </c>
      <c r="W111" s="1000"/>
      <c r="X111" s="999"/>
      <c r="Y111" s="1000"/>
      <c r="Z111" s="1460"/>
      <c r="AA111" s="668"/>
      <c r="AB111" s="668"/>
      <c r="AC111" s="1106"/>
      <c r="AD111" s="21"/>
      <c r="AE111" s="21"/>
    </row>
    <row r="112" spans="1:31" x14ac:dyDescent="0.2">
      <c r="A112" s="930"/>
      <c r="B112" s="987" t="s">
        <v>208</v>
      </c>
      <c r="C112" s="1985">
        <f>C107/C102</f>
        <v>480</v>
      </c>
      <c r="D112" s="1986"/>
      <c r="E112" s="996"/>
      <c r="F112" s="997"/>
      <c r="G112" s="998"/>
      <c r="H112" s="999"/>
      <c r="I112" s="1985">
        <f>I107/I102</f>
        <v>801.15606936416191</v>
      </c>
      <c r="J112" s="1986"/>
      <c r="K112" s="1000"/>
      <c r="L112" s="1001"/>
      <c r="M112" s="1000"/>
      <c r="N112" s="999"/>
      <c r="O112" s="494"/>
      <c r="P112" s="1402">
        <f>P107/P102</f>
        <v>184.09090909090907</v>
      </c>
      <c r="Q112" s="1000"/>
      <c r="R112" s="999"/>
      <c r="S112" s="1000"/>
      <c r="T112" s="999"/>
      <c r="U112" s="494"/>
      <c r="V112" s="1402">
        <f>V107/V102</f>
        <v>111</v>
      </c>
      <c r="W112" s="1000"/>
      <c r="X112" s="999"/>
      <c r="Y112" s="1000"/>
      <c r="Z112" s="1460"/>
      <c r="AA112" s="668"/>
      <c r="AB112" s="668"/>
      <c r="AC112" s="1106"/>
      <c r="AD112" s="21"/>
      <c r="AE112" s="21"/>
    </row>
    <row r="113" spans="1:31" ht="13.5" thickBot="1" x14ac:dyDescent="0.25">
      <c r="A113" s="930"/>
      <c r="B113" s="1002" t="s">
        <v>201</v>
      </c>
      <c r="C113" s="2045">
        <f>C108/C103</f>
        <v>506.96202531645565</v>
      </c>
      <c r="D113" s="2046"/>
      <c r="E113" s="1003"/>
      <c r="F113" s="1004"/>
      <c r="G113" s="1005"/>
      <c r="H113" s="1006"/>
      <c r="I113" s="2045">
        <f>I108/I103</f>
        <v>406.32102272727275</v>
      </c>
      <c r="J113" s="2046"/>
      <c r="K113" s="1005"/>
      <c r="L113" s="1006"/>
      <c r="M113" s="1005"/>
      <c r="N113" s="1006"/>
      <c r="O113" s="1233"/>
      <c r="P113" s="1423">
        <f>P108/P103</f>
        <v>211.2704918032787</v>
      </c>
      <c r="Q113" s="1005"/>
      <c r="R113" s="1006"/>
      <c r="S113" s="1005"/>
      <c r="T113" s="1006"/>
      <c r="U113" s="1233"/>
      <c r="V113" s="1423">
        <f>V108/V103</f>
        <v>201.52941176470588</v>
      </c>
      <c r="W113" s="1005"/>
      <c r="X113" s="1006"/>
      <c r="Y113" s="1005"/>
      <c r="Z113" s="1461"/>
      <c r="AA113" s="668"/>
      <c r="AB113" s="668"/>
      <c r="AC113" s="1106"/>
      <c r="AD113" s="21"/>
      <c r="AE113" s="21"/>
    </row>
    <row r="114" spans="1:31" ht="13.5" thickTop="1" x14ac:dyDescent="0.2">
      <c r="A114" s="3"/>
      <c r="B114" s="3" t="str">
        <f>Dean_AS!B169</f>
        <v>*Note: Beginning with the 2009 collection cycle, Instructional FTE was defined according to the national Delaware Study of Instructional Costs and Productivity</v>
      </c>
      <c r="K114" s="3"/>
      <c r="N114" s="1" t="s">
        <v>29</v>
      </c>
    </row>
    <row r="115" spans="1:31" x14ac:dyDescent="0.2">
      <c r="A115" s="3"/>
      <c r="B115" s="3"/>
      <c r="K115" s="3"/>
    </row>
    <row r="116" spans="1:31" x14ac:dyDescent="0.2">
      <c r="A116" s="3"/>
      <c r="B116" s="3"/>
      <c r="K116" s="3"/>
    </row>
    <row r="117" spans="1:31" x14ac:dyDescent="0.2">
      <c r="A117" s="3"/>
      <c r="B117" s="3"/>
      <c r="K117" s="3"/>
    </row>
    <row r="118" spans="1:31" x14ac:dyDescent="0.2">
      <c r="A118" s="3"/>
      <c r="B118" s="3"/>
      <c r="K118" s="3"/>
    </row>
    <row r="119" spans="1:31" x14ac:dyDescent="0.2">
      <c r="A119" s="3"/>
      <c r="B119" s="3"/>
      <c r="K119" s="3"/>
    </row>
    <row r="120" spans="1:31" x14ac:dyDescent="0.2">
      <c r="A120" s="3"/>
      <c r="B120" s="3"/>
      <c r="K120" s="3"/>
    </row>
    <row r="121" spans="1:31" x14ac:dyDescent="0.2">
      <c r="A121" s="3"/>
      <c r="B121" s="3"/>
      <c r="K121" s="3"/>
    </row>
    <row r="122" spans="1:31" x14ac:dyDescent="0.2">
      <c r="A122" s="3"/>
      <c r="B122" s="3"/>
      <c r="K122" s="3"/>
    </row>
    <row r="123" spans="1:31" x14ac:dyDescent="0.2">
      <c r="A123" s="3"/>
      <c r="B123" s="3"/>
      <c r="K123" s="3"/>
    </row>
    <row r="124" spans="1:31" x14ac:dyDescent="0.2">
      <c r="A124" s="3"/>
      <c r="B124" s="3"/>
      <c r="K124" s="3"/>
    </row>
    <row r="125" spans="1:31" x14ac:dyDescent="0.2">
      <c r="A125" s="3"/>
      <c r="B125" s="3"/>
      <c r="K125" s="3"/>
    </row>
    <row r="126" spans="1:31" x14ac:dyDescent="0.2">
      <c r="A126" s="3"/>
      <c r="B126" s="3"/>
      <c r="K126" s="3"/>
    </row>
    <row r="127" spans="1:31" x14ac:dyDescent="0.2">
      <c r="A127" s="3"/>
      <c r="B127" s="3"/>
      <c r="K127" s="3"/>
    </row>
    <row r="128" spans="1:31" x14ac:dyDescent="0.2">
      <c r="A128" s="3"/>
      <c r="B128" s="3"/>
      <c r="K128" s="3"/>
    </row>
    <row r="129" spans="1:11" x14ac:dyDescent="0.2">
      <c r="A129" s="3"/>
      <c r="B129" s="3"/>
      <c r="K129" s="3"/>
    </row>
    <row r="130" spans="1:11" x14ac:dyDescent="0.2">
      <c r="A130" s="3"/>
      <c r="B130" s="3"/>
      <c r="K130" s="3"/>
    </row>
    <row r="131" spans="1:11" x14ac:dyDescent="0.2">
      <c r="A131" s="3"/>
      <c r="B131" s="3"/>
      <c r="K131" s="3"/>
    </row>
    <row r="132" spans="1:11" x14ac:dyDescent="0.2">
      <c r="A132" s="3"/>
      <c r="B132" s="3"/>
      <c r="K132" s="3"/>
    </row>
    <row r="133" spans="1:11" x14ac:dyDescent="0.2">
      <c r="A133" s="3"/>
      <c r="B133" s="3"/>
      <c r="K133" s="3"/>
    </row>
    <row r="134" spans="1:11" x14ac:dyDescent="0.2">
      <c r="A134" s="3"/>
      <c r="B134" s="3"/>
      <c r="K134" s="3"/>
    </row>
    <row r="135" spans="1:11" x14ac:dyDescent="0.2">
      <c r="A135" s="3"/>
      <c r="B135" s="3"/>
      <c r="K135" s="3"/>
    </row>
    <row r="136" spans="1:11" x14ac:dyDescent="0.2">
      <c r="A136" s="3"/>
      <c r="B136" s="3"/>
      <c r="K136" s="3"/>
    </row>
    <row r="137" spans="1:11" x14ac:dyDescent="0.2">
      <c r="A137" s="3"/>
      <c r="B137" s="3"/>
      <c r="K137" s="3"/>
    </row>
    <row r="138" spans="1:11" x14ac:dyDescent="0.2">
      <c r="A138" s="3"/>
      <c r="B138" s="3"/>
      <c r="K138" s="3"/>
    </row>
    <row r="139" spans="1:11" x14ac:dyDescent="0.2">
      <c r="A139" s="3"/>
      <c r="B139" s="3"/>
      <c r="K139" s="3"/>
    </row>
    <row r="140" spans="1:11" x14ac:dyDescent="0.2">
      <c r="A140" s="3"/>
      <c r="B140" s="3"/>
      <c r="K140" s="3"/>
    </row>
    <row r="141" spans="1:11" x14ac:dyDescent="0.2">
      <c r="A141" s="3"/>
      <c r="B141" s="3"/>
      <c r="K141" s="3"/>
    </row>
    <row r="142" spans="1:11" x14ac:dyDescent="0.2">
      <c r="A142" s="3"/>
      <c r="B142" s="3"/>
      <c r="K142" s="3"/>
    </row>
    <row r="143" spans="1:11" x14ac:dyDescent="0.2">
      <c r="A143" s="3"/>
      <c r="B143" s="3"/>
      <c r="K143" s="3"/>
    </row>
    <row r="144" spans="1:11" x14ac:dyDescent="0.2">
      <c r="A144" s="3"/>
      <c r="B144" s="3"/>
      <c r="K144" s="3"/>
    </row>
    <row r="145" spans="1:11" x14ac:dyDescent="0.2">
      <c r="A145" s="3"/>
      <c r="B145" s="3"/>
      <c r="K145" s="3"/>
    </row>
    <row r="146" spans="1:11" x14ac:dyDescent="0.2">
      <c r="A146" s="3"/>
      <c r="B146" s="3"/>
      <c r="K146" s="3"/>
    </row>
    <row r="147" spans="1:11" x14ac:dyDescent="0.2">
      <c r="A147" s="3"/>
      <c r="B147" s="3"/>
      <c r="K147" s="3"/>
    </row>
    <row r="148" spans="1:11" x14ac:dyDescent="0.2">
      <c r="A148" s="3"/>
      <c r="B148" s="3"/>
      <c r="K148" s="3"/>
    </row>
    <row r="149" spans="1:11" x14ac:dyDescent="0.2">
      <c r="A149" s="3"/>
      <c r="B149" s="3"/>
      <c r="K149" s="3"/>
    </row>
    <row r="150" spans="1:11" x14ac:dyDescent="0.2">
      <c r="A150" s="3"/>
      <c r="B150" s="3"/>
      <c r="K150" s="3"/>
    </row>
    <row r="151" spans="1:11" x14ac:dyDescent="0.2">
      <c r="A151" s="3"/>
      <c r="B151" s="3"/>
      <c r="K151" s="3"/>
    </row>
    <row r="152" spans="1:11" x14ac:dyDescent="0.2">
      <c r="A152" s="3"/>
      <c r="B152" s="3"/>
      <c r="K152" s="3"/>
    </row>
    <row r="153" spans="1:11" x14ac:dyDescent="0.2">
      <c r="A153" s="3"/>
      <c r="B153" s="3"/>
      <c r="K153" s="3"/>
    </row>
    <row r="154" spans="1:11" x14ac:dyDescent="0.2">
      <c r="A154" s="3"/>
      <c r="B154" s="3"/>
      <c r="K154" s="3"/>
    </row>
    <row r="155" spans="1:11" x14ac:dyDescent="0.2">
      <c r="A155" s="3"/>
      <c r="B155" s="3"/>
      <c r="K155" s="3"/>
    </row>
    <row r="156" spans="1:11" x14ac:dyDescent="0.2">
      <c r="A156" s="3"/>
      <c r="B156" s="3"/>
      <c r="K156" s="3"/>
    </row>
    <row r="157" spans="1:11" x14ac:dyDescent="0.2">
      <c r="A157" s="3"/>
      <c r="B157" s="3"/>
      <c r="K157" s="3"/>
    </row>
    <row r="158" spans="1:11" x14ac:dyDescent="0.2">
      <c r="A158" s="3"/>
      <c r="B158" s="3"/>
      <c r="K158" s="3"/>
    </row>
    <row r="159" spans="1:11" x14ac:dyDescent="0.2">
      <c r="A159" s="3"/>
      <c r="B159" s="3"/>
      <c r="K159" s="3"/>
    </row>
    <row r="160" spans="1:11" x14ac:dyDescent="0.2">
      <c r="A160" s="3"/>
      <c r="B160" s="3"/>
      <c r="K160" s="3"/>
    </row>
    <row r="161" spans="1:11" x14ac:dyDescent="0.2">
      <c r="A161" s="3"/>
      <c r="B161" s="3"/>
      <c r="K161" s="3"/>
    </row>
    <row r="162" spans="1:11" x14ac:dyDescent="0.2">
      <c r="A162" s="3"/>
      <c r="B162" s="3"/>
      <c r="K162" s="3"/>
    </row>
    <row r="163" spans="1:11" x14ac:dyDescent="0.2">
      <c r="A163" s="3"/>
      <c r="B163" s="3"/>
      <c r="K163" s="3"/>
    </row>
    <row r="164" spans="1:11" x14ac:dyDescent="0.2">
      <c r="A164" s="3"/>
      <c r="B164" s="3"/>
      <c r="K164" s="3"/>
    </row>
    <row r="165" spans="1:11" x14ac:dyDescent="0.2">
      <c r="A165" s="3"/>
      <c r="B165" s="3"/>
      <c r="K165" s="3"/>
    </row>
    <row r="166" spans="1:11" x14ac:dyDescent="0.2">
      <c r="A166" s="3"/>
      <c r="B166" s="3"/>
      <c r="K166" s="3"/>
    </row>
    <row r="167" spans="1:11" x14ac:dyDescent="0.2">
      <c r="A167" s="3"/>
      <c r="B167" s="3"/>
      <c r="K167" s="3"/>
    </row>
    <row r="168" spans="1:11" x14ac:dyDescent="0.2">
      <c r="A168" s="3"/>
      <c r="B168" s="3"/>
      <c r="K168" s="3"/>
    </row>
    <row r="169" spans="1:11" x14ac:dyDescent="0.2">
      <c r="A169" s="3"/>
      <c r="B169" s="3"/>
      <c r="K169" s="3"/>
    </row>
    <row r="170" spans="1:11" x14ac:dyDescent="0.2">
      <c r="A170" s="3"/>
      <c r="B170" s="3"/>
      <c r="K170" s="3"/>
    </row>
    <row r="171" spans="1:11" x14ac:dyDescent="0.2">
      <c r="A171" s="3"/>
      <c r="B171" s="3"/>
      <c r="K171" s="3"/>
    </row>
    <row r="172" spans="1:11" x14ac:dyDescent="0.2">
      <c r="A172" s="3"/>
      <c r="B172" s="3"/>
      <c r="K172" s="3"/>
    </row>
    <row r="173" spans="1:11" x14ac:dyDescent="0.2">
      <c r="A173" s="3"/>
      <c r="B173" s="3"/>
      <c r="K173" s="3"/>
    </row>
    <row r="174" spans="1:11" x14ac:dyDescent="0.2">
      <c r="A174" s="3"/>
      <c r="B174" s="3"/>
      <c r="K174" s="3"/>
    </row>
    <row r="175" spans="1:11" x14ac:dyDescent="0.2">
      <c r="A175" s="3"/>
      <c r="B175" s="3"/>
      <c r="K175" s="3"/>
    </row>
    <row r="176" spans="1:11" x14ac:dyDescent="0.2">
      <c r="A176" s="3"/>
      <c r="B176" s="3"/>
      <c r="K176" s="3"/>
    </row>
    <row r="177" spans="1:11" x14ac:dyDescent="0.2">
      <c r="A177" s="3"/>
      <c r="B177" s="3"/>
      <c r="K177" s="3"/>
    </row>
    <row r="178" spans="1:11" x14ac:dyDescent="0.2">
      <c r="A178" s="3"/>
      <c r="B178" s="3"/>
      <c r="K178" s="3"/>
    </row>
    <row r="179" spans="1:11" x14ac:dyDescent="0.2">
      <c r="A179" s="3"/>
      <c r="B179" s="3"/>
      <c r="K179" s="3"/>
    </row>
    <row r="180" spans="1:11" x14ac:dyDescent="0.2">
      <c r="A180" s="3"/>
      <c r="B180" s="3"/>
      <c r="K180" s="3"/>
    </row>
    <row r="181" spans="1:11" x14ac:dyDescent="0.2">
      <c r="A181" s="3"/>
      <c r="B181" s="3"/>
      <c r="K181" s="3"/>
    </row>
    <row r="182" spans="1:11" x14ac:dyDescent="0.2">
      <c r="A182" s="3"/>
      <c r="B182" s="3"/>
      <c r="K182" s="3"/>
    </row>
    <row r="183" spans="1:11" x14ac:dyDescent="0.2">
      <c r="A183" s="3"/>
      <c r="B183" s="3"/>
      <c r="K183" s="3"/>
    </row>
    <row r="184" spans="1:11" x14ac:dyDescent="0.2">
      <c r="A184" s="3"/>
      <c r="B184" s="3"/>
      <c r="K184" s="3"/>
    </row>
    <row r="185" spans="1:11" x14ac:dyDescent="0.2">
      <c r="A185" s="3"/>
      <c r="B185" s="3"/>
      <c r="K185" s="3"/>
    </row>
    <row r="186" spans="1:11" x14ac:dyDescent="0.2">
      <c r="A186" s="3"/>
      <c r="B186" s="3"/>
      <c r="K186" s="3"/>
    </row>
    <row r="187" spans="1:11" x14ac:dyDescent="0.2">
      <c r="A187" s="3"/>
      <c r="B187" s="3"/>
      <c r="K187" s="3"/>
    </row>
    <row r="188" spans="1:11" x14ac:dyDescent="0.2">
      <c r="A188" s="3"/>
      <c r="B188" s="3"/>
      <c r="K188" s="3"/>
    </row>
    <row r="189" spans="1:11" x14ac:dyDescent="0.2">
      <c r="A189" s="3"/>
      <c r="B189" s="3"/>
      <c r="K189" s="3"/>
    </row>
    <row r="190" spans="1:11" x14ac:dyDescent="0.2">
      <c r="A190" s="3"/>
      <c r="B190" s="3"/>
      <c r="K190" s="3"/>
    </row>
    <row r="191" spans="1:11" x14ac:dyDescent="0.2">
      <c r="A191" s="3"/>
      <c r="B191" s="3"/>
      <c r="K191" s="3"/>
    </row>
    <row r="192" spans="1:11" x14ac:dyDescent="0.2">
      <c r="A192" s="3"/>
      <c r="B192" s="3"/>
      <c r="K192" s="3"/>
    </row>
    <row r="193" spans="1:11" x14ac:dyDescent="0.2">
      <c r="A193" s="3"/>
      <c r="B193" s="3"/>
      <c r="K193" s="3"/>
    </row>
    <row r="194" spans="1:11" x14ac:dyDescent="0.2">
      <c r="A194" s="3"/>
      <c r="B194" s="3"/>
      <c r="K194" s="3"/>
    </row>
    <row r="195" spans="1:11" x14ac:dyDescent="0.2">
      <c r="A195" s="3"/>
      <c r="B195" s="3"/>
      <c r="K195" s="3"/>
    </row>
    <row r="196" spans="1:11" x14ac:dyDescent="0.2">
      <c r="A196" s="3"/>
      <c r="B196" s="3"/>
      <c r="K196" s="3"/>
    </row>
    <row r="197" spans="1:11" x14ac:dyDescent="0.2">
      <c r="A197" s="3"/>
      <c r="B197" s="3"/>
      <c r="K197" s="3"/>
    </row>
    <row r="198" spans="1:11" x14ac:dyDescent="0.2">
      <c r="A198" s="3"/>
      <c r="B198" s="3"/>
      <c r="K198" s="3"/>
    </row>
    <row r="199" spans="1:11" x14ac:dyDescent="0.2">
      <c r="A199" s="3"/>
      <c r="B199" s="3"/>
      <c r="K199" s="3"/>
    </row>
    <row r="200" spans="1:11" x14ac:dyDescent="0.2">
      <c r="A200" s="3"/>
      <c r="B200" s="3"/>
      <c r="K200" s="3"/>
    </row>
    <row r="201" spans="1:11" x14ac:dyDescent="0.2">
      <c r="A201" s="3"/>
      <c r="B201" s="3"/>
      <c r="K201" s="3"/>
    </row>
    <row r="202" spans="1:11" x14ac:dyDescent="0.2">
      <c r="A202" s="3"/>
      <c r="B202" s="3"/>
      <c r="K202" s="3"/>
    </row>
    <row r="203" spans="1:11" x14ac:dyDescent="0.2">
      <c r="A203" s="3"/>
      <c r="B203" s="3"/>
      <c r="K203" s="3"/>
    </row>
    <row r="204" spans="1:11" x14ac:dyDescent="0.2">
      <c r="A204" s="3"/>
      <c r="B204" s="3"/>
      <c r="K204" s="3"/>
    </row>
    <row r="205" spans="1:11" x14ac:dyDescent="0.2">
      <c r="A205" s="3"/>
      <c r="B205" s="3"/>
      <c r="K205" s="3"/>
    </row>
    <row r="206" spans="1:11" x14ac:dyDescent="0.2">
      <c r="A206" s="3"/>
      <c r="B206" s="3"/>
      <c r="K206" s="3"/>
    </row>
    <row r="207" spans="1:11" x14ac:dyDescent="0.2">
      <c r="A207" s="3"/>
      <c r="B207" s="3"/>
      <c r="K207" s="3"/>
    </row>
    <row r="208" spans="1:11" x14ac:dyDescent="0.2">
      <c r="A208" s="3"/>
      <c r="B208" s="3"/>
      <c r="K208" s="3"/>
    </row>
    <row r="209" spans="1:11" x14ac:dyDescent="0.2">
      <c r="A209" s="3"/>
      <c r="B209" s="3"/>
      <c r="K209" s="3"/>
    </row>
    <row r="210" spans="1:11" x14ac:dyDescent="0.2">
      <c r="A210" s="3"/>
      <c r="B210" s="3"/>
      <c r="K210" s="3"/>
    </row>
    <row r="211" spans="1:11" x14ac:dyDescent="0.2">
      <c r="A211" s="3"/>
      <c r="B211" s="3"/>
      <c r="K211" s="3"/>
    </row>
    <row r="212" spans="1:11" x14ac:dyDescent="0.2">
      <c r="A212" s="3"/>
      <c r="B212" s="3"/>
      <c r="K212" s="3"/>
    </row>
    <row r="213" spans="1:11" x14ac:dyDescent="0.2">
      <c r="A213" s="3"/>
      <c r="B213" s="3"/>
      <c r="K213" s="3"/>
    </row>
    <row r="214" spans="1:11" x14ac:dyDescent="0.2">
      <c r="A214" s="3"/>
      <c r="B214" s="3"/>
      <c r="K214" s="3"/>
    </row>
    <row r="215" spans="1:11" x14ac:dyDescent="0.2">
      <c r="A215" s="3"/>
      <c r="B215" s="3"/>
      <c r="K215" s="3"/>
    </row>
    <row r="216" spans="1:11" x14ac:dyDescent="0.2">
      <c r="A216" s="3"/>
      <c r="B216" s="3"/>
      <c r="K216" s="3"/>
    </row>
    <row r="217" spans="1:11" x14ac:dyDescent="0.2">
      <c r="A217" s="3"/>
      <c r="B217" s="3"/>
      <c r="K217" s="3"/>
    </row>
    <row r="218" spans="1:11" x14ac:dyDescent="0.2">
      <c r="A218" s="3"/>
      <c r="B218" s="3"/>
      <c r="K218" s="3"/>
    </row>
    <row r="219" spans="1:11" x14ac:dyDescent="0.2">
      <c r="A219" s="3"/>
      <c r="B219" s="3"/>
      <c r="K219" s="3"/>
    </row>
    <row r="220" spans="1:11" x14ac:dyDescent="0.2">
      <c r="A220" s="3"/>
      <c r="B220" s="3"/>
      <c r="K220" s="3"/>
    </row>
    <row r="221" spans="1:11" x14ac:dyDescent="0.2">
      <c r="A221" s="3"/>
      <c r="B221" s="3"/>
      <c r="K221" s="3"/>
    </row>
    <row r="222" spans="1:11" x14ac:dyDescent="0.2">
      <c r="A222" s="3"/>
      <c r="B222" s="3"/>
      <c r="K222" s="3"/>
    </row>
    <row r="223" spans="1:11" x14ac:dyDescent="0.2">
      <c r="A223" s="3"/>
      <c r="B223" s="3"/>
      <c r="K223" s="3"/>
    </row>
    <row r="224" spans="1:11" x14ac:dyDescent="0.2">
      <c r="A224" s="3"/>
      <c r="B224" s="3"/>
      <c r="K224" s="3"/>
    </row>
    <row r="225" spans="1:11" x14ac:dyDescent="0.2">
      <c r="A225" s="3"/>
      <c r="B225" s="3"/>
      <c r="K225" s="3"/>
    </row>
    <row r="226" spans="1:11" x14ac:dyDescent="0.2">
      <c r="A226" s="3"/>
      <c r="B226" s="3"/>
      <c r="K226" s="3"/>
    </row>
    <row r="227" spans="1:11" x14ac:dyDescent="0.2">
      <c r="A227" s="3"/>
      <c r="B227" s="3"/>
      <c r="K227" s="3"/>
    </row>
    <row r="228" spans="1:11" x14ac:dyDescent="0.2">
      <c r="A228" s="3"/>
      <c r="B228" s="3"/>
      <c r="K228" s="3"/>
    </row>
    <row r="229" spans="1:11" x14ac:dyDescent="0.2">
      <c r="A229" s="3"/>
      <c r="B229" s="3"/>
      <c r="K229" s="3"/>
    </row>
    <row r="230" spans="1:11" x14ac:dyDescent="0.2">
      <c r="A230" s="3"/>
      <c r="B230" s="3"/>
      <c r="K230" s="3"/>
    </row>
    <row r="231" spans="1:11" x14ac:dyDescent="0.2">
      <c r="A231" s="3"/>
      <c r="B231" s="3"/>
      <c r="K231" s="3"/>
    </row>
    <row r="232" spans="1:11" x14ac:dyDescent="0.2">
      <c r="A232" s="3"/>
      <c r="B232" s="3"/>
      <c r="K232" s="3"/>
    </row>
    <row r="233" spans="1:11" x14ac:dyDescent="0.2">
      <c r="A233" s="3"/>
      <c r="B233" s="3"/>
      <c r="K233" s="3"/>
    </row>
    <row r="234" spans="1:11" x14ac:dyDescent="0.2">
      <c r="A234" s="3"/>
      <c r="B234" s="3"/>
      <c r="K234" s="3"/>
    </row>
    <row r="235" spans="1:11" x14ac:dyDescent="0.2">
      <c r="A235" s="3"/>
      <c r="B235" s="3"/>
      <c r="K235" s="3"/>
    </row>
    <row r="236" spans="1:11" x14ac:dyDescent="0.2">
      <c r="A236" s="3"/>
      <c r="B236" s="3"/>
      <c r="K236" s="3"/>
    </row>
    <row r="237" spans="1:11" x14ac:dyDescent="0.2">
      <c r="A237" s="3"/>
      <c r="B237" s="3"/>
      <c r="K237" s="3"/>
    </row>
    <row r="238" spans="1:11" x14ac:dyDescent="0.2">
      <c r="A238" s="3"/>
      <c r="B238" s="3"/>
      <c r="K238" s="3"/>
    </row>
    <row r="239" spans="1:11" x14ac:dyDescent="0.2">
      <c r="A239" s="3"/>
      <c r="B239" s="3"/>
      <c r="K239" s="3"/>
    </row>
    <row r="240" spans="1:11" x14ac:dyDescent="0.2">
      <c r="A240" s="3"/>
      <c r="B240" s="3"/>
      <c r="K240" s="3"/>
    </row>
    <row r="241" spans="1:11" x14ac:dyDescent="0.2">
      <c r="A241" s="3"/>
      <c r="B241" s="3"/>
      <c r="K241" s="3"/>
    </row>
    <row r="242" spans="1:11" x14ac:dyDescent="0.2">
      <c r="A242" s="3"/>
      <c r="B242" s="3"/>
      <c r="K242" s="3"/>
    </row>
    <row r="243" spans="1:11" x14ac:dyDescent="0.2">
      <c r="A243" s="3"/>
      <c r="B243" s="3"/>
      <c r="K243" s="3"/>
    </row>
    <row r="244" spans="1:11" x14ac:dyDescent="0.2">
      <c r="A244" s="3"/>
      <c r="B244" s="3"/>
      <c r="K244" s="3"/>
    </row>
    <row r="245" spans="1:11" x14ac:dyDescent="0.2">
      <c r="A245" s="3"/>
      <c r="B245" s="3"/>
      <c r="K245" s="3"/>
    </row>
    <row r="246" spans="1:11" x14ac:dyDescent="0.2">
      <c r="A246" s="3"/>
      <c r="B246" s="3"/>
      <c r="K246" s="3"/>
    </row>
    <row r="247" spans="1:11" x14ac:dyDescent="0.2">
      <c r="A247" s="3"/>
      <c r="B247" s="3"/>
      <c r="K247" s="3"/>
    </row>
    <row r="248" spans="1:11" x14ac:dyDescent="0.2">
      <c r="A248" s="3"/>
      <c r="B248" s="3"/>
      <c r="K248" s="3"/>
    </row>
    <row r="249" spans="1:11" x14ac:dyDescent="0.2">
      <c r="A249" s="3"/>
      <c r="B249" s="3"/>
      <c r="K249" s="3"/>
    </row>
    <row r="250" spans="1:11" x14ac:dyDescent="0.2">
      <c r="A250" s="3"/>
      <c r="B250" s="3"/>
      <c r="K250" s="3"/>
    </row>
    <row r="251" spans="1:11" x14ac:dyDescent="0.2">
      <c r="A251" s="3"/>
      <c r="B251" s="3"/>
      <c r="K251" s="3"/>
    </row>
    <row r="252" spans="1:11" x14ac:dyDescent="0.2">
      <c r="A252" s="3"/>
      <c r="B252" s="3"/>
      <c r="K252" s="3"/>
    </row>
    <row r="253" spans="1:11" x14ac:dyDescent="0.2">
      <c r="A253" s="3"/>
      <c r="B253" s="3"/>
      <c r="K253" s="3"/>
    </row>
    <row r="254" spans="1:11" x14ac:dyDescent="0.2">
      <c r="A254" s="3"/>
      <c r="B254" s="3"/>
      <c r="K254" s="3"/>
    </row>
    <row r="255" spans="1:11" x14ac:dyDescent="0.2">
      <c r="A255" s="3"/>
      <c r="B255" s="3"/>
      <c r="K255" s="3"/>
    </row>
    <row r="256" spans="1:11" x14ac:dyDescent="0.2">
      <c r="A256" s="3"/>
      <c r="B256" s="3"/>
      <c r="K256" s="3"/>
    </row>
    <row r="257" spans="1:11" x14ac:dyDescent="0.2">
      <c r="A257" s="3"/>
      <c r="B257" s="3"/>
      <c r="K257" s="3"/>
    </row>
    <row r="258" spans="1:11" x14ac:dyDescent="0.2">
      <c r="A258" s="3"/>
      <c r="B258" s="3"/>
      <c r="K258" s="3"/>
    </row>
    <row r="259" spans="1:11" x14ac:dyDescent="0.2">
      <c r="A259" s="3"/>
      <c r="B259" s="3"/>
      <c r="K259" s="3"/>
    </row>
    <row r="260" spans="1:11" x14ac:dyDescent="0.2">
      <c r="A260" s="3"/>
      <c r="B260" s="3"/>
      <c r="K260" s="3"/>
    </row>
    <row r="261" spans="1:11" x14ac:dyDescent="0.2">
      <c r="A261" s="3"/>
      <c r="B261" s="3"/>
      <c r="K261" s="3"/>
    </row>
    <row r="262" spans="1:11" x14ac:dyDescent="0.2">
      <c r="A262" s="3"/>
      <c r="B262" s="3"/>
      <c r="K262" s="3"/>
    </row>
    <row r="263" spans="1:11" x14ac:dyDescent="0.2">
      <c r="A263" s="3"/>
      <c r="B263" s="3"/>
      <c r="K263" s="3"/>
    </row>
    <row r="264" spans="1:11" x14ac:dyDescent="0.2">
      <c r="A264" s="3"/>
      <c r="B264" s="3"/>
      <c r="K264" s="3"/>
    </row>
    <row r="265" spans="1:11" x14ac:dyDescent="0.2">
      <c r="A265" s="3"/>
      <c r="B265" s="3"/>
      <c r="K265" s="3"/>
    </row>
    <row r="266" spans="1:11" x14ac:dyDescent="0.2">
      <c r="A266" s="3"/>
      <c r="B266" s="3"/>
      <c r="K266" s="3"/>
    </row>
    <row r="267" spans="1:11" x14ac:dyDescent="0.2">
      <c r="A267" s="3"/>
      <c r="B267" s="3"/>
      <c r="K267" s="3"/>
    </row>
    <row r="268" spans="1:11" x14ac:dyDescent="0.2">
      <c r="A268" s="3"/>
      <c r="B268" s="3"/>
      <c r="K268" s="3"/>
    </row>
    <row r="269" spans="1:11" x14ac:dyDescent="0.2">
      <c r="A269" s="3"/>
      <c r="B269" s="3"/>
      <c r="K269" s="3"/>
    </row>
    <row r="270" spans="1:11" x14ac:dyDescent="0.2">
      <c r="A270" s="3"/>
      <c r="B270" s="3"/>
      <c r="K270" s="3"/>
    </row>
    <row r="271" spans="1:11" x14ac:dyDescent="0.2">
      <c r="A271" s="3"/>
      <c r="B271" s="3"/>
      <c r="K271" s="3"/>
    </row>
    <row r="272" spans="1:11" x14ac:dyDescent="0.2">
      <c r="A272" s="3"/>
      <c r="B272" s="3"/>
      <c r="K272" s="3"/>
    </row>
    <row r="273" spans="1:11" x14ac:dyDescent="0.2">
      <c r="A273" s="3"/>
      <c r="B273" s="3"/>
      <c r="K273" s="3"/>
    </row>
    <row r="274" spans="1:11" x14ac:dyDescent="0.2">
      <c r="A274" s="3"/>
      <c r="B274" s="3"/>
      <c r="K274" s="3"/>
    </row>
    <row r="275" spans="1:11" x14ac:dyDescent="0.2">
      <c r="A275" s="3"/>
      <c r="B275" s="3"/>
      <c r="K275" s="3"/>
    </row>
    <row r="276" spans="1:11" x14ac:dyDescent="0.2">
      <c r="A276" s="3"/>
      <c r="B276" s="3"/>
      <c r="K276" s="3"/>
    </row>
    <row r="277" spans="1:11" x14ac:dyDescent="0.2">
      <c r="A277" s="3"/>
      <c r="B277" s="3"/>
      <c r="K277" s="3"/>
    </row>
    <row r="278" spans="1:11" x14ac:dyDescent="0.2">
      <c r="A278" s="3"/>
      <c r="B278" s="3"/>
      <c r="K278" s="3"/>
    </row>
    <row r="279" spans="1:11" x14ac:dyDescent="0.2">
      <c r="A279" s="3"/>
      <c r="B279" s="3"/>
      <c r="K279" s="3"/>
    </row>
    <row r="280" spans="1:11" x14ac:dyDescent="0.2">
      <c r="A280" s="3"/>
      <c r="B280" s="3"/>
      <c r="K280" s="3"/>
    </row>
    <row r="281" spans="1:11" x14ac:dyDescent="0.2">
      <c r="A281" s="3"/>
      <c r="B281" s="3"/>
      <c r="K281" s="3"/>
    </row>
    <row r="282" spans="1:11" x14ac:dyDescent="0.2">
      <c r="A282" s="3"/>
      <c r="B282" s="3"/>
      <c r="K282" s="3"/>
    </row>
    <row r="283" spans="1:11" x14ac:dyDescent="0.2">
      <c r="A283" s="3"/>
      <c r="B283" s="3"/>
      <c r="K283" s="3"/>
    </row>
    <row r="284" spans="1:11" x14ac:dyDescent="0.2">
      <c r="A284" s="3"/>
      <c r="B284" s="3"/>
      <c r="K284" s="3"/>
    </row>
    <row r="285" spans="1:11" x14ac:dyDescent="0.2">
      <c r="A285" s="3"/>
      <c r="B285" s="3"/>
      <c r="K285" s="3"/>
    </row>
    <row r="286" spans="1:11" x14ac:dyDescent="0.2">
      <c r="A286" s="3"/>
      <c r="B286" s="3"/>
      <c r="K286" s="3"/>
    </row>
    <row r="287" spans="1:11" x14ac:dyDescent="0.2">
      <c r="A287" s="3"/>
      <c r="B287" s="3"/>
      <c r="K287" s="3"/>
    </row>
    <row r="288" spans="1:11" x14ac:dyDescent="0.2">
      <c r="A288" s="3"/>
      <c r="B288" s="3"/>
      <c r="K288" s="3"/>
    </row>
    <row r="289" spans="1:11" x14ac:dyDescent="0.2">
      <c r="A289" s="3"/>
      <c r="B289" s="3"/>
      <c r="K289" s="3"/>
    </row>
    <row r="290" spans="1:11" x14ac:dyDescent="0.2">
      <c r="A290" s="3"/>
      <c r="B290" s="3"/>
      <c r="K290" s="3"/>
    </row>
    <row r="291" spans="1:11" x14ac:dyDescent="0.2">
      <c r="A291" s="3"/>
      <c r="B291" s="3"/>
      <c r="K291" s="3"/>
    </row>
    <row r="292" spans="1:11" x14ac:dyDescent="0.2">
      <c r="A292" s="3"/>
      <c r="B292" s="3"/>
      <c r="K292" s="3"/>
    </row>
    <row r="293" spans="1:11" x14ac:dyDescent="0.2">
      <c r="A293" s="3"/>
      <c r="B293" s="3"/>
      <c r="K293" s="3"/>
    </row>
    <row r="294" spans="1:11" x14ac:dyDescent="0.2">
      <c r="A294" s="3"/>
      <c r="B294" s="3"/>
      <c r="K294" s="3"/>
    </row>
    <row r="295" spans="1:11" x14ac:dyDescent="0.2">
      <c r="A295" s="3"/>
      <c r="B295" s="3"/>
      <c r="K295" s="3"/>
    </row>
    <row r="296" spans="1:11" x14ac:dyDescent="0.2">
      <c r="A296" s="3"/>
      <c r="B296" s="3"/>
      <c r="K296" s="3"/>
    </row>
    <row r="297" spans="1:11" x14ac:dyDescent="0.2">
      <c r="A297" s="3"/>
      <c r="B297" s="3"/>
      <c r="K297" s="3"/>
    </row>
    <row r="298" spans="1:11" x14ac:dyDescent="0.2">
      <c r="A298" s="3"/>
      <c r="B298" s="3"/>
      <c r="K298" s="3"/>
    </row>
    <row r="299" spans="1:11" x14ac:dyDescent="0.2">
      <c r="A299" s="3"/>
      <c r="B299" s="3"/>
      <c r="K299" s="3"/>
    </row>
  </sheetData>
  <mergeCells count="141">
    <mergeCell ref="W6:X6"/>
    <mergeCell ref="W20:X20"/>
    <mergeCell ref="W28:X28"/>
    <mergeCell ref="W31:X31"/>
    <mergeCell ref="W35:X35"/>
    <mergeCell ref="W61:X61"/>
    <mergeCell ref="C113:D113"/>
    <mergeCell ref="I113:J113"/>
    <mergeCell ref="AB6:AC6"/>
    <mergeCell ref="AB20:AC20"/>
    <mergeCell ref="AB35:AC35"/>
    <mergeCell ref="AB61:AC61"/>
    <mergeCell ref="AB31:AC31"/>
    <mergeCell ref="AB28:AC28"/>
    <mergeCell ref="C110:D110"/>
    <mergeCell ref="I110:J110"/>
    <mergeCell ref="Q96:R96"/>
    <mergeCell ref="Q6:R6"/>
    <mergeCell ref="Q20:R20"/>
    <mergeCell ref="Q28:R28"/>
    <mergeCell ref="Q31:R31"/>
    <mergeCell ref="Q35:R35"/>
    <mergeCell ref="Q61:R61"/>
    <mergeCell ref="U91:V91"/>
    <mergeCell ref="U31:V31"/>
    <mergeCell ref="U35:V35"/>
    <mergeCell ref="C111:D111"/>
    <mergeCell ref="I111:J111"/>
    <mergeCell ref="C104:D104"/>
    <mergeCell ref="I104:J104"/>
    <mergeCell ref="C105:D105"/>
    <mergeCell ref="I105:J105"/>
    <mergeCell ref="C100:D100"/>
    <mergeCell ref="I100:J100"/>
    <mergeCell ref="C101:D101"/>
    <mergeCell ref="I101:J101"/>
    <mergeCell ref="C98:D98"/>
    <mergeCell ref="I98:J98"/>
    <mergeCell ref="C99:D99"/>
    <mergeCell ref="I99:J99"/>
    <mergeCell ref="C61:D61"/>
    <mergeCell ref="E61:F61"/>
    <mergeCell ref="U61:V61"/>
    <mergeCell ref="I61:J61"/>
    <mergeCell ref="G61:H61"/>
    <mergeCell ref="G35:H35"/>
    <mergeCell ref="C112:D112"/>
    <mergeCell ref="I112:J112"/>
    <mergeCell ref="C107:D107"/>
    <mergeCell ref="I107:J107"/>
    <mergeCell ref="C108:D108"/>
    <mergeCell ref="I108:J108"/>
    <mergeCell ref="C109:D109"/>
    <mergeCell ref="I109:J109"/>
    <mergeCell ref="C102:D102"/>
    <mergeCell ref="I102:J102"/>
    <mergeCell ref="C103:D103"/>
    <mergeCell ref="I103:J103"/>
    <mergeCell ref="C106:D106"/>
    <mergeCell ref="I106:J106"/>
    <mergeCell ref="AB91:AC91"/>
    <mergeCell ref="C96:D96"/>
    <mergeCell ref="E96:F96"/>
    <mergeCell ref="G96:H96"/>
    <mergeCell ref="I96:J96"/>
    <mergeCell ref="K96:L96"/>
    <mergeCell ref="W91:X91"/>
    <mergeCell ref="W96:X96"/>
    <mergeCell ref="M96:N96"/>
    <mergeCell ref="AB96:AC96"/>
    <mergeCell ref="K91:L91"/>
    <mergeCell ref="Q91:R91"/>
    <mergeCell ref="M91:N91"/>
    <mergeCell ref="C91:D91"/>
    <mergeCell ref="E91:F91"/>
    <mergeCell ref="G91:H91"/>
    <mergeCell ref="I91:J91"/>
    <mergeCell ref="O91:P91"/>
    <mergeCell ref="O96:P96"/>
    <mergeCell ref="S91:T91"/>
    <mergeCell ref="S96:T96"/>
    <mergeCell ref="U96:V96"/>
    <mergeCell ref="I6:J6"/>
    <mergeCell ref="G31:H31"/>
    <mergeCell ref="C20:D20"/>
    <mergeCell ref="E20:F20"/>
    <mergeCell ref="G20:H20"/>
    <mergeCell ref="I20:J20"/>
    <mergeCell ref="K61:L61"/>
    <mergeCell ref="M6:N6"/>
    <mergeCell ref="M20:N20"/>
    <mergeCell ref="M35:N35"/>
    <mergeCell ref="M61:N61"/>
    <mergeCell ref="M28:N28"/>
    <mergeCell ref="M31:N31"/>
    <mergeCell ref="K6:L6"/>
    <mergeCell ref="K20:L20"/>
    <mergeCell ref="K35:L35"/>
    <mergeCell ref="I35:J35"/>
    <mergeCell ref="K31:L31"/>
    <mergeCell ref="E35:F35"/>
    <mergeCell ref="I28:J28"/>
    <mergeCell ref="I29:J29"/>
    <mergeCell ref="I30:J30"/>
    <mergeCell ref="I31:J31"/>
    <mergeCell ref="C35:D35"/>
    <mergeCell ref="C29:D29"/>
    <mergeCell ref="E29:F29"/>
    <mergeCell ref="E31:F31"/>
    <mergeCell ref="C31:D31"/>
    <mergeCell ref="C30:D30"/>
    <mergeCell ref="E30:F30"/>
    <mergeCell ref="C28:D28"/>
    <mergeCell ref="E28:F28"/>
    <mergeCell ref="G28:H28"/>
    <mergeCell ref="G29:H29"/>
    <mergeCell ref="G30:H30"/>
    <mergeCell ref="Y6:Z6"/>
    <mergeCell ref="Y20:Z20"/>
    <mergeCell ref="Y28:Z28"/>
    <mergeCell ref="Y31:Z31"/>
    <mergeCell ref="Y35:Z35"/>
    <mergeCell ref="Y61:Z61"/>
    <mergeCell ref="Y91:Z91"/>
    <mergeCell ref="Y96:Z96"/>
    <mergeCell ref="K28:L28"/>
    <mergeCell ref="S6:T6"/>
    <mergeCell ref="S20:T20"/>
    <mergeCell ref="S28:T28"/>
    <mergeCell ref="S31:T31"/>
    <mergeCell ref="S35:T35"/>
    <mergeCell ref="S61:T61"/>
    <mergeCell ref="O6:P6"/>
    <mergeCell ref="O20:P20"/>
    <mergeCell ref="O28:P28"/>
    <mergeCell ref="O31:P31"/>
    <mergeCell ref="O35:P35"/>
    <mergeCell ref="O61:P61"/>
    <mergeCell ref="U6:V6"/>
    <mergeCell ref="U20:V20"/>
    <mergeCell ref="U28:V28"/>
  </mergeCells>
  <phoneticPr fontId="3" type="noConversion"/>
  <printOptions horizontalCentered="1"/>
  <pageMargins left="0.5" right="0.5" top="0.5" bottom="0.5" header="0.5" footer="0.25"/>
  <pageSetup scale="70" orientation="landscape" r:id="rId1"/>
  <headerFooter alignWithMargins="0">
    <oddFooter>&amp;R&amp;P of &amp;N
&amp;D</oddFooter>
  </headerFooter>
  <rowBreaks count="1" manualBreakCount="1">
    <brk id="58" max="16383" man="1"/>
  </rowBreaks>
  <ignoredErrors>
    <ignoredError sqref="K71:M90 S71:S90 W80:W81 W7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1"/>
  <sheetViews>
    <sheetView view="pageBreakPreview" zoomScaleNormal="100" workbookViewId="0">
      <pane xSplit="2" ySplit="1" topLeftCell="O2" activePane="bottomRight" state="frozen"/>
      <selection activeCell="AF81" sqref="AF81"/>
      <selection pane="topRight" activeCell="AF81" sqref="AF81"/>
      <selection pane="bottomLeft" activeCell="AF81" sqref="AF81"/>
      <selection pane="bottomRight" activeCell="AF81" sqref="AF81"/>
    </sheetView>
  </sheetViews>
  <sheetFormatPr defaultColWidth="10.28515625" defaultRowHeight="12.75" x14ac:dyDescent="0.2"/>
  <cols>
    <col min="1" max="1" width="3.7109375" customWidth="1"/>
    <col min="2" max="2" width="28.7109375" customWidth="1"/>
    <col min="3" max="3" width="7.7109375" hidden="1" customWidth="1"/>
    <col min="4" max="4" width="10.7109375" hidden="1" customWidth="1"/>
    <col min="5" max="5" width="7.7109375" hidden="1" customWidth="1"/>
    <col min="6" max="6" width="10.7109375" hidden="1" customWidth="1"/>
    <col min="7" max="7" width="7.7109375" style="115" hidden="1" customWidth="1"/>
    <col min="8" max="8" width="10.7109375" style="115" hidden="1" customWidth="1"/>
    <col min="9" max="9" width="7.7109375" style="115" hidden="1" customWidth="1"/>
    <col min="10" max="10" width="10.7109375" style="115" hidden="1" customWidth="1"/>
    <col min="11" max="11" width="7.7109375" hidden="1" customWidth="1"/>
    <col min="12" max="12" width="10.7109375" hidden="1" customWidth="1"/>
    <col min="13" max="13" width="7.7109375" hidden="1" customWidth="1"/>
    <col min="14" max="14" width="10.7109375" hidden="1" customWidth="1"/>
    <col min="15" max="15" width="7.7109375" customWidth="1"/>
    <col min="16" max="16" width="10.7109375" customWidth="1"/>
    <col min="17" max="17" width="7.7109375" customWidth="1"/>
    <col min="18" max="18" width="10.7109375" customWidth="1"/>
    <col min="19" max="19" width="7.7109375" customWidth="1"/>
    <col min="20" max="20" width="10.7109375" customWidth="1"/>
    <col min="21" max="21" width="7.7109375" customWidth="1"/>
    <col min="22" max="22" width="10.7109375" customWidth="1"/>
    <col min="23" max="23" width="7.7109375" customWidth="1"/>
    <col min="24" max="24" width="10.7109375" customWidth="1"/>
    <col min="25" max="25" width="7.7109375" customWidth="1"/>
    <col min="26" max="26" width="10.7109375" customWidth="1"/>
    <col min="27" max="27" width="1.85546875" customWidth="1"/>
    <col min="28" max="28" width="7.7109375" customWidth="1"/>
    <col min="29" max="29" width="10.7109375" customWidth="1"/>
    <col min="30" max="30" width="1.42578125" customWidth="1"/>
  </cols>
  <sheetData>
    <row r="1" spans="1:29" ht="18" x14ac:dyDescent="0.25">
      <c r="A1" s="1183" t="str">
        <f>Dean_AS!A1</f>
        <v>Department Profile Report - FY 2015</v>
      </c>
      <c r="B1" s="1183"/>
      <c r="C1" s="1183"/>
      <c r="D1" s="1183"/>
      <c r="E1" s="1183"/>
      <c r="F1" s="1183"/>
      <c r="G1" s="1183"/>
      <c r="H1" s="1183"/>
      <c r="I1" s="1239"/>
      <c r="J1" s="1239"/>
      <c r="K1" s="1228"/>
      <c r="L1" s="1182"/>
      <c r="M1" s="1182"/>
      <c r="N1" s="1182"/>
      <c r="O1" s="1182"/>
      <c r="P1" s="1182"/>
      <c r="Q1" s="1182"/>
      <c r="R1" s="1182"/>
      <c r="S1" s="1182"/>
      <c r="T1" s="1182"/>
      <c r="U1" s="1182"/>
      <c r="V1" s="1182"/>
      <c r="W1" s="1182"/>
      <c r="X1" s="1182"/>
      <c r="Y1" s="1182"/>
      <c r="Z1" s="1182"/>
      <c r="AA1" s="1182"/>
      <c r="AB1" s="1182"/>
      <c r="AC1" s="1182"/>
    </row>
    <row r="2" spans="1:29" x14ac:dyDescent="0.2">
      <c r="A2" s="3"/>
      <c r="B2" s="3"/>
      <c r="C2" s="3"/>
      <c r="D2" s="3"/>
      <c r="E2" s="3"/>
      <c r="F2" s="3"/>
      <c r="G2" s="117"/>
      <c r="H2" s="117"/>
      <c r="I2" s="117"/>
      <c r="J2" s="117"/>
      <c r="K2" s="3"/>
    </row>
    <row r="3" spans="1:29" x14ac:dyDescent="0.2">
      <c r="A3" s="2" t="s">
        <v>42</v>
      </c>
      <c r="B3" s="117"/>
      <c r="C3" s="3"/>
      <c r="D3" s="3"/>
      <c r="E3" s="3"/>
      <c r="F3" s="3"/>
      <c r="G3" s="117"/>
      <c r="H3" s="117"/>
      <c r="I3" s="117"/>
      <c r="J3" s="117"/>
      <c r="K3" s="3"/>
    </row>
    <row r="4" spans="1:29" x14ac:dyDescent="0.2">
      <c r="A4" s="3"/>
      <c r="B4" s="3"/>
      <c r="C4" s="3"/>
      <c r="D4" s="3"/>
      <c r="E4" s="3"/>
      <c r="F4" s="3"/>
      <c r="G4" s="117"/>
      <c r="H4" s="117"/>
      <c r="I4" s="117"/>
      <c r="J4" s="117"/>
      <c r="K4" s="3"/>
    </row>
    <row r="5" spans="1:29" x14ac:dyDescent="0.2">
      <c r="A5" s="2" t="s">
        <v>77</v>
      </c>
      <c r="B5" s="3"/>
      <c r="C5" s="3"/>
      <c r="D5" s="3"/>
      <c r="E5" s="3"/>
      <c r="F5" s="3"/>
      <c r="G5" s="117"/>
      <c r="H5" s="117"/>
      <c r="I5" s="117"/>
      <c r="J5" s="117"/>
      <c r="K5" s="3"/>
    </row>
    <row r="6" spans="1:29" ht="13.5" thickBot="1" x14ac:dyDescent="0.25">
      <c r="A6" s="2"/>
      <c r="B6" s="3"/>
      <c r="C6" s="3"/>
      <c r="D6" s="3"/>
      <c r="E6" s="3"/>
      <c r="F6" s="3"/>
      <c r="G6" s="117"/>
      <c r="H6" s="117"/>
      <c r="I6" s="117"/>
      <c r="J6" s="117"/>
      <c r="K6" s="3"/>
    </row>
    <row r="7" spans="1:29" ht="14.25" thickTop="1" thickBot="1" x14ac:dyDescent="0.25">
      <c r="A7" s="3"/>
      <c r="B7" s="22"/>
      <c r="C7" s="29" t="s">
        <v>49</v>
      </c>
      <c r="D7" s="51"/>
      <c r="E7" s="29" t="s">
        <v>50</v>
      </c>
      <c r="F7" s="7"/>
      <c r="G7" s="302" t="s">
        <v>141</v>
      </c>
      <c r="H7" s="121"/>
      <c r="I7" s="1968" t="s">
        <v>152</v>
      </c>
      <c r="J7" s="1968"/>
      <c r="K7" s="1994" t="s">
        <v>154</v>
      </c>
      <c r="L7" s="1968"/>
      <c r="M7" s="1994" t="s">
        <v>171</v>
      </c>
      <c r="N7" s="1980"/>
      <c r="O7" s="1968" t="s">
        <v>227</v>
      </c>
      <c r="P7" s="1980"/>
      <c r="Q7" s="1968" t="s">
        <v>237</v>
      </c>
      <c r="R7" s="1980"/>
      <c r="S7" s="1968" t="s">
        <v>272</v>
      </c>
      <c r="T7" s="1980"/>
      <c r="U7" s="1968" t="s">
        <v>274</v>
      </c>
      <c r="V7" s="1980"/>
      <c r="W7" s="1968" t="s">
        <v>280</v>
      </c>
      <c r="X7" s="1980"/>
      <c r="Y7" s="1968" t="s">
        <v>290</v>
      </c>
      <c r="Z7" s="1969"/>
      <c r="AB7" s="2003" t="s">
        <v>213</v>
      </c>
      <c r="AC7" s="2004"/>
    </row>
    <row r="8" spans="1:29" x14ac:dyDescent="0.2">
      <c r="A8" s="3"/>
      <c r="B8" s="71"/>
      <c r="C8" s="42" t="s">
        <v>1</v>
      </c>
      <c r="D8" s="47" t="s">
        <v>2</v>
      </c>
      <c r="E8" s="42" t="s">
        <v>1</v>
      </c>
      <c r="F8" s="8" t="s">
        <v>2</v>
      </c>
      <c r="G8" s="303" t="s">
        <v>1</v>
      </c>
      <c r="H8" s="125" t="s">
        <v>2</v>
      </c>
      <c r="I8" s="124" t="s">
        <v>1</v>
      </c>
      <c r="J8" s="300" t="s">
        <v>2</v>
      </c>
      <c r="K8" s="303" t="s">
        <v>1</v>
      </c>
      <c r="L8" s="300" t="s">
        <v>2</v>
      </c>
      <c r="M8" s="303" t="s">
        <v>1</v>
      </c>
      <c r="N8" s="125" t="s">
        <v>2</v>
      </c>
      <c r="O8" s="124" t="s">
        <v>1</v>
      </c>
      <c r="P8" s="125" t="s">
        <v>2</v>
      </c>
      <c r="Q8" s="124" t="s">
        <v>1</v>
      </c>
      <c r="R8" s="125" t="s">
        <v>2</v>
      </c>
      <c r="S8" s="124" t="s">
        <v>1</v>
      </c>
      <c r="T8" s="125" t="s">
        <v>2</v>
      </c>
      <c r="U8" s="124" t="s">
        <v>1</v>
      </c>
      <c r="V8" s="125" t="s">
        <v>2</v>
      </c>
      <c r="W8" s="124" t="s">
        <v>1</v>
      </c>
      <c r="X8" s="125" t="s">
        <v>2</v>
      </c>
      <c r="Y8" s="124" t="s">
        <v>1</v>
      </c>
      <c r="Z8" s="126" t="s">
        <v>2</v>
      </c>
      <c r="AB8" s="921" t="s">
        <v>214</v>
      </c>
      <c r="AC8" s="922" t="s">
        <v>215</v>
      </c>
    </row>
    <row r="9" spans="1:29" ht="13.5" thickBot="1" x14ac:dyDescent="0.25">
      <c r="A9" s="3"/>
      <c r="B9" s="72"/>
      <c r="C9" s="46" t="s">
        <v>3</v>
      </c>
      <c r="D9" s="48" t="s">
        <v>4</v>
      </c>
      <c r="E9" s="46" t="s">
        <v>3</v>
      </c>
      <c r="F9" s="26" t="s">
        <v>4</v>
      </c>
      <c r="G9" s="304" t="s">
        <v>3</v>
      </c>
      <c r="H9" s="123" t="s">
        <v>4</v>
      </c>
      <c r="I9" s="127" t="s">
        <v>3</v>
      </c>
      <c r="J9" s="301" t="s">
        <v>4</v>
      </c>
      <c r="K9" s="304" t="s">
        <v>3</v>
      </c>
      <c r="L9" s="301" t="s">
        <v>4</v>
      </c>
      <c r="M9" s="304" t="s">
        <v>3</v>
      </c>
      <c r="N9" s="123" t="s">
        <v>4</v>
      </c>
      <c r="O9" s="127" t="s">
        <v>3</v>
      </c>
      <c r="P9" s="123" t="s">
        <v>4</v>
      </c>
      <c r="Q9" s="127" t="s">
        <v>3</v>
      </c>
      <c r="R9" s="123" t="s">
        <v>4</v>
      </c>
      <c r="S9" s="127" t="s">
        <v>3</v>
      </c>
      <c r="T9" s="123" t="s">
        <v>4</v>
      </c>
      <c r="U9" s="127" t="s">
        <v>3</v>
      </c>
      <c r="V9" s="123" t="s">
        <v>4</v>
      </c>
      <c r="W9" s="127" t="s">
        <v>3</v>
      </c>
      <c r="X9" s="123" t="s">
        <v>4</v>
      </c>
      <c r="Y9" s="127" t="s">
        <v>3</v>
      </c>
      <c r="Z9" s="128" t="s">
        <v>4</v>
      </c>
      <c r="AB9" s="923" t="s">
        <v>3</v>
      </c>
      <c r="AC9" s="924" t="s">
        <v>4</v>
      </c>
    </row>
    <row r="10" spans="1:29" x14ac:dyDescent="0.2">
      <c r="A10" s="3"/>
      <c r="B10" s="73" t="s">
        <v>5</v>
      </c>
      <c r="C10" s="15"/>
      <c r="D10" s="49"/>
      <c r="E10" s="15"/>
      <c r="F10" s="13"/>
      <c r="G10" s="305"/>
      <c r="H10" s="131"/>
      <c r="I10" s="130"/>
      <c r="J10" s="150"/>
      <c r="K10" s="305"/>
      <c r="L10" s="150"/>
      <c r="M10" s="305"/>
      <c r="N10" s="131"/>
      <c r="O10" s="130"/>
      <c r="P10" s="131"/>
      <c r="Q10" s="130"/>
      <c r="R10" s="131"/>
      <c r="S10" s="130"/>
      <c r="T10" s="131"/>
      <c r="U10" s="130"/>
      <c r="V10" s="131"/>
      <c r="W10" s="130"/>
      <c r="X10" s="131"/>
      <c r="Y10" s="130"/>
      <c r="Z10" s="296"/>
      <c r="AB10" s="925"/>
      <c r="AC10" s="581"/>
    </row>
    <row r="11" spans="1:29" x14ac:dyDescent="0.2">
      <c r="A11" s="3"/>
      <c r="B11" s="74" t="s">
        <v>284</v>
      </c>
      <c r="C11" s="14"/>
      <c r="D11" s="50"/>
      <c r="E11" s="14"/>
      <c r="F11" s="9"/>
      <c r="G11" s="318"/>
      <c r="H11" s="405"/>
      <c r="I11" s="404"/>
      <c r="J11" s="129"/>
      <c r="K11" s="318"/>
      <c r="L11" s="129"/>
      <c r="M11" s="318"/>
      <c r="N11" s="405"/>
      <c r="O11" s="404"/>
      <c r="P11" s="405"/>
      <c r="Q11" s="404"/>
      <c r="R11" s="405"/>
      <c r="S11" s="404"/>
      <c r="T11" s="405"/>
      <c r="U11" s="404"/>
      <c r="V11" s="405"/>
      <c r="W11" s="404"/>
      <c r="X11" s="405"/>
      <c r="Y11" s="404"/>
      <c r="Z11" s="291"/>
      <c r="AB11" s="926"/>
      <c r="AC11" s="927"/>
    </row>
    <row r="12" spans="1:29" s="617" customFormat="1" x14ac:dyDescent="0.2">
      <c r="A12" s="618"/>
      <c r="B12" s="654" t="s">
        <v>221</v>
      </c>
      <c r="C12" s="672">
        <v>689</v>
      </c>
      <c r="D12" s="700">
        <f>139+17</f>
        <v>156</v>
      </c>
      <c r="E12" s="672">
        <f>628+38</f>
        <v>666</v>
      </c>
      <c r="F12" s="701">
        <f>114+13</f>
        <v>127</v>
      </c>
      <c r="G12" s="724">
        <v>693</v>
      </c>
      <c r="H12" s="663">
        <f>143+10</f>
        <v>153</v>
      </c>
      <c r="I12" s="725">
        <v>607</v>
      </c>
      <c r="J12" s="665">
        <f>136+3</f>
        <v>139</v>
      </c>
      <c r="K12" s="657">
        <v>656</v>
      </c>
      <c r="L12" s="665">
        <f>141+11</f>
        <v>152</v>
      </c>
      <c r="M12" s="657">
        <f>578+32</f>
        <v>610</v>
      </c>
      <c r="N12" s="663">
        <v>104</v>
      </c>
      <c r="O12" s="758">
        <v>522</v>
      </c>
      <c r="P12" s="663">
        <f>121+8</f>
        <v>129</v>
      </c>
      <c r="Q12" s="758">
        <v>504</v>
      </c>
      <c r="R12" s="663">
        <v>127</v>
      </c>
      <c r="S12" s="758">
        <v>459</v>
      </c>
      <c r="T12" s="663">
        <v>107</v>
      </c>
      <c r="U12" s="758">
        <f>181+365</f>
        <v>546</v>
      </c>
      <c r="V12" s="663">
        <v>96</v>
      </c>
      <c r="W12" s="758">
        <f>247+348</f>
        <v>595</v>
      </c>
      <c r="X12" s="663">
        <v>117</v>
      </c>
      <c r="Y12" s="650">
        <f>239+342+2</f>
        <v>583</v>
      </c>
      <c r="Z12" s="1646"/>
      <c r="AB12" s="926">
        <f>AVERAGE(W12,U12,Q12,S12,Y12)</f>
        <v>537.4</v>
      </c>
      <c r="AC12" s="928">
        <f>AVERAGE(X12,V12,R12,T12,P12)</f>
        <v>115.2</v>
      </c>
    </row>
    <row r="13" spans="1:29" s="617" customFormat="1" x14ac:dyDescent="0.2">
      <c r="A13" s="618"/>
      <c r="B13" s="781" t="s">
        <v>167</v>
      </c>
      <c r="C13" s="705">
        <v>19</v>
      </c>
      <c r="D13" s="703">
        <f>3+1</f>
        <v>4</v>
      </c>
      <c r="E13" s="705">
        <v>30</v>
      </c>
      <c r="F13" s="704">
        <f>8+1</f>
        <v>9</v>
      </c>
      <c r="G13" s="1244">
        <v>22</v>
      </c>
      <c r="H13" s="729">
        <v>9</v>
      </c>
      <c r="I13" s="842">
        <v>21</v>
      </c>
      <c r="J13" s="730">
        <v>8</v>
      </c>
      <c r="K13" s="761">
        <v>20</v>
      </c>
      <c r="L13" s="730">
        <v>9</v>
      </c>
      <c r="M13" s="761">
        <v>19</v>
      </c>
      <c r="N13" s="729">
        <v>9</v>
      </c>
      <c r="O13" s="760">
        <v>16</v>
      </c>
      <c r="P13" s="729">
        <v>12</v>
      </c>
      <c r="Q13" s="760">
        <v>20</v>
      </c>
      <c r="R13" s="729">
        <v>6</v>
      </c>
      <c r="S13" s="760">
        <v>24</v>
      </c>
      <c r="T13" s="729">
        <v>8</v>
      </c>
      <c r="U13" s="760">
        <f>18+2</f>
        <v>20</v>
      </c>
      <c r="V13" s="729">
        <v>2</v>
      </c>
      <c r="W13" s="760">
        <v>19</v>
      </c>
      <c r="X13" s="729">
        <v>10</v>
      </c>
      <c r="Y13" s="782">
        <v>21</v>
      </c>
      <c r="Z13" s="1647"/>
      <c r="AB13" s="926">
        <f t="shared" ref="AB13:AB14" si="0">AVERAGE(W13,U13,Q13,S13,Y13)</f>
        <v>20.8</v>
      </c>
      <c r="AC13" s="928">
        <f t="shared" ref="AC13" si="1">AVERAGE(X13,V13,R13,T13,P13)</f>
        <v>7.6</v>
      </c>
    </row>
    <row r="14" spans="1:29" s="617" customFormat="1" ht="13.5" thickBot="1" x14ac:dyDescent="0.25">
      <c r="A14" s="618"/>
      <c r="B14" s="737" t="s">
        <v>80</v>
      </c>
      <c r="C14" s="762"/>
      <c r="D14" s="763"/>
      <c r="E14" s="762"/>
      <c r="F14" s="769"/>
      <c r="G14" s="754"/>
      <c r="H14" s="763"/>
      <c r="I14" s="732">
        <v>0</v>
      </c>
      <c r="J14" s="718">
        <v>0</v>
      </c>
      <c r="K14" s="741">
        <v>19</v>
      </c>
      <c r="L14" s="718">
        <v>0</v>
      </c>
      <c r="M14" s="741">
        <v>55</v>
      </c>
      <c r="N14" s="716">
        <v>14</v>
      </c>
      <c r="O14" s="766">
        <v>60</v>
      </c>
      <c r="P14" s="716">
        <v>15</v>
      </c>
      <c r="Q14" s="766">
        <v>65</v>
      </c>
      <c r="R14" s="716">
        <v>6</v>
      </c>
      <c r="S14" s="766">
        <v>57</v>
      </c>
      <c r="T14" s="716">
        <v>24</v>
      </c>
      <c r="U14" s="766">
        <v>50</v>
      </c>
      <c r="V14" s="716">
        <v>24</v>
      </c>
      <c r="W14" s="766">
        <v>68</v>
      </c>
      <c r="X14" s="716">
        <v>27</v>
      </c>
      <c r="Y14" s="766">
        <v>66</v>
      </c>
      <c r="Z14" s="1648"/>
      <c r="AB14" s="929">
        <f t="shared" si="0"/>
        <v>61.2</v>
      </c>
      <c r="AC14" s="1019">
        <f>AVERAGE(X14,V14,R14,T14,P14)</f>
        <v>19.2</v>
      </c>
    </row>
    <row r="15" spans="1:29" ht="13.5" thickTop="1" x14ac:dyDescent="0.2">
      <c r="A15" s="3"/>
      <c r="B15" s="70" t="s">
        <v>151</v>
      </c>
      <c r="C15" s="33"/>
      <c r="D15" s="34"/>
      <c r="E15" s="33"/>
      <c r="F15" s="34"/>
      <c r="G15" s="133"/>
      <c r="H15" s="135"/>
      <c r="I15" s="133"/>
      <c r="J15" s="135"/>
      <c r="K15" s="133"/>
      <c r="L15" s="135"/>
      <c r="M15" s="133"/>
      <c r="N15" s="135"/>
      <c r="O15" s="133"/>
      <c r="P15" s="135"/>
      <c r="Q15" s="133"/>
      <c r="R15" s="135"/>
      <c r="S15" s="133"/>
      <c r="T15" s="135"/>
      <c r="U15" s="133"/>
      <c r="V15" s="135"/>
      <c r="W15" s="133"/>
      <c r="X15" s="135"/>
      <c r="Y15" s="133"/>
      <c r="Z15" s="135"/>
      <c r="AB15" s="668"/>
      <c r="AC15" s="1551"/>
    </row>
    <row r="16" spans="1:29" ht="13.5" thickBot="1" x14ac:dyDescent="0.25">
      <c r="A16" s="3"/>
      <c r="B16" s="3"/>
      <c r="C16" s="3"/>
      <c r="D16" s="3"/>
      <c r="E16" s="3"/>
      <c r="F16" s="3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B16" s="668"/>
      <c r="AC16" s="494"/>
    </row>
    <row r="17" spans="1:32" ht="14.25" thickTop="1" thickBot="1" x14ac:dyDescent="0.25">
      <c r="A17" s="3"/>
      <c r="B17" s="340"/>
      <c r="C17" s="2013" t="s">
        <v>49</v>
      </c>
      <c r="D17" s="2014"/>
      <c r="E17" s="2015" t="s">
        <v>50</v>
      </c>
      <c r="F17" s="2015"/>
      <c r="G17" s="2002" t="s">
        <v>141</v>
      </c>
      <c r="H17" s="1982"/>
      <c r="I17" s="1974" t="s">
        <v>152</v>
      </c>
      <c r="J17" s="1974"/>
      <c r="K17" s="2002" t="s">
        <v>154</v>
      </c>
      <c r="L17" s="1974"/>
      <c r="M17" s="2002" t="s">
        <v>171</v>
      </c>
      <c r="N17" s="1982"/>
      <c r="O17" s="1974" t="s">
        <v>227</v>
      </c>
      <c r="P17" s="1982"/>
      <c r="Q17" s="1974" t="s">
        <v>237</v>
      </c>
      <c r="R17" s="1982"/>
      <c r="S17" s="1974" t="s">
        <v>272</v>
      </c>
      <c r="T17" s="1982"/>
      <c r="U17" s="1974" t="s">
        <v>274</v>
      </c>
      <c r="V17" s="1982"/>
      <c r="W17" s="1974" t="s">
        <v>280</v>
      </c>
      <c r="X17" s="1982"/>
      <c r="Y17" s="1974" t="s">
        <v>290</v>
      </c>
      <c r="Z17" s="1975"/>
      <c r="AB17" s="2003" t="s">
        <v>213</v>
      </c>
      <c r="AC17" s="2004"/>
    </row>
    <row r="18" spans="1:32" x14ac:dyDescent="0.2">
      <c r="A18" s="3"/>
      <c r="B18" s="73" t="s">
        <v>7</v>
      </c>
      <c r="C18" s="54"/>
      <c r="D18" s="92"/>
      <c r="E18" s="30"/>
      <c r="F18" s="30"/>
      <c r="G18" s="243"/>
      <c r="H18" s="244"/>
      <c r="I18" s="138"/>
      <c r="J18" s="138"/>
      <c r="K18" s="243"/>
      <c r="L18" s="138"/>
      <c r="M18" s="243"/>
      <c r="N18" s="244"/>
      <c r="O18" s="138"/>
      <c r="P18" s="244"/>
      <c r="Q18" s="138"/>
      <c r="R18" s="244"/>
      <c r="S18" s="138"/>
      <c r="T18" s="244"/>
      <c r="U18" s="138"/>
      <c r="V18" s="244"/>
      <c r="W18" s="138"/>
      <c r="X18" s="244"/>
      <c r="Y18" s="138"/>
      <c r="Z18" s="140"/>
      <c r="AB18" s="831"/>
      <c r="AC18" s="930"/>
    </row>
    <row r="19" spans="1:32" x14ac:dyDescent="0.2">
      <c r="A19" s="3"/>
      <c r="B19" s="78" t="s">
        <v>8</v>
      </c>
      <c r="C19" s="184"/>
      <c r="D19" s="93"/>
      <c r="E19" s="31"/>
      <c r="F19" s="31"/>
      <c r="G19" s="239"/>
      <c r="H19" s="245"/>
      <c r="I19" s="139"/>
      <c r="J19" s="139"/>
      <c r="K19" s="239"/>
      <c r="L19" s="139"/>
      <c r="M19" s="239"/>
      <c r="N19" s="245"/>
      <c r="O19" s="139"/>
      <c r="P19" s="245"/>
      <c r="Q19" s="139"/>
      <c r="R19" s="245"/>
      <c r="S19" s="139"/>
      <c r="T19" s="245"/>
      <c r="U19" s="139"/>
      <c r="V19" s="245"/>
      <c r="W19" s="139"/>
      <c r="X19" s="245"/>
      <c r="Y19" s="139"/>
      <c r="Z19" s="141"/>
      <c r="AB19" s="831"/>
      <c r="AC19" s="930"/>
    </row>
    <row r="20" spans="1:32" x14ac:dyDescent="0.2">
      <c r="A20" s="3"/>
      <c r="B20" s="78" t="s">
        <v>9</v>
      </c>
      <c r="C20" s="184"/>
      <c r="D20" s="165">
        <v>3030</v>
      </c>
      <c r="E20" s="31"/>
      <c r="F20" s="171">
        <v>2964</v>
      </c>
      <c r="G20" s="239"/>
      <c r="H20" s="261">
        <v>4338</v>
      </c>
      <c r="I20" s="139"/>
      <c r="J20" s="183">
        <v>5829</v>
      </c>
      <c r="K20" s="239"/>
      <c r="L20" s="183">
        <v>5910</v>
      </c>
      <c r="M20" s="239"/>
      <c r="N20" s="261">
        <v>5376</v>
      </c>
      <c r="O20" s="139"/>
      <c r="P20" s="261">
        <v>4628</v>
      </c>
      <c r="Q20" s="139"/>
      <c r="R20" s="261">
        <v>5047</v>
      </c>
      <c r="S20" s="139"/>
      <c r="T20" s="261">
        <v>5344</v>
      </c>
      <c r="U20" s="139"/>
      <c r="V20" s="261">
        <v>5591</v>
      </c>
      <c r="W20" s="139"/>
      <c r="X20" s="261">
        <v>5997</v>
      </c>
      <c r="Y20" s="139"/>
      <c r="Z20" s="1649"/>
      <c r="AB20" s="24"/>
      <c r="AC20" s="947">
        <f t="shared" ref="AC20:AC23" si="2">AVERAGE(X20,V20,R20,T20,P20)</f>
        <v>5321.4</v>
      </c>
      <c r="AE20" t="s">
        <v>29</v>
      </c>
    </row>
    <row r="21" spans="1:32" x14ac:dyDescent="0.2">
      <c r="A21" s="3"/>
      <c r="B21" s="78" t="s">
        <v>10</v>
      </c>
      <c r="C21" s="184"/>
      <c r="D21" s="165">
        <v>7749</v>
      </c>
      <c r="E21" s="31"/>
      <c r="F21" s="171">
        <v>7683</v>
      </c>
      <c r="G21" s="239"/>
      <c r="H21" s="261">
        <v>5910</v>
      </c>
      <c r="I21" s="139"/>
      <c r="J21" s="183">
        <v>4085</v>
      </c>
      <c r="K21" s="239"/>
      <c r="L21" s="183">
        <v>3883</v>
      </c>
      <c r="M21" s="239"/>
      <c r="N21" s="261">
        <v>3989</v>
      </c>
      <c r="O21" s="139"/>
      <c r="P21" s="261">
        <v>3962</v>
      </c>
      <c r="Q21" s="139"/>
      <c r="R21" s="261">
        <v>3720</v>
      </c>
      <c r="S21" s="139"/>
      <c r="T21" s="261">
        <v>3627</v>
      </c>
      <c r="U21" s="139"/>
      <c r="V21" s="261">
        <v>3928</v>
      </c>
      <c r="W21" s="139"/>
      <c r="X21" s="261">
        <v>4584</v>
      </c>
      <c r="Y21" s="139"/>
      <c r="Z21" s="1649"/>
      <c r="AB21" s="12"/>
      <c r="AC21" s="947">
        <f t="shared" si="2"/>
        <v>3964.2</v>
      </c>
    </row>
    <row r="22" spans="1:32" x14ac:dyDescent="0.2">
      <c r="A22" s="3"/>
      <c r="B22" s="78" t="s">
        <v>11</v>
      </c>
      <c r="C22" s="184"/>
      <c r="D22" s="165">
        <v>488</v>
      </c>
      <c r="E22" s="31"/>
      <c r="F22" s="171">
        <v>604</v>
      </c>
      <c r="G22" s="239"/>
      <c r="H22" s="261">
        <v>453</v>
      </c>
      <c r="I22" s="139"/>
      <c r="J22" s="183">
        <v>285</v>
      </c>
      <c r="K22" s="239"/>
      <c r="L22" s="183">
        <v>203</v>
      </c>
      <c r="M22" s="239"/>
      <c r="N22" s="261">
        <v>167</v>
      </c>
      <c r="O22" s="139"/>
      <c r="P22" s="261">
        <v>184</v>
      </c>
      <c r="Q22" s="139"/>
      <c r="R22" s="261">
        <v>170</v>
      </c>
      <c r="S22" s="139"/>
      <c r="T22" s="261">
        <v>268</v>
      </c>
      <c r="U22" s="139"/>
      <c r="V22" s="261">
        <v>251</v>
      </c>
      <c r="W22" s="139"/>
      <c r="X22" s="261">
        <v>267</v>
      </c>
      <c r="Y22" s="139"/>
      <c r="Z22" s="1649"/>
      <c r="AA22" s="1031"/>
      <c r="AB22" s="31"/>
      <c r="AC22" s="947">
        <f t="shared" si="2"/>
        <v>228</v>
      </c>
    </row>
    <row r="23" spans="1:32" x14ac:dyDescent="0.2">
      <c r="A23" s="3"/>
      <c r="B23" s="78" t="s">
        <v>12</v>
      </c>
      <c r="C23" s="184"/>
      <c r="D23" s="94">
        <v>0</v>
      </c>
      <c r="E23" s="31"/>
      <c r="F23" s="39">
        <v>0</v>
      </c>
      <c r="G23" s="239"/>
      <c r="H23" s="240">
        <v>0</v>
      </c>
      <c r="I23" s="139"/>
      <c r="J23" s="241">
        <v>0</v>
      </c>
      <c r="K23" s="239"/>
      <c r="L23" s="241">
        <v>0</v>
      </c>
      <c r="M23" s="239"/>
      <c r="N23" s="240">
        <v>0</v>
      </c>
      <c r="O23" s="139"/>
      <c r="P23" s="240">
        <v>0</v>
      </c>
      <c r="Q23" s="139"/>
      <c r="R23" s="240">
        <v>0</v>
      </c>
      <c r="S23" s="139"/>
      <c r="T23" s="240">
        <v>0</v>
      </c>
      <c r="U23" s="139"/>
      <c r="V23" s="240">
        <v>0</v>
      </c>
      <c r="W23" s="139"/>
      <c r="X23" s="240">
        <v>0</v>
      </c>
      <c r="Y23" s="139"/>
      <c r="Z23" s="1650"/>
      <c r="AA23" s="1031"/>
      <c r="AB23" s="31"/>
      <c r="AC23" s="947">
        <f t="shared" si="2"/>
        <v>0</v>
      </c>
    </row>
    <row r="24" spans="1:32" ht="13.5" thickBot="1" x14ac:dyDescent="0.25">
      <c r="A24" s="3"/>
      <c r="B24" s="79" t="s">
        <v>13</v>
      </c>
      <c r="C24" s="185"/>
      <c r="D24" s="186">
        <f>SUM(D20:D23)</f>
        <v>11267</v>
      </c>
      <c r="E24" s="90"/>
      <c r="F24" s="58">
        <f>SUM(F20:F23)</f>
        <v>11251</v>
      </c>
      <c r="G24" s="246"/>
      <c r="H24" s="247">
        <f>SUM(H20:H23)</f>
        <v>10701</v>
      </c>
      <c r="I24" s="164"/>
      <c r="J24" s="242">
        <f>SUM(J20:J23)</f>
        <v>10199</v>
      </c>
      <c r="K24" s="246"/>
      <c r="L24" s="242">
        <f>SUM(L20:L23)</f>
        <v>9996</v>
      </c>
      <c r="M24" s="246"/>
      <c r="N24" s="247">
        <f>SUM(N20:N23)</f>
        <v>9532</v>
      </c>
      <c r="O24" s="164"/>
      <c r="P24" s="247">
        <f>SUM(P20:P23)</f>
        <v>8774</v>
      </c>
      <c r="Q24" s="164"/>
      <c r="R24" s="247">
        <f>SUM(R20:R23)</f>
        <v>8937</v>
      </c>
      <c r="S24" s="164"/>
      <c r="T24" s="247">
        <f>SUM(T20:T23)</f>
        <v>9239</v>
      </c>
      <c r="U24" s="164"/>
      <c r="V24" s="247">
        <f>SUM(V20:V23)</f>
        <v>9770</v>
      </c>
      <c r="W24" s="164"/>
      <c r="X24" s="247">
        <f>SUM(X20:X23)</f>
        <v>10848</v>
      </c>
      <c r="Y24" s="164"/>
      <c r="Z24" s="1651"/>
      <c r="AA24" s="1031"/>
      <c r="AB24" s="182"/>
      <c r="AC24" s="1008">
        <f>AVERAGE(X24,V24,R24,T24,P24)</f>
        <v>9513.6</v>
      </c>
    </row>
    <row r="25" spans="1:32" ht="12" customHeight="1" thickTop="1" thickBot="1" x14ac:dyDescent="0.25">
      <c r="A25" s="930"/>
      <c r="B25" s="931" t="s">
        <v>212</v>
      </c>
      <c r="C25" s="1992" t="s">
        <v>51</v>
      </c>
      <c r="D25" s="1997"/>
      <c r="E25" s="1992" t="s">
        <v>52</v>
      </c>
      <c r="F25" s="1997"/>
      <c r="G25" s="1989" t="s">
        <v>184</v>
      </c>
      <c r="H25" s="1981"/>
      <c r="I25" s="1989" t="s">
        <v>185</v>
      </c>
      <c r="J25" s="2005"/>
      <c r="K25" s="1989" t="s">
        <v>202</v>
      </c>
      <c r="L25" s="2005"/>
      <c r="M25" s="1991" t="s">
        <v>203</v>
      </c>
      <c r="N25" s="1981"/>
      <c r="O25" s="1970" t="s">
        <v>228</v>
      </c>
      <c r="P25" s="1981"/>
      <c r="Q25" s="1970" t="s">
        <v>238</v>
      </c>
      <c r="R25" s="1981"/>
      <c r="S25" s="1970" t="s">
        <v>273</v>
      </c>
      <c r="T25" s="1981"/>
      <c r="U25" s="1970" t="s">
        <v>275</v>
      </c>
      <c r="V25" s="1981"/>
      <c r="W25" s="1970" t="s">
        <v>281</v>
      </c>
      <c r="X25" s="1981"/>
      <c r="Y25" s="1970" t="s">
        <v>291</v>
      </c>
      <c r="Z25" s="1971"/>
      <c r="AA25" s="932"/>
      <c r="AB25" s="2009"/>
      <c r="AC25" s="2010"/>
      <c r="AD25" s="293"/>
      <c r="AE25" s="293"/>
      <c r="AF25" s="21" t="s">
        <v>29</v>
      </c>
    </row>
    <row r="26" spans="1:32" ht="12" customHeight="1" x14ac:dyDescent="0.2">
      <c r="A26" s="930"/>
      <c r="B26" s="933" t="s">
        <v>189</v>
      </c>
      <c r="C26" s="2016">
        <v>0.48299999999999998</v>
      </c>
      <c r="D26" s="2017"/>
      <c r="E26" s="1995">
        <v>0.47299999999999998</v>
      </c>
      <c r="F26" s="1996"/>
      <c r="G26" s="1995">
        <v>0.54600000000000004</v>
      </c>
      <c r="H26" s="1996"/>
      <c r="I26" s="1995">
        <v>0.52800000000000002</v>
      </c>
      <c r="J26" s="2006"/>
      <c r="K26" s="934"/>
      <c r="L26" s="935">
        <v>0.54900000000000004</v>
      </c>
      <c r="M26" s="936"/>
      <c r="N26" s="1178">
        <v>0.54</v>
      </c>
      <c r="O26" s="1176"/>
      <c r="P26" s="1178">
        <v>0.55800000000000005</v>
      </c>
      <c r="Q26" s="1271"/>
      <c r="R26" s="1178">
        <v>0.52900000000000003</v>
      </c>
      <c r="S26" s="1271"/>
      <c r="T26" s="1178">
        <v>0.46800000000000003</v>
      </c>
      <c r="U26" s="1271"/>
      <c r="V26" s="1178">
        <v>0.54200000000000004</v>
      </c>
      <c r="W26" s="1271"/>
      <c r="X26" s="1178">
        <v>0.58599999999999997</v>
      </c>
      <c r="Y26" s="1271"/>
      <c r="Z26" s="1479">
        <v>0.55000000000000004</v>
      </c>
      <c r="AA26" s="937"/>
      <c r="AB26" s="938"/>
      <c r="AC26" s="1048">
        <f t="shared" ref="AC26:AC28" si="3">AVERAGE(X26,V26,R26,T26,Z26)</f>
        <v>0.53499999999999992</v>
      </c>
      <c r="AD26" s="293"/>
      <c r="AE26" s="293"/>
      <c r="AF26" s="21"/>
    </row>
    <row r="27" spans="1:32" ht="12" customHeight="1" x14ac:dyDescent="0.2">
      <c r="A27" s="930"/>
      <c r="B27" s="940" t="s">
        <v>190</v>
      </c>
      <c r="C27" s="2018">
        <v>2.4E-2</v>
      </c>
      <c r="D27" s="2019"/>
      <c r="E27" s="2000">
        <v>3.4000000000000002E-2</v>
      </c>
      <c r="F27" s="2001"/>
      <c r="G27" s="2000">
        <v>2.5000000000000001E-2</v>
      </c>
      <c r="H27" s="2001"/>
      <c r="I27" s="2000">
        <v>2.4E-2</v>
      </c>
      <c r="J27" s="2011"/>
      <c r="K27" s="941"/>
      <c r="L27" s="942">
        <v>2.1999999999999999E-2</v>
      </c>
      <c r="M27" s="941"/>
      <c r="N27" s="1179">
        <v>2.5000000000000001E-2</v>
      </c>
      <c r="O27" s="1177"/>
      <c r="P27" s="1179">
        <v>2.3E-2</v>
      </c>
      <c r="Q27" s="1272"/>
      <c r="R27" s="1179">
        <v>2.8000000000000001E-2</v>
      </c>
      <c r="S27" s="1272"/>
      <c r="T27" s="1179">
        <v>2.9000000000000001E-2</v>
      </c>
      <c r="U27" s="1272"/>
      <c r="V27" s="1179">
        <v>2.1999999999999999E-2</v>
      </c>
      <c r="W27" s="1272"/>
      <c r="X27" s="1179">
        <v>2.3E-2</v>
      </c>
      <c r="Y27" s="1272"/>
      <c r="Z27" s="1480">
        <v>2.1000000000000001E-2</v>
      </c>
      <c r="AA27" s="937"/>
      <c r="AB27" s="938"/>
      <c r="AC27" s="1048">
        <f t="shared" si="3"/>
        <v>2.46E-2</v>
      </c>
      <c r="AD27" s="293"/>
      <c r="AE27" s="293"/>
      <c r="AF27" s="21"/>
    </row>
    <row r="28" spans="1:32" ht="12.75" customHeight="1" thickBot="1" x14ac:dyDescent="0.25">
      <c r="A28" s="3"/>
      <c r="B28" s="943" t="s">
        <v>191</v>
      </c>
      <c r="C28" s="1998">
        <f>1-C26-C27</f>
        <v>0.49299999999999999</v>
      </c>
      <c r="D28" s="1999"/>
      <c r="E28" s="1998">
        <f>1-E26-E27</f>
        <v>0.49299999999999999</v>
      </c>
      <c r="F28" s="1999"/>
      <c r="G28" s="1998">
        <f>1-G26-G27</f>
        <v>0.42899999999999994</v>
      </c>
      <c r="H28" s="1999"/>
      <c r="I28" s="1998">
        <f>1-I26-I27</f>
        <v>0.44799999999999995</v>
      </c>
      <c r="J28" s="1999"/>
      <c r="K28" s="1998">
        <f>1-L26-L27</f>
        <v>0.42899999999999994</v>
      </c>
      <c r="L28" s="1999"/>
      <c r="M28" s="1998">
        <f>1-N26-N27</f>
        <v>0.43499999999999994</v>
      </c>
      <c r="N28" s="1999"/>
      <c r="O28" s="1998">
        <f>1-P26-P27</f>
        <v>0.41899999999999993</v>
      </c>
      <c r="P28" s="1999"/>
      <c r="Q28" s="1972">
        <f>1-R26-R27</f>
        <v>0.44299999999999995</v>
      </c>
      <c r="R28" s="1973"/>
      <c r="S28" s="1972">
        <f>1-T26-T27</f>
        <v>0.503</v>
      </c>
      <c r="T28" s="1973"/>
      <c r="U28" s="1972">
        <f>1-V26-V27</f>
        <v>0.43599999999999994</v>
      </c>
      <c r="V28" s="1973"/>
      <c r="W28" s="1972">
        <f>1-X26-X27</f>
        <v>0.39100000000000001</v>
      </c>
      <c r="X28" s="1973"/>
      <c r="Y28" s="1972">
        <f>1-Z26-Z27</f>
        <v>0.42899999999999994</v>
      </c>
      <c r="Z28" s="1973"/>
      <c r="AA28" s="937"/>
      <c r="AB28" s="2007">
        <f t="shared" ref="AB28" si="4">AVERAGE(W28,U28,Q28,S28,Y28)</f>
        <v>0.44040000000000001</v>
      </c>
      <c r="AC28" s="2008" t="e">
        <f t="shared" si="3"/>
        <v>#DIV/0!</v>
      </c>
      <c r="AD28" s="1050"/>
      <c r="AE28" s="293"/>
      <c r="AF28" s="21"/>
    </row>
    <row r="29" spans="1:32" s="3" customFormat="1" thickTop="1" x14ac:dyDescent="0.2">
      <c r="B29" s="109"/>
      <c r="C29" s="110"/>
      <c r="D29" s="111"/>
      <c r="E29" s="110"/>
      <c r="F29" s="111"/>
      <c r="G29" s="146"/>
      <c r="H29" s="147"/>
      <c r="I29" s="146"/>
      <c r="J29" s="147"/>
      <c r="K29" s="146"/>
      <c r="L29" s="147"/>
      <c r="M29" s="146"/>
      <c r="N29" s="147"/>
      <c r="O29" s="146"/>
      <c r="P29" s="147"/>
      <c r="Q29" s="146"/>
      <c r="R29" s="147"/>
      <c r="S29" s="146"/>
      <c r="T29" s="147"/>
      <c r="U29" s="146"/>
      <c r="V29" s="147"/>
      <c r="W29" s="146"/>
      <c r="X29" s="147"/>
      <c r="Y29" s="146"/>
      <c r="Z29" s="147"/>
    </row>
    <row r="30" spans="1:32" s="3" customFormat="1" x14ac:dyDescent="0.2">
      <c r="A30" s="112" t="s">
        <v>68</v>
      </c>
      <c r="B30" s="96"/>
      <c r="C30" s="28"/>
      <c r="D30" s="28"/>
      <c r="E30" s="28"/>
      <c r="F30" s="28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</row>
    <row r="31" spans="1:32" s="3" customFormat="1" ht="13.5" thickBot="1" x14ac:dyDescent="0.25">
      <c r="A31" s="112"/>
      <c r="B31" s="96"/>
      <c r="C31" s="28"/>
      <c r="D31" s="28"/>
      <c r="E31" s="28"/>
      <c r="F31" s="28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</row>
    <row r="32" spans="1:32" s="3" customFormat="1" ht="14.25" thickTop="1" thickBot="1" x14ac:dyDescent="0.25">
      <c r="A32" s="2"/>
      <c r="B32" s="329" t="s">
        <v>69</v>
      </c>
      <c r="C32" s="2013" t="s">
        <v>49</v>
      </c>
      <c r="D32" s="2014"/>
      <c r="E32" s="2015" t="s">
        <v>50</v>
      </c>
      <c r="F32" s="2015"/>
      <c r="G32" s="2002" t="s">
        <v>141</v>
      </c>
      <c r="H32" s="1982"/>
      <c r="I32" s="1974" t="s">
        <v>152</v>
      </c>
      <c r="J32" s="1974"/>
      <c r="K32" s="2002" t="s">
        <v>154</v>
      </c>
      <c r="L32" s="1974"/>
      <c r="M32" s="2002" t="s">
        <v>171</v>
      </c>
      <c r="N32" s="1982"/>
      <c r="O32" s="1974" t="s">
        <v>227</v>
      </c>
      <c r="P32" s="1982"/>
      <c r="Q32" s="1974" t="s">
        <v>237</v>
      </c>
      <c r="R32" s="1982"/>
      <c r="S32" s="1974" t="s">
        <v>272</v>
      </c>
      <c r="T32" s="1982"/>
      <c r="U32" s="1974" t="s">
        <v>274</v>
      </c>
      <c r="V32" s="1982"/>
      <c r="W32" s="1974" t="s">
        <v>280</v>
      </c>
      <c r="X32" s="1982"/>
      <c r="Y32" s="1974" t="s">
        <v>290</v>
      </c>
      <c r="Z32" s="1975"/>
      <c r="AA32" s="955"/>
      <c r="AB32" s="2015" t="s">
        <v>213</v>
      </c>
      <c r="AC32" s="2004"/>
    </row>
    <row r="33" spans="1:29" s="3" customFormat="1" x14ac:dyDescent="0.2">
      <c r="A33" s="2"/>
      <c r="B33" s="330" t="s">
        <v>70</v>
      </c>
      <c r="C33" s="184"/>
      <c r="D33" s="93"/>
      <c r="E33" s="31"/>
      <c r="F33" s="31"/>
      <c r="G33" s="239"/>
      <c r="H33" s="245"/>
      <c r="I33" s="139"/>
      <c r="J33" s="139"/>
      <c r="K33" s="239"/>
      <c r="L33" s="139"/>
      <c r="M33" s="239"/>
      <c r="N33" s="245"/>
      <c r="O33" s="139"/>
      <c r="P33" s="245"/>
      <c r="Q33" s="139"/>
      <c r="R33" s="245"/>
      <c r="S33" s="139"/>
      <c r="T33" s="245"/>
      <c r="U33" s="139"/>
      <c r="V33" s="245"/>
      <c r="W33" s="139"/>
      <c r="X33" s="245"/>
      <c r="Y33" s="139"/>
      <c r="Z33" s="141"/>
      <c r="AA33" s="955"/>
      <c r="AB33" s="28"/>
      <c r="AC33" s="930"/>
    </row>
    <row r="34" spans="1:29" s="3" customFormat="1" x14ac:dyDescent="0.2">
      <c r="A34" s="2"/>
      <c r="B34" s="331" t="s">
        <v>71</v>
      </c>
      <c r="C34" s="54"/>
      <c r="D34" s="188">
        <v>1677182</v>
      </c>
      <c r="E34" s="30"/>
      <c r="F34" s="205">
        <v>1897942</v>
      </c>
      <c r="G34" s="243"/>
      <c r="H34" s="416">
        <v>1959060</v>
      </c>
      <c r="I34" s="138"/>
      <c r="J34" s="451">
        <v>1983956</v>
      </c>
      <c r="K34" s="243"/>
      <c r="L34" s="451">
        <v>1967742</v>
      </c>
      <c r="M34" s="243"/>
      <c r="N34" s="416">
        <v>1947266</v>
      </c>
      <c r="O34" s="138"/>
      <c r="P34" s="416">
        <v>1957559</v>
      </c>
      <c r="Q34" s="138"/>
      <c r="R34" s="416">
        <v>1964697</v>
      </c>
      <c r="S34" s="138"/>
      <c r="T34" s="416">
        <v>2151004</v>
      </c>
      <c r="U34" s="138"/>
      <c r="V34" s="416">
        <f>2158744</f>
        <v>2158744</v>
      </c>
      <c r="W34" s="138"/>
      <c r="X34" s="416">
        <f>2259716</f>
        <v>2259716</v>
      </c>
      <c r="Y34" s="138"/>
      <c r="Z34" s="294">
        <v>2359829</v>
      </c>
      <c r="AA34" s="955"/>
      <c r="AB34" s="30"/>
      <c r="AC34" s="947">
        <f>AVERAGE(X34,V34,R34,T34,Z34)</f>
        <v>2178798</v>
      </c>
    </row>
    <row r="35" spans="1:29" s="3" customFormat="1" x14ac:dyDescent="0.2">
      <c r="A35" s="2"/>
      <c r="B35" s="331" t="s">
        <v>247</v>
      </c>
      <c r="C35" s="54"/>
      <c r="D35" s="188"/>
      <c r="E35" s="30"/>
      <c r="F35" s="205"/>
      <c r="G35" s="243"/>
      <c r="H35" s="416"/>
      <c r="I35" s="138"/>
      <c r="J35" s="451"/>
      <c r="K35" s="243"/>
      <c r="L35" s="451"/>
      <c r="M35" s="243"/>
      <c r="N35" s="416"/>
      <c r="O35" s="138"/>
      <c r="P35" s="416"/>
      <c r="Q35" s="138"/>
      <c r="R35" s="416"/>
      <c r="S35" s="138"/>
      <c r="T35" s="416"/>
      <c r="U35" s="138"/>
      <c r="V35" s="416"/>
      <c r="W35" s="138"/>
      <c r="X35" s="416"/>
      <c r="Y35" s="138"/>
      <c r="Z35" s="294"/>
      <c r="AA35" s="955"/>
      <c r="AB35" s="30"/>
      <c r="AC35" s="947"/>
    </row>
    <row r="36" spans="1:29" s="3" customFormat="1" ht="36" x14ac:dyDescent="0.2">
      <c r="A36" s="2"/>
      <c r="B36" s="332" t="s">
        <v>248</v>
      </c>
      <c r="C36" s="184"/>
      <c r="D36" s="189">
        <f>188359+1035231</f>
        <v>1223590</v>
      </c>
      <c r="E36" s="31"/>
      <c r="F36" s="206">
        <f>287601+1033086</f>
        <v>1320687</v>
      </c>
      <c r="G36" s="239"/>
      <c r="H36" s="369">
        <f>388185+1057753</f>
        <v>1445938</v>
      </c>
      <c r="I36" s="139"/>
      <c r="J36" s="347">
        <f>380191+1097099</f>
        <v>1477290</v>
      </c>
      <c r="K36" s="239"/>
      <c r="L36" s="347">
        <f>488606+1084249</f>
        <v>1572855</v>
      </c>
      <c r="M36" s="239"/>
      <c r="N36" s="369">
        <f>567438+1017913</f>
        <v>1585351</v>
      </c>
      <c r="O36" s="139"/>
      <c r="P36" s="369">
        <f>573944+1081008</f>
        <v>1654952</v>
      </c>
      <c r="Q36" s="139"/>
      <c r="R36" s="369">
        <f>581423+1041850</f>
        <v>1623273</v>
      </c>
      <c r="S36" s="139"/>
      <c r="T36" s="369">
        <f>442465+1103312</f>
        <v>1545777</v>
      </c>
      <c r="U36" s="139"/>
      <c r="V36" s="369">
        <f>545976+1070300</f>
        <v>1616276</v>
      </c>
      <c r="W36" s="139"/>
      <c r="X36" s="369">
        <f>583652+1081196</f>
        <v>1664848</v>
      </c>
      <c r="Y36" s="139"/>
      <c r="Z36" s="282">
        <v>1391747</v>
      </c>
      <c r="AA36" s="955"/>
      <c r="AB36" s="31"/>
      <c r="AC36" s="947">
        <f t="shared" ref="AC36:AC37" si="5">AVERAGE(X36,V36,R36,T36,Z36)</f>
        <v>1568384.2</v>
      </c>
    </row>
    <row r="37" spans="1:29" s="3" customFormat="1" x14ac:dyDescent="0.2">
      <c r="A37" s="2"/>
      <c r="B37" s="333" t="s">
        <v>72</v>
      </c>
      <c r="C37" s="187"/>
      <c r="D37" s="190">
        <f>SUM(D34:D36)</f>
        <v>2900772</v>
      </c>
      <c r="E37" s="90"/>
      <c r="F37" s="207">
        <f>SUM(F34:F36)</f>
        <v>3218629</v>
      </c>
      <c r="G37" s="262"/>
      <c r="H37" s="263">
        <f>SUM(H34:H36)</f>
        <v>3404998</v>
      </c>
      <c r="I37" s="250"/>
      <c r="J37" s="249">
        <f>SUM(J34:J36)</f>
        <v>3461246</v>
      </c>
      <c r="K37" s="262"/>
      <c r="L37" s="249">
        <f>SUM(L34:L36)</f>
        <v>3540597</v>
      </c>
      <c r="M37" s="262"/>
      <c r="N37" s="263">
        <f>SUM(N34:N36)</f>
        <v>3532617</v>
      </c>
      <c r="O37" s="250"/>
      <c r="P37" s="263">
        <f>SUM(P34:P36)</f>
        <v>3612511</v>
      </c>
      <c r="Q37" s="250"/>
      <c r="R37" s="263">
        <f>SUM(R34:R36)</f>
        <v>3587970</v>
      </c>
      <c r="S37" s="250"/>
      <c r="T37" s="263">
        <f>SUM(T34:T36)</f>
        <v>3696781</v>
      </c>
      <c r="U37" s="250"/>
      <c r="V37" s="263">
        <f>SUM(V34:V36)</f>
        <v>3775020</v>
      </c>
      <c r="W37" s="250"/>
      <c r="X37" s="263">
        <f>SUM(X34:X36)</f>
        <v>3924564</v>
      </c>
      <c r="Y37" s="250"/>
      <c r="Z37" s="149">
        <f>SUM(Z34:Z36)</f>
        <v>3751576</v>
      </c>
      <c r="AA37" s="955"/>
      <c r="AB37" s="31"/>
      <c r="AC37" s="1008">
        <f t="shared" si="5"/>
        <v>3747182.2</v>
      </c>
    </row>
    <row r="38" spans="1:29" s="3" customFormat="1" x14ac:dyDescent="0.2">
      <c r="A38" s="2"/>
      <c r="B38" s="330" t="s">
        <v>73</v>
      </c>
      <c r="C38" s="184"/>
      <c r="D38" s="189"/>
      <c r="E38" s="31"/>
      <c r="F38" s="206"/>
      <c r="G38" s="239"/>
      <c r="H38" s="369"/>
      <c r="I38" s="139"/>
      <c r="J38" s="347"/>
      <c r="K38" s="239"/>
      <c r="L38" s="347"/>
      <c r="M38" s="239"/>
      <c r="N38" s="369"/>
      <c r="O38" s="139"/>
      <c r="P38" s="369"/>
      <c r="Q38" s="139"/>
      <c r="R38" s="369"/>
      <c r="S38" s="139"/>
      <c r="T38" s="369"/>
      <c r="U38" s="139"/>
      <c r="V38" s="369"/>
      <c r="W38" s="139"/>
      <c r="X38" s="369"/>
      <c r="Y38" s="139"/>
      <c r="Z38" s="282"/>
      <c r="AA38" s="955"/>
      <c r="AB38" s="31"/>
      <c r="AC38" s="947"/>
    </row>
    <row r="39" spans="1:29" s="3" customFormat="1" x14ac:dyDescent="0.2">
      <c r="A39" s="2"/>
      <c r="B39" s="331" t="s">
        <v>71</v>
      </c>
      <c r="C39" s="184"/>
      <c r="D39" s="189"/>
      <c r="E39" s="31"/>
      <c r="F39" s="206"/>
      <c r="G39" s="239"/>
      <c r="H39" s="369"/>
      <c r="I39" s="139"/>
      <c r="J39" s="347"/>
      <c r="K39" s="239"/>
      <c r="L39" s="347"/>
      <c r="M39" s="239"/>
      <c r="N39" s="369"/>
      <c r="O39" s="139"/>
      <c r="P39" s="369"/>
      <c r="Q39" s="139"/>
      <c r="R39" s="369"/>
      <c r="S39" s="139"/>
      <c r="T39" s="369"/>
      <c r="U39" s="139"/>
      <c r="V39" s="369"/>
      <c r="W39" s="139"/>
      <c r="X39" s="369"/>
      <c r="Y39" s="139"/>
      <c r="Z39" s="282"/>
      <c r="AA39" s="955"/>
      <c r="AB39" s="31"/>
      <c r="AC39" s="947"/>
    </row>
    <row r="40" spans="1:29" s="3" customFormat="1" x14ac:dyDescent="0.2">
      <c r="A40" s="2"/>
      <c r="B40" s="331" t="s">
        <v>247</v>
      </c>
      <c r="C40" s="184"/>
      <c r="D40" s="189"/>
      <c r="E40" s="31"/>
      <c r="F40" s="206"/>
      <c r="G40" s="239"/>
      <c r="H40" s="369"/>
      <c r="I40" s="139"/>
      <c r="J40" s="347"/>
      <c r="K40" s="239"/>
      <c r="L40" s="347"/>
      <c r="M40" s="239"/>
      <c r="N40" s="369"/>
      <c r="O40" s="139"/>
      <c r="P40" s="369"/>
      <c r="Q40" s="139"/>
      <c r="R40" s="369"/>
      <c r="S40" s="139"/>
      <c r="T40" s="369"/>
      <c r="U40" s="139"/>
      <c r="V40" s="369"/>
      <c r="W40" s="139"/>
      <c r="X40" s="369"/>
      <c r="Y40" s="139"/>
      <c r="Z40" s="282"/>
      <c r="AA40" s="955"/>
      <c r="AB40" s="31"/>
      <c r="AC40" s="947"/>
    </row>
    <row r="41" spans="1:29" s="3" customFormat="1" ht="36" x14ac:dyDescent="0.2">
      <c r="A41" s="2"/>
      <c r="B41" s="332" t="s">
        <v>248</v>
      </c>
      <c r="C41" s="184"/>
      <c r="D41" s="189">
        <v>0</v>
      </c>
      <c r="E41" s="31"/>
      <c r="F41" s="206">
        <v>65060</v>
      </c>
      <c r="G41" s="239"/>
      <c r="H41" s="369">
        <v>65048</v>
      </c>
      <c r="I41" s="139"/>
      <c r="J41" s="347">
        <v>65174</v>
      </c>
      <c r="K41" s="239"/>
      <c r="L41" s="347">
        <v>65143</v>
      </c>
      <c r="M41" s="239"/>
      <c r="N41" s="369">
        <v>65108</v>
      </c>
      <c r="O41" s="139"/>
      <c r="P41" s="369">
        <v>65047</v>
      </c>
      <c r="Q41" s="139"/>
      <c r="R41" s="369">
        <v>65158</v>
      </c>
      <c r="S41" s="139"/>
      <c r="T41" s="369">
        <v>65133</v>
      </c>
      <c r="U41" s="139"/>
      <c r="V41" s="369">
        <v>65114</v>
      </c>
      <c r="W41" s="139"/>
      <c r="X41" s="369">
        <f>64982</f>
        <v>64982</v>
      </c>
      <c r="Y41" s="139"/>
      <c r="Z41" s="282">
        <v>64934</v>
      </c>
      <c r="AA41" s="955"/>
      <c r="AB41" s="31"/>
      <c r="AC41" s="947">
        <f t="shared" ref="AC41:AC43" si="6">AVERAGE(X41,V41,R41,T41,Z41)</f>
        <v>65064.2</v>
      </c>
    </row>
    <row r="42" spans="1:29" s="3" customFormat="1" x14ac:dyDescent="0.2">
      <c r="A42" s="2"/>
      <c r="B42" s="851" t="s">
        <v>74</v>
      </c>
      <c r="C42" s="262"/>
      <c r="D42" s="263">
        <f>SUM(D39:D41)</f>
        <v>0</v>
      </c>
      <c r="E42" s="90"/>
      <c r="F42" s="207">
        <f>SUM(F39:F41)</f>
        <v>65060</v>
      </c>
      <c r="G42" s="262"/>
      <c r="H42" s="263">
        <f>SUM(H39:H41)</f>
        <v>65048</v>
      </c>
      <c r="I42" s="250"/>
      <c r="J42" s="249">
        <f>SUM(J39:J41)</f>
        <v>65174</v>
      </c>
      <c r="K42" s="262"/>
      <c r="L42" s="249">
        <f>SUM(L39:L41)</f>
        <v>65143</v>
      </c>
      <c r="M42" s="262"/>
      <c r="N42" s="263">
        <f>SUM(N39:N41)</f>
        <v>65108</v>
      </c>
      <c r="O42" s="250"/>
      <c r="P42" s="263">
        <f>SUM(P39:P41)</f>
        <v>65047</v>
      </c>
      <c r="Q42" s="250"/>
      <c r="R42" s="263">
        <f>SUM(R39:R41)</f>
        <v>65158</v>
      </c>
      <c r="S42" s="250"/>
      <c r="T42" s="263">
        <f>SUM(T39:T41)</f>
        <v>65133</v>
      </c>
      <c r="U42" s="250"/>
      <c r="V42" s="263">
        <f>SUM(V39:V41)</f>
        <v>65114</v>
      </c>
      <c r="W42" s="250"/>
      <c r="X42" s="263">
        <f>SUM(X39:X41)</f>
        <v>64982</v>
      </c>
      <c r="Y42" s="250"/>
      <c r="Z42" s="149">
        <f>SUM(Z39:Z41)</f>
        <v>64934</v>
      </c>
      <c r="AA42" s="955"/>
      <c r="AB42" s="31"/>
      <c r="AC42" s="1008">
        <f t="shared" si="6"/>
        <v>65064.2</v>
      </c>
    </row>
    <row r="43" spans="1:29" s="3" customFormat="1" ht="13.5" thickBot="1" x14ac:dyDescent="0.25">
      <c r="A43" s="2"/>
      <c r="B43" s="1328" t="s">
        <v>176</v>
      </c>
      <c r="C43" s="239"/>
      <c r="D43" s="263">
        <f>SUM(D37,D42)</f>
        <v>2900772</v>
      </c>
      <c r="E43" s="31"/>
      <c r="F43" s="207">
        <f>SUM(F37,F42)</f>
        <v>3283689</v>
      </c>
      <c r="G43" s="239"/>
      <c r="H43" s="263">
        <f>SUM(H37,H42)</f>
        <v>3470046</v>
      </c>
      <c r="I43" s="139"/>
      <c r="J43" s="249">
        <f>SUM(J37,J42)</f>
        <v>3526420</v>
      </c>
      <c r="K43" s="239"/>
      <c r="L43" s="249">
        <f>SUM(L37,L42)</f>
        <v>3605740</v>
      </c>
      <c r="M43" s="239"/>
      <c r="N43" s="263">
        <f>SUM(N37,N42)</f>
        <v>3597725</v>
      </c>
      <c r="O43" s="139"/>
      <c r="P43" s="263">
        <f>SUM(P37,P42)</f>
        <v>3677558</v>
      </c>
      <c r="Q43" s="139"/>
      <c r="R43" s="263">
        <f>SUM(R37,R42)</f>
        <v>3653128</v>
      </c>
      <c r="S43" s="139"/>
      <c r="T43" s="263">
        <f>SUM(T37,T42)</f>
        <v>3761914</v>
      </c>
      <c r="U43" s="139"/>
      <c r="V43" s="605">
        <f>SUM(V37,V42)</f>
        <v>3840134</v>
      </c>
      <c r="W43" s="139"/>
      <c r="X43" s="263">
        <f>SUM(X37,X42)</f>
        <v>3989546</v>
      </c>
      <c r="Y43" s="139"/>
      <c r="Z43" s="149">
        <f>SUM(Z37,Z42)</f>
        <v>3816510</v>
      </c>
      <c r="AA43" s="955"/>
      <c r="AB43" s="327"/>
      <c r="AC43" s="1008">
        <f t="shared" si="6"/>
        <v>3812246.4</v>
      </c>
    </row>
    <row r="44" spans="1:29" s="3" customFormat="1" ht="12" x14ac:dyDescent="0.2">
      <c r="B44" s="586" t="s">
        <v>259</v>
      </c>
      <c r="C44" s="265"/>
      <c r="D44" s="248"/>
      <c r="E44" s="36"/>
      <c r="F44" s="36"/>
      <c r="G44" s="265"/>
      <c r="H44" s="248"/>
      <c r="I44" s="151"/>
      <c r="J44" s="151"/>
      <c r="K44" s="265"/>
      <c r="L44" s="151"/>
      <c r="M44" s="265"/>
      <c r="N44" s="248"/>
      <c r="O44" s="151"/>
      <c r="P44" s="248"/>
      <c r="Q44" s="151"/>
      <c r="R44" s="248"/>
      <c r="S44" s="151"/>
      <c r="T44" s="248"/>
      <c r="U44" s="151"/>
      <c r="V44" s="248"/>
      <c r="W44" s="151"/>
      <c r="X44" s="248"/>
      <c r="Y44" s="151"/>
      <c r="Z44" s="152"/>
      <c r="AA44" s="955"/>
      <c r="AB44" s="28"/>
      <c r="AC44" s="978"/>
    </row>
    <row r="45" spans="1:29" x14ac:dyDescent="0.2">
      <c r="A45" s="3"/>
      <c r="B45" s="161" t="s">
        <v>14</v>
      </c>
      <c r="C45" s="266"/>
      <c r="D45" s="460">
        <f>508760+1389810</f>
        <v>1898570</v>
      </c>
      <c r="E45" s="38"/>
      <c r="F45" s="597">
        <v>2236397</v>
      </c>
      <c r="G45" s="598"/>
      <c r="H45" s="599">
        <v>2453314.73</v>
      </c>
      <c r="I45" s="600"/>
      <c r="J45" s="597">
        <v>2326133.0699999998</v>
      </c>
      <c r="K45" s="266"/>
      <c r="L45" s="823">
        <f>203094+2056501+14724</f>
        <v>2274319</v>
      </c>
      <c r="M45" s="266"/>
      <c r="N45" s="1140">
        <v>2258866</v>
      </c>
      <c r="O45" s="153"/>
      <c r="P45" s="1140">
        <v>2243957</v>
      </c>
      <c r="Q45" s="525"/>
      <c r="R45" s="510">
        <v>1924137</v>
      </c>
      <c r="S45" s="252"/>
      <c r="T45" s="510">
        <v>2281367</v>
      </c>
      <c r="U45" s="252"/>
      <c r="V45" s="510">
        <v>2319242</v>
      </c>
      <c r="W45" s="252"/>
      <c r="X45" s="510">
        <v>2694201.8</v>
      </c>
      <c r="Y45" s="252"/>
      <c r="Z45" s="1584"/>
      <c r="AA45" s="1031"/>
      <c r="AB45" s="30"/>
      <c r="AC45" s="949">
        <f>AVERAGE(X45,V45,R45,T45,P45)</f>
        <v>2292580.96</v>
      </c>
    </row>
    <row r="46" spans="1:29" ht="13.5" thickBot="1" x14ac:dyDescent="0.25">
      <c r="A46" s="3"/>
      <c r="B46" s="1265" t="s">
        <v>15</v>
      </c>
      <c r="C46" s="268"/>
      <c r="D46" s="467">
        <v>5687</v>
      </c>
      <c r="E46" s="40"/>
      <c r="F46" s="601">
        <f>612+379</f>
        <v>991</v>
      </c>
      <c r="G46" s="602"/>
      <c r="H46" s="517">
        <f>3659+18357</f>
        <v>22016</v>
      </c>
      <c r="I46" s="237"/>
      <c r="J46" s="516">
        <f>1556+256</f>
        <v>1812</v>
      </c>
      <c r="K46" s="596"/>
      <c r="L46" s="827">
        <f>-50+8533</f>
        <v>8483</v>
      </c>
      <c r="M46" s="596"/>
      <c r="N46" s="509">
        <v>0</v>
      </c>
      <c r="O46" s="237"/>
      <c r="P46" s="509">
        <v>0</v>
      </c>
      <c r="Q46" s="1481"/>
      <c r="R46" s="509">
        <v>0</v>
      </c>
      <c r="S46" s="253"/>
      <c r="T46" s="509">
        <v>39973.279999999999</v>
      </c>
      <c r="U46" s="253"/>
      <c r="V46" s="509">
        <v>0</v>
      </c>
      <c r="W46" s="253"/>
      <c r="X46" s="509">
        <v>0</v>
      </c>
      <c r="Y46" s="253"/>
      <c r="Z46" s="1580"/>
      <c r="AA46" s="1031"/>
      <c r="AB46" s="113"/>
      <c r="AC46" s="949">
        <f>AVERAGE(X46,V46,R46,T46,P46)</f>
        <v>7994.6559999999999</v>
      </c>
    </row>
    <row r="47" spans="1:29" x14ac:dyDescent="0.2">
      <c r="A47" s="3"/>
      <c r="B47" s="1553"/>
      <c r="C47" s="308" t="s">
        <v>133</v>
      </c>
      <c r="D47" s="417" t="s">
        <v>139</v>
      </c>
      <c r="E47" s="166" t="s">
        <v>133</v>
      </c>
      <c r="F47" s="84" t="s">
        <v>139</v>
      </c>
      <c r="G47" s="308" t="s">
        <v>133</v>
      </c>
      <c r="H47" s="417" t="s">
        <v>139</v>
      </c>
      <c r="I47" s="414" t="s">
        <v>133</v>
      </c>
      <c r="J47" s="352" t="s">
        <v>139</v>
      </c>
      <c r="K47" s="308" t="s">
        <v>133</v>
      </c>
      <c r="L47" s="352" t="s">
        <v>139</v>
      </c>
      <c r="M47" s="308" t="s">
        <v>133</v>
      </c>
      <c r="N47" s="417" t="s">
        <v>139</v>
      </c>
      <c r="O47" s="414" t="s">
        <v>133</v>
      </c>
      <c r="P47" s="417" t="s">
        <v>139</v>
      </c>
      <c r="Q47" s="414" t="s">
        <v>133</v>
      </c>
      <c r="R47" s="417" t="s">
        <v>139</v>
      </c>
      <c r="S47" s="414" t="s">
        <v>133</v>
      </c>
      <c r="T47" s="417" t="s">
        <v>139</v>
      </c>
      <c r="U47" s="414" t="s">
        <v>133</v>
      </c>
      <c r="V47" s="417" t="s">
        <v>139</v>
      </c>
      <c r="W47" s="414" t="s">
        <v>133</v>
      </c>
      <c r="X47" s="417" t="s">
        <v>139</v>
      </c>
      <c r="Y47" s="414" t="s">
        <v>133</v>
      </c>
      <c r="Z47" s="295" t="s">
        <v>139</v>
      </c>
      <c r="AA47" s="1031"/>
      <c r="AB47" s="323" t="s">
        <v>133</v>
      </c>
      <c r="AC47" s="295" t="s">
        <v>139</v>
      </c>
    </row>
    <row r="48" spans="1:29" s="3" customFormat="1" ht="11.45" customHeight="1" x14ac:dyDescent="0.2">
      <c r="B48" s="80" t="s">
        <v>67</v>
      </c>
      <c r="C48" s="475">
        <v>0</v>
      </c>
      <c r="D48" s="1141">
        <v>0</v>
      </c>
      <c r="E48" s="108">
        <v>1</v>
      </c>
      <c r="F48" s="1139">
        <v>25512</v>
      </c>
      <c r="G48" s="476">
        <v>1</v>
      </c>
      <c r="H48" s="1140">
        <v>130134</v>
      </c>
      <c r="I48" s="477">
        <v>3</v>
      </c>
      <c r="J48" s="1123">
        <v>87600</v>
      </c>
      <c r="K48" s="476">
        <v>3</v>
      </c>
      <c r="L48" s="1123">
        <v>255500</v>
      </c>
      <c r="M48" s="476">
        <v>3</v>
      </c>
      <c r="N48" s="510">
        <v>235131</v>
      </c>
      <c r="O48" s="476">
        <v>2</v>
      </c>
      <c r="P48" s="510">
        <v>231434</v>
      </c>
      <c r="Q48" s="476">
        <v>3</v>
      </c>
      <c r="R48" s="510">
        <v>94522</v>
      </c>
      <c r="S48" s="476">
        <v>1</v>
      </c>
      <c r="T48" s="510">
        <v>192258</v>
      </c>
      <c r="U48" s="476">
        <v>1</v>
      </c>
      <c r="V48" s="510">
        <v>94016</v>
      </c>
      <c r="W48" s="476">
        <v>3</v>
      </c>
      <c r="X48" s="510">
        <v>73545</v>
      </c>
      <c r="Y48" s="1592"/>
      <c r="Z48" s="1593"/>
      <c r="AA48" s="1124"/>
      <c r="AB48" s="108">
        <f>AVERAGE(W48,U48,Q48,S48,O48)</f>
        <v>2</v>
      </c>
      <c r="AC48" s="1125">
        <f>AVERAGE(X48,V48,R48,T48,P48)</f>
        <v>137155</v>
      </c>
    </row>
    <row r="49" spans="1:29" s="3" customFormat="1" ht="11.45" customHeight="1" x14ac:dyDescent="0.2">
      <c r="B49" s="80"/>
      <c r="C49" s="916"/>
      <c r="D49" s="1136"/>
      <c r="E49" s="838"/>
      <c r="F49" s="1126"/>
      <c r="G49" s="551"/>
      <c r="H49" s="1127"/>
      <c r="I49" s="255"/>
      <c r="J49" s="1128"/>
      <c r="K49" s="551"/>
      <c r="L49" s="1129"/>
      <c r="M49" s="551"/>
      <c r="N49" s="545"/>
      <c r="O49" s="551"/>
      <c r="P49" s="545"/>
      <c r="Q49" s="551"/>
      <c r="R49" s="545"/>
      <c r="S49" s="551"/>
      <c r="T49" s="545"/>
      <c r="U49" s="551"/>
      <c r="V49" s="545"/>
      <c r="W49" s="551"/>
      <c r="X49" s="545"/>
      <c r="Y49" s="1594"/>
      <c r="Z49" s="1595"/>
      <c r="AA49" s="1124"/>
      <c r="AB49" s="1013"/>
      <c r="AC49" s="1120"/>
    </row>
    <row r="50" spans="1:29" s="3" customFormat="1" thickBot="1" x14ac:dyDescent="0.25">
      <c r="B50" s="167" t="s">
        <v>16</v>
      </c>
      <c r="C50" s="913">
        <v>2</v>
      </c>
      <c r="D50" s="1137">
        <v>63597</v>
      </c>
      <c r="E50" s="839">
        <v>1</v>
      </c>
      <c r="F50" s="322">
        <v>18511.72</v>
      </c>
      <c r="G50" s="552">
        <v>0</v>
      </c>
      <c r="H50" s="442">
        <v>9520</v>
      </c>
      <c r="I50" s="550">
        <v>3</v>
      </c>
      <c r="J50" s="456">
        <v>128516</v>
      </c>
      <c r="K50" s="552">
        <v>1</v>
      </c>
      <c r="L50" s="453">
        <v>656180</v>
      </c>
      <c r="M50" s="552">
        <v>1</v>
      </c>
      <c r="N50" s="509">
        <v>38873</v>
      </c>
      <c r="O50" s="552">
        <v>0</v>
      </c>
      <c r="P50" s="509">
        <v>0</v>
      </c>
      <c r="Q50" s="552">
        <v>1</v>
      </c>
      <c r="R50" s="509">
        <v>89924</v>
      </c>
      <c r="S50" s="552">
        <v>1</v>
      </c>
      <c r="T50" s="509">
        <v>388368</v>
      </c>
      <c r="U50" s="552">
        <v>2</v>
      </c>
      <c r="V50" s="509">
        <v>379467</v>
      </c>
      <c r="W50" s="552">
        <v>4</v>
      </c>
      <c r="X50" s="509">
        <v>835043</v>
      </c>
      <c r="Y50" s="1596"/>
      <c r="Z50" s="1484"/>
      <c r="AA50" s="1124"/>
      <c r="AB50" s="839">
        <f>AVERAGE(W50,U50,Q50,S50,O50)</f>
        <v>1.6</v>
      </c>
      <c r="AC50" s="1121">
        <f>AVERAGE(X50,V50,R50,T50,P50)</f>
        <v>338560.4</v>
      </c>
    </row>
    <row r="51" spans="1:29" s="3" customFormat="1" thickTop="1" x14ac:dyDescent="0.2">
      <c r="B51" s="81" t="s">
        <v>84</v>
      </c>
      <c r="C51" s="199"/>
      <c r="D51" s="209"/>
      <c r="E51" s="45"/>
      <c r="F51" s="323"/>
      <c r="G51" s="269"/>
      <c r="H51" s="419"/>
      <c r="I51" s="156"/>
      <c r="J51" s="307"/>
      <c r="K51" s="269"/>
      <c r="L51" s="307"/>
      <c r="M51" s="269"/>
      <c r="N51" s="419"/>
      <c r="O51" s="156"/>
      <c r="P51" s="419"/>
      <c r="Q51" s="156"/>
      <c r="R51" s="419"/>
      <c r="S51" s="156"/>
      <c r="T51" s="419"/>
      <c r="U51" s="156"/>
      <c r="V51" s="419"/>
      <c r="W51" s="156"/>
      <c r="X51" s="419"/>
      <c r="Y51" s="156"/>
      <c r="Z51" s="158"/>
      <c r="AA51" s="955"/>
      <c r="AB51" s="109"/>
      <c r="AC51" s="1030"/>
    </row>
    <row r="52" spans="1:29" s="3" customFormat="1" ht="12" x14ac:dyDescent="0.2">
      <c r="B52" s="337" t="s">
        <v>35</v>
      </c>
      <c r="C52" s="201"/>
      <c r="D52" s="210"/>
      <c r="E52" s="97"/>
      <c r="F52" s="34"/>
      <c r="G52" s="271"/>
      <c r="H52" s="420"/>
      <c r="I52" s="157"/>
      <c r="J52" s="135"/>
      <c r="K52" s="271"/>
      <c r="L52" s="135"/>
      <c r="M52" s="271"/>
      <c r="N52" s="420"/>
      <c r="O52" s="157"/>
      <c r="P52" s="420"/>
      <c r="Q52" s="157"/>
      <c r="R52" s="420"/>
      <c r="S52" s="157"/>
      <c r="T52" s="420"/>
      <c r="U52" s="157"/>
      <c r="V52" s="420"/>
      <c r="W52" s="157"/>
      <c r="X52" s="420"/>
      <c r="Y52" s="157"/>
      <c r="Z52" s="287"/>
      <c r="AA52" s="955"/>
      <c r="AB52" s="720"/>
      <c r="AC52" s="1011"/>
    </row>
    <row r="53" spans="1:29" s="3" customFormat="1" ht="12" x14ac:dyDescent="0.2">
      <c r="B53" s="338" t="s">
        <v>85</v>
      </c>
      <c r="C53" s="202"/>
      <c r="D53" s="232">
        <v>88129.1</v>
      </c>
      <c r="E53" s="35"/>
      <c r="F53" s="345">
        <v>64621.599999999999</v>
      </c>
      <c r="G53" s="272"/>
      <c r="H53" s="503">
        <v>197770.12</v>
      </c>
      <c r="I53" s="254"/>
      <c r="J53" s="503">
        <v>73254.06</v>
      </c>
      <c r="K53" s="272"/>
      <c r="L53" s="811">
        <v>90760.6</v>
      </c>
      <c r="M53" s="272"/>
      <c r="N53" s="548">
        <v>54907</v>
      </c>
      <c r="O53" s="254"/>
      <c r="P53" s="548">
        <v>123558</v>
      </c>
      <c r="Q53" s="254"/>
      <c r="R53" s="548">
        <v>361400</v>
      </c>
      <c r="S53" s="254"/>
      <c r="T53" s="548">
        <v>74928.2</v>
      </c>
      <c r="U53" s="254"/>
      <c r="V53" s="548">
        <v>124688.31</v>
      </c>
      <c r="W53" s="254"/>
      <c r="X53" s="548">
        <v>156352.73000000001</v>
      </c>
      <c r="Y53" s="254"/>
      <c r="Z53" s="1581"/>
      <c r="AA53" s="955"/>
      <c r="AB53" s="1013"/>
      <c r="AC53" s="949">
        <f t="shared" ref="AC53:AC54" si="7">AVERAGE(X53,V53,R53,T53,P53)</f>
        <v>168185.448</v>
      </c>
    </row>
    <row r="54" spans="1:29" s="3" customFormat="1" thickBot="1" x14ac:dyDescent="0.25">
      <c r="B54" s="361" t="s">
        <v>86</v>
      </c>
      <c r="C54" s="204"/>
      <c r="D54" s="211">
        <f>820521.78+436518.22</f>
        <v>1257040</v>
      </c>
      <c r="E54" s="37"/>
      <c r="F54" s="350">
        <f>440212.41+852104.04</f>
        <v>1292316.45</v>
      </c>
      <c r="G54" s="274"/>
      <c r="H54" s="536">
        <v>1372561.39</v>
      </c>
      <c r="I54" s="274"/>
      <c r="J54" s="536">
        <v>1546491.5</v>
      </c>
      <c r="K54" s="274"/>
      <c r="L54" s="536">
        <v>1524715.84</v>
      </c>
      <c r="M54" s="274"/>
      <c r="N54" s="1236">
        <v>1136496.53</v>
      </c>
      <c r="O54" s="260"/>
      <c r="P54" s="1236">
        <v>1156178</v>
      </c>
      <c r="Q54" s="260"/>
      <c r="R54" s="1236">
        <v>1279484</v>
      </c>
      <c r="S54" s="260"/>
      <c r="T54" s="1236">
        <v>1175990.58</v>
      </c>
      <c r="U54" s="260"/>
      <c r="V54" s="1236">
        <v>1246718.81</v>
      </c>
      <c r="W54" s="260"/>
      <c r="X54" s="1236">
        <v>1405369.4</v>
      </c>
      <c r="Y54" s="260"/>
      <c r="Z54" s="1582"/>
      <c r="AB54" s="1015"/>
      <c r="AC54" s="1024">
        <f t="shared" si="7"/>
        <v>1252748.1580000001</v>
      </c>
    </row>
    <row r="55" spans="1:29" ht="13.5" thickTop="1" x14ac:dyDescent="0.2">
      <c r="A55" s="3"/>
      <c r="B55" s="96"/>
      <c r="C55" s="97"/>
      <c r="D55" s="98"/>
      <c r="E55" s="97"/>
      <c r="F55" s="34"/>
      <c r="G55" s="157"/>
      <c r="H55" s="135"/>
      <c r="I55" s="157"/>
      <c r="J55" s="135"/>
      <c r="K55" s="157"/>
      <c r="L55" s="135"/>
      <c r="M55" s="157"/>
      <c r="N55" s="135"/>
      <c r="O55" s="157"/>
      <c r="P55" s="135"/>
      <c r="Q55" s="157"/>
      <c r="R55" s="135"/>
      <c r="S55" s="157"/>
      <c r="T55" s="135"/>
      <c r="U55" s="157"/>
      <c r="V55" s="135"/>
      <c r="W55" s="157"/>
      <c r="X55" s="135"/>
      <c r="Y55" s="157"/>
      <c r="Z55" s="135"/>
    </row>
    <row r="56" spans="1:29" x14ac:dyDescent="0.2">
      <c r="A56" s="2" t="s">
        <v>76</v>
      </c>
      <c r="B56" s="96"/>
      <c r="C56" s="97"/>
      <c r="D56" s="98"/>
      <c r="E56" s="97"/>
      <c r="F56" s="34"/>
      <c r="G56" s="157"/>
      <c r="H56" s="135"/>
      <c r="I56" s="157"/>
      <c r="J56" s="135"/>
      <c r="K56" s="157"/>
      <c r="L56" s="135"/>
      <c r="M56" s="157"/>
      <c r="N56" s="135"/>
      <c r="O56" s="157"/>
      <c r="P56" s="135"/>
      <c r="Q56" s="157"/>
      <c r="R56" s="135"/>
      <c r="S56" s="157"/>
      <c r="T56" s="135"/>
      <c r="U56" s="157"/>
      <c r="V56" s="135"/>
      <c r="W56" s="157"/>
      <c r="X56" s="135"/>
      <c r="Y56" s="157"/>
      <c r="Z56" s="135"/>
    </row>
    <row r="57" spans="1:29" ht="13.5" thickBot="1" x14ac:dyDescent="0.25">
      <c r="A57" s="3"/>
      <c r="B57" s="96"/>
      <c r="C57" s="97"/>
      <c r="D57" s="98"/>
      <c r="E57" s="97"/>
      <c r="F57" s="34"/>
      <c r="G57" s="157"/>
      <c r="H57" s="135"/>
      <c r="I57" s="157"/>
      <c r="J57" s="135"/>
      <c r="K57" s="157"/>
      <c r="L57" s="135"/>
      <c r="M57" s="157"/>
      <c r="N57" s="135"/>
      <c r="O57" s="157"/>
      <c r="P57" s="135"/>
      <c r="Q57" s="157"/>
      <c r="R57" s="135"/>
      <c r="S57" s="157"/>
      <c r="T57" s="135"/>
      <c r="U57" s="157"/>
      <c r="V57" s="135"/>
      <c r="W57" s="157"/>
      <c r="X57" s="135"/>
      <c r="Y57" s="157"/>
      <c r="Z57" s="135"/>
    </row>
    <row r="58" spans="1:29" s="3" customFormat="1" ht="14.25" customHeight="1" thickTop="1" thickBot="1" x14ac:dyDescent="0.25">
      <c r="B58" s="340"/>
      <c r="C58" s="2013" t="s">
        <v>49</v>
      </c>
      <c r="D58" s="2014"/>
      <c r="E58" s="2015" t="s">
        <v>50</v>
      </c>
      <c r="F58" s="2015"/>
      <c r="G58" s="2002" t="s">
        <v>141</v>
      </c>
      <c r="H58" s="1982"/>
      <c r="I58" s="1974" t="s">
        <v>152</v>
      </c>
      <c r="J58" s="1974"/>
      <c r="K58" s="2002" t="s">
        <v>154</v>
      </c>
      <c r="L58" s="1974"/>
      <c r="M58" s="2002" t="s">
        <v>171</v>
      </c>
      <c r="N58" s="1982"/>
      <c r="O58" s="1974" t="s">
        <v>227</v>
      </c>
      <c r="P58" s="1982"/>
      <c r="Q58" s="1974" t="s">
        <v>237</v>
      </c>
      <c r="R58" s="1982"/>
      <c r="S58" s="1974" t="s">
        <v>272</v>
      </c>
      <c r="T58" s="1982"/>
      <c r="U58" s="1974" t="s">
        <v>274</v>
      </c>
      <c r="V58" s="1982"/>
      <c r="W58" s="1974" t="s">
        <v>280</v>
      </c>
      <c r="X58" s="1982"/>
      <c r="Y58" s="1974" t="s">
        <v>290</v>
      </c>
      <c r="Z58" s="1975"/>
      <c r="AB58" s="2003" t="s">
        <v>213</v>
      </c>
      <c r="AC58" s="2004"/>
    </row>
    <row r="59" spans="1:29" s="3" customFormat="1" ht="12" x14ac:dyDescent="0.2">
      <c r="B59" s="73" t="s">
        <v>53</v>
      </c>
      <c r="C59" s="54"/>
      <c r="D59" s="92"/>
      <c r="E59" s="30"/>
      <c r="F59" s="30"/>
      <c r="G59" s="243"/>
      <c r="H59" s="244"/>
      <c r="I59" s="138"/>
      <c r="J59" s="138"/>
      <c r="K59" s="243"/>
      <c r="L59" s="138"/>
      <c r="M59" s="243"/>
      <c r="N59" s="244"/>
      <c r="O59" s="138"/>
      <c r="P59" s="244"/>
      <c r="Q59" s="138"/>
      <c r="R59" s="244"/>
      <c r="S59" s="138"/>
      <c r="T59" s="244"/>
      <c r="U59" s="138"/>
      <c r="V59" s="244"/>
      <c r="W59" s="138"/>
      <c r="X59" s="244"/>
      <c r="Y59" s="138"/>
      <c r="Z59" s="140"/>
      <c r="AB59" s="831"/>
      <c r="AC59" s="930"/>
    </row>
    <row r="60" spans="1:29" s="3" customFormat="1" ht="12" x14ac:dyDescent="0.2">
      <c r="B60" s="74" t="s">
        <v>54</v>
      </c>
      <c r="C60" s="184"/>
      <c r="D60" s="165"/>
      <c r="E60" s="31"/>
      <c r="F60" s="171"/>
      <c r="G60" s="239"/>
      <c r="H60" s="261"/>
      <c r="I60" s="139"/>
      <c r="J60" s="183"/>
      <c r="K60" s="239"/>
      <c r="L60" s="183"/>
      <c r="M60" s="239"/>
      <c r="N60" s="261"/>
      <c r="O60" s="139"/>
      <c r="P60" s="261"/>
      <c r="Q60" s="139"/>
      <c r="R60" s="261"/>
      <c r="S60" s="139"/>
      <c r="T60" s="261"/>
      <c r="U60" s="139"/>
      <c r="V60" s="261"/>
      <c r="W60" s="139"/>
      <c r="X60" s="261"/>
      <c r="Y60" s="139"/>
      <c r="Z60" s="142"/>
      <c r="AB60" s="24"/>
      <c r="AC60" s="579"/>
    </row>
    <row r="61" spans="1:29" s="3" customFormat="1" ht="12" x14ac:dyDescent="0.2">
      <c r="B61" s="75" t="s">
        <v>55</v>
      </c>
      <c r="C61" s="184"/>
      <c r="D61" s="165">
        <v>19</v>
      </c>
      <c r="E61" s="31"/>
      <c r="F61" s="171">
        <v>22</v>
      </c>
      <c r="G61" s="239"/>
      <c r="H61" s="261">
        <v>20</v>
      </c>
      <c r="I61" s="139"/>
      <c r="J61" s="183">
        <v>19</v>
      </c>
      <c r="K61" s="239"/>
      <c r="L61" s="183">
        <v>19</v>
      </c>
      <c r="M61" s="239"/>
      <c r="N61" s="261">
        <v>19</v>
      </c>
      <c r="O61" s="139"/>
      <c r="P61" s="261">
        <v>19</v>
      </c>
      <c r="Q61" s="139"/>
      <c r="R61" s="261">
        <v>16</v>
      </c>
      <c r="S61" s="139"/>
      <c r="T61" s="261">
        <v>22</v>
      </c>
      <c r="U61" s="139"/>
      <c r="V61" s="261">
        <v>21</v>
      </c>
      <c r="W61" s="139"/>
      <c r="X61" s="261">
        <v>24</v>
      </c>
      <c r="Y61" s="139"/>
      <c r="Z61" s="142">
        <v>23</v>
      </c>
      <c r="AB61" s="12"/>
      <c r="AC61" s="1113">
        <f>AVERAGE(X61,V61,R61,T61,Z61)</f>
        <v>21.2</v>
      </c>
    </row>
    <row r="62" spans="1:29" s="3" customFormat="1" ht="12" x14ac:dyDescent="0.2">
      <c r="B62" s="75" t="s">
        <v>181</v>
      </c>
      <c r="C62" s="184"/>
      <c r="D62" s="165">
        <v>5</v>
      </c>
      <c r="E62" s="31"/>
      <c r="F62" s="171">
        <v>4</v>
      </c>
      <c r="G62" s="239"/>
      <c r="H62" s="261">
        <v>6</v>
      </c>
      <c r="I62" s="139"/>
      <c r="J62" s="183">
        <v>6</v>
      </c>
      <c r="K62" s="239"/>
      <c r="L62" s="183">
        <v>8</v>
      </c>
      <c r="M62" s="239"/>
      <c r="N62" s="261">
        <v>6</v>
      </c>
      <c r="O62" s="139"/>
      <c r="P62" s="261">
        <v>2</v>
      </c>
      <c r="Q62" s="139"/>
      <c r="R62" s="261">
        <v>2</v>
      </c>
      <c r="S62" s="139"/>
      <c r="T62" s="261">
        <v>0</v>
      </c>
      <c r="U62" s="139"/>
      <c r="V62" s="261">
        <v>1</v>
      </c>
      <c r="W62" s="139"/>
      <c r="X62" s="261">
        <v>3</v>
      </c>
      <c r="Y62" s="139"/>
      <c r="Z62" s="142">
        <v>2</v>
      </c>
      <c r="AB62" s="12"/>
      <c r="AC62" s="1113">
        <f t="shared" ref="AC62:AC66" si="8">AVERAGE(X62,V62,R62,T62,Z62)</f>
        <v>1.6</v>
      </c>
    </row>
    <row r="63" spans="1:29" s="3" customFormat="1" ht="12" x14ac:dyDescent="0.2">
      <c r="B63" s="74" t="s">
        <v>57</v>
      </c>
      <c r="C63" s="184"/>
      <c r="D63" s="94"/>
      <c r="E63" s="31"/>
      <c r="F63" s="39"/>
      <c r="G63" s="239"/>
      <c r="H63" s="240"/>
      <c r="I63" s="139"/>
      <c r="J63" s="241"/>
      <c r="K63" s="239"/>
      <c r="L63" s="241"/>
      <c r="M63" s="239"/>
      <c r="N63" s="240"/>
      <c r="O63" s="139"/>
      <c r="P63" s="240"/>
      <c r="Q63" s="139"/>
      <c r="R63" s="240"/>
      <c r="S63" s="139"/>
      <c r="T63" s="240"/>
      <c r="U63" s="139"/>
      <c r="V63" s="240"/>
      <c r="W63" s="139"/>
      <c r="X63" s="240"/>
      <c r="Y63" s="139"/>
      <c r="Z63" s="143"/>
      <c r="AB63" s="12"/>
      <c r="AC63" s="1113"/>
    </row>
    <row r="64" spans="1:29" s="3" customFormat="1" ht="12" x14ac:dyDescent="0.2">
      <c r="B64" s="75" t="s">
        <v>55</v>
      </c>
      <c r="C64" s="184"/>
      <c r="D64" s="94">
        <v>0</v>
      </c>
      <c r="E64" s="31"/>
      <c r="F64" s="39">
        <v>0</v>
      </c>
      <c r="G64" s="239"/>
      <c r="H64" s="240">
        <v>0</v>
      </c>
      <c r="I64" s="139"/>
      <c r="J64" s="241">
        <v>1</v>
      </c>
      <c r="K64" s="239"/>
      <c r="L64" s="241">
        <v>0</v>
      </c>
      <c r="M64" s="239"/>
      <c r="N64" s="240">
        <v>0</v>
      </c>
      <c r="O64" s="139"/>
      <c r="P64" s="240">
        <v>0</v>
      </c>
      <c r="Q64" s="139"/>
      <c r="R64" s="240">
        <v>0</v>
      </c>
      <c r="S64" s="139"/>
      <c r="T64" s="240">
        <v>0</v>
      </c>
      <c r="U64" s="139"/>
      <c r="V64" s="240">
        <v>0</v>
      </c>
      <c r="W64" s="139"/>
      <c r="X64" s="240">
        <v>0</v>
      </c>
      <c r="Y64" s="139"/>
      <c r="Z64" s="143">
        <v>0</v>
      </c>
      <c r="AB64" s="12"/>
      <c r="AC64" s="1113">
        <f t="shared" si="8"/>
        <v>0</v>
      </c>
    </row>
    <row r="65" spans="2:31" s="3" customFormat="1" ht="12" x14ac:dyDescent="0.2">
      <c r="B65" s="341" t="s">
        <v>181</v>
      </c>
      <c r="C65" s="184"/>
      <c r="D65" s="94">
        <v>0</v>
      </c>
      <c r="E65" s="31"/>
      <c r="F65" s="39">
        <v>0</v>
      </c>
      <c r="G65" s="239"/>
      <c r="H65" s="240">
        <v>0</v>
      </c>
      <c r="I65" s="139"/>
      <c r="J65" s="241">
        <v>0</v>
      </c>
      <c r="K65" s="239"/>
      <c r="L65" s="241">
        <v>0</v>
      </c>
      <c r="M65" s="239"/>
      <c r="N65" s="240">
        <v>0</v>
      </c>
      <c r="O65" s="139"/>
      <c r="P65" s="240">
        <v>0</v>
      </c>
      <c r="Q65" s="139"/>
      <c r="R65" s="240">
        <v>0</v>
      </c>
      <c r="S65" s="139"/>
      <c r="T65" s="240">
        <v>0</v>
      </c>
      <c r="U65" s="139"/>
      <c r="V65" s="240">
        <v>0</v>
      </c>
      <c r="W65" s="139"/>
      <c r="X65" s="240">
        <v>0</v>
      </c>
      <c r="Y65" s="139"/>
      <c r="Z65" s="143">
        <v>0</v>
      </c>
      <c r="AB65" s="12"/>
      <c r="AC65" s="1113">
        <f t="shared" si="8"/>
        <v>0</v>
      </c>
    </row>
    <row r="66" spans="2:31" s="3" customFormat="1" thickBot="1" x14ac:dyDescent="0.25">
      <c r="B66" s="79" t="s">
        <v>13</v>
      </c>
      <c r="C66" s="233"/>
      <c r="D66" s="234">
        <f>SUM(D61:D65)</f>
        <v>24</v>
      </c>
      <c r="E66" s="107"/>
      <c r="F66" s="106">
        <f>SUM(F61:F65)</f>
        <v>26</v>
      </c>
      <c r="G66" s="297"/>
      <c r="H66" s="427">
        <v>26</v>
      </c>
      <c r="I66" s="426"/>
      <c r="J66" s="454">
        <f>SUM(J61:J65)</f>
        <v>26</v>
      </c>
      <c r="K66" s="297"/>
      <c r="L66" s="454">
        <f>SUM(L61:L65)</f>
        <v>27</v>
      </c>
      <c r="M66" s="297"/>
      <c r="N66" s="427">
        <f>SUM(N61:N65)</f>
        <v>25</v>
      </c>
      <c r="O66" s="426"/>
      <c r="P66" s="427">
        <f>SUM(P61:P65)</f>
        <v>21</v>
      </c>
      <c r="Q66" s="426"/>
      <c r="R66" s="427">
        <f>SUM(R61:R65)</f>
        <v>18</v>
      </c>
      <c r="S66" s="426"/>
      <c r="T66" s="427">
        <f>SUM(T61:T65)</f>
        <v>22</v>
      </c>
      <c r="U66" s="426"/>
      <c r="V66" s="427">
        <f>SUM(V61:V65)</f>
        <v>22</v>
      </c>
      <c r="W66" s="426"/>
      <c r="X66" s="427">
        <f>SUM(X61:X65)</f>
        <v>27</v>
      </c>
      <c r="Y66" s="426"/>
      <c r="Z66" s="374">
        <f>SUM(Z61:Z65)</f>
        <v>25</v>
      </c>
      <c r="AB66" s="831"/>
      <c r="AC66" s="1114">
        <f t="shared" si="8"/>
        <v>22.8</v>
      </c>
    </row>
    <row r="67" spans="2:31" s="3" customFormat="1" thickTop="1" x14ac:dyDescent="0.2">
      <c r="B67" s="342" t="s">
        <v>135</v>
      </c>
      <c r="C67" s="392"/>
      <c r="D67" s="393"/>
      <c r="E67" s="43" t="s">
        <v>133</v>
      </c>
      <c r="F67" s="41" t="s">
        <v>134</v>
      </c>
      <c r="G67" s="317" t="s">
        <v>133</v>
      </c>
      <c r="H67" s="412" t="s">
        <v>134</v>
      </c>
      <c r="I67" s="411" t="s">
        <v>133</v>
      </c>
      <c r="J67" s="449" t="s">
        <v>134</v>
      </c>
      <c r="K67" s="317" t="s">
        <v>133</v>
      </c>
      <c r="L67" s="449" t="s">
        <v>134</v>
      </c>
      <c r="M67" s="317" t="s">
        <v>133</v>
      </c>
      <c r="N67" s="441" t="s">
        <v>134</v>
      </c>
      <c r="O67" s="411" t="s">
        <v>133</v>
      </c>
      <c r="P67" s="412" t="s">
        <v>134</v>
      </c>
      <c r="Q67" s="411" t="s">
        <v>133</v>
      </c>
      <c r="R67" s="412" t="s">
        <v>134</v>
      </c>
      <c r="S67" s="411" t="s">
        <v>133</v>
      </c>
      <c r="T67" s="412" t="s">
        <v>134</v>
      </c>
      <c r="U67" s="411" t="s">
        <v>133</v>
      </c>
      <c r="V67" s="412" t="s">
        <v>134</v>
      </c>
      <c r="W67" s="411" t="s">
        <v>133</v>
      </c>
      <c r="X67" s="412" t="s">
        <v>134</v>
      </c>
      <c r="Y67" s="411" t="s">
        <v>133</v>
      </c>
      <c r="Z67" s="289" t="s">
        <v>134</v>
      </c>
      <c r="AB67" s="952" t="s">
        <v>133</v>
      </c>
      <c r="AC67" s="862" t="s">
        <v>134</v>
      </c>
    </row>
    <row r="68" spans="2:31" s="3" customFormat="1" ht="12" x14ac:dyDescent="0.2">
      <c r="B68" s="75" t="s">
        <v>87</v>
      </c>
      <c r="C68" s="319">
        <v>22</v>
      </c>
      <c r="D68" s="216">
        <f>C68/D$66</f>
        <v>0.91666666666666663</v>
      </c>
      <c r="E68" s="173">
        <v>24</v>
      </c>
      <c r="F68" s="221">
        <f t="shared" ref="F68:H75" si="9">E68/F$66</f>
        <v>0.92307692307692313</v>
      </c>
      <c r="G68" s="215">
        <v>22</v>
      </c>
      <c r="H68" s="216">
        <f t="shared" si="9"/>
        <v>0.84615384615384615</v>
      </c>
      <c r="I68" s="173">
        <f>1+14+5</f>
        <v>20</v>
      </c>
      <c r="J68" s="221">
        <f t="shared" ref="J68:L75" si="10">I68/J$66</f>
        <v>0.76923076923076927</v>
      </c>
      <c r="K68" s="215">
        <f>14+7</f>
        <v>21</v>
      </c>
      <c r="L68" s="221">
        <f t="shared" si="10"/>
        <v>0.77777777777777779</v>
      </c>
      <c r="M68" s="215">
        <f>5+13</f>
        <v>18</v>
      </c>
      <c r="N68" s="216">
        <f t="shared" ref="N68:T75" si="11">M68/N$66</f>
        <v>0.72</v>
      </c>
      <c r="O68" s="173">
        <v>15</v>
      </c>
      <c r="P68" s="216">
        <f t="shared" si="11"/>
        <v>0.7142857142857143</v>
      </c>
      <c r="Q68" s="173">
        <v>15</v>
      </c>
      <c r="R68" s="216">
        <f t="shared" si="11"/>
        <v>0.83333333333333337</v>
      </c>
      <c r="S68" s="173">
        <v>19</v>
      </c>
      <c r="T68" s="216">
        <f t="shared" si="11"/>
        <v>0.86363636363636365</v>
      </c>
      <c r="U68" s="173">
        <v>19</v>
      </c>
      <c r="V68" s="216">
        <f t="shared" ref="V68:V75" si="12">U68/V$66</f>
        <v>0.86363636363636365</v>
      </c>
      <c r="W68" s="173">
        <f>3+19</f>
        <v>22</v>
      </c>
      <c r="X68" s="216">
        <f t="shared" ref="X68:Z75" si="13">W68/X$66</f>
        <v>0.81481481481481477</v>
      </c>
      <c r="Y68" s="173">
        <v>19</v>
      </c>
      <c r="Z68" s="1494">
        <f t="shared" si="13"/>
        <v>0.76</v>
      </c>
      <c r="AA68" s="955"/>
      <c r="AB68" s="1016">
        <f t="shared" ref="AB68:AB87" si="14">AVERAGE(W68,U68,Q68,S68,Y68)</f>
        <v>18.8</v>
      </c>
      <c r="AC68" s="863">
        <f t="shared" ref="AC68:AC87" si="15">AVERAGE(X68,V68,R68,T68,Z68)</f>
        <v>0.82708417508417509</v>
      </c>
    </row>
    <row r="69" spans="2:31" s="3" customFormat="1" ht="12" x14ac:dyDescent="0.2">
      <c r="B69" s="85" t="s">
        <v>88</v>
      </c>
      <c r="C69" s="319">
        <v>0</v>
      </c>
      <c r="D69" s="216">
        <f t="shared" ref="D69:D87" si="16">C69/$D$66</f>
        <v>0</v>
      </c>
      <c r="E69" s="173">
        <v>0</v>
      </c>
      <c r="F69" s="221">
        <f t="shared" si="9"/>
        <v>0</v>
      </c>
      <c r="G69" s="215">
        <v>2</v>
      </c>
      <c r="H69" s="216">
        <f t="shared" si="9"/>
        <v>7.6923076923076927E-2</v>
      </c>
      <c r="I69" s="173">
        <v>2</v>
      </c>
      <c r="J69" s="221">
        <f t="shared" si="10"/>
        <v>7.6923076923076927E-2</v>
      </c>
      <c r="K69" s="215">
        <f>1+1</f>
        <v>2</v>
      </c>
      <c r="L69" s="221">
        <f t="shared" si="10"/>
        <v>7.407407407407407E-2</v>
      </c>
      <c r="M69" s="215">
        <f>1+1</f>
        <v>2</v>
      </c>
      <c r="N69" s="216">
        <f t="shared" si="11"/>
        <v>0.08</v>
      </c>
      <c r="O69" s="173">
        <v>2</v>
      </c>
      <c r="P69" s="216">
        <f t="shared" si="11"/>
        <v>9.5238095238095233E-2</v>
      </c>
      <c r="Q69" s="173">
        <v>2</v>
      </c>
      <c r="R69" s="216">
        <f t="shared" si="11"/>
        <v>0.1111111111111111</v>
      </c>
      <c r="S69" s="173">
        <v>2</v>
      </c>
      <c r="T69" s="216">
        <f t="shared" si="11"/>
        <v>9.0909090909090912E-2</v>
      </c>
      <c r="U69" s="173">
        <v>2</v>
      </c>
      <c r="V69" s="216">
        <f t="shared" si="12"/>
        <v>9.0909090909090912E-2</v>
      </c>
      <c r="W69" s="173">
        <v>2</v>
      </c>
      <c r="X69" s="216">
        <f t="shared" si="13"/>
        <v>7.407407407407407E-2</v>
      </c>
      <c r="Y69" s="173">
        <v>2</v>
      </c>
      <c r="Z69" s="1494">
        <f t="shared" si="13"/>
        <v>0.08</v>
      </c>
      <c r="AA69" s="955"/>
      <c r="AB69" s="1016">
        <f t="shared" si="14"/>
        <v>2</v>
      </c>
      <c r="AC69" s="863">
        <f t="shared" si="15"/>
        <v>8.9400673400673397E-2</v>
      </c>
      <c r="AE69" s="3" t="s">
        <v>29</v>
      </c>
    </row>
    <row r="70" spans="2:31" s="3" customFormat="1" ht="12" x14ac:dyDescent="0.2">
      <c r="B70" s="85" t="s">
        <v>89</v>
      </c>
      <c r="C70" s="319">
        <v>0</v>
      </c>
      <c r="D70" s="216">
        <f t="shared" si="16"/>
        <v>0</v>
      </c>
      <c r="E70" s="173">
        <v>0</v>
      </c>
      <c r="F70" s="221">
        <f t="shared" si="9"/>
        <v>0</v>
      </c>
      <c r="G70" s="215">
        <v>0</v>
      </c>
      <c r="H70" s="216">
        <f t="shared" si="9"/>
        <v>0</v>
      </c>
      <c r="I70" s="173">
        <v>0</v>
      </c>
      <c r="J70" s="221">
        <f t="shared" si="10"/>
        <v>0</v>
      </c>
      <c r="K70" s="215">
        <v>0</v>
      </c>
      <c r="L70" s="221">
        <f t="shared" si="10"/>
        <v>0</v>
      </c>
      <c r="M70" s="215">
        <v>0</v>
      </c>
      <c r="N70" s="216">
        <f t="shared" si="11"/>
        <v>0</v>
      </c>
      <c r="O70" s="173">
        <v>0</v>
      </c>
      <c r="P70" s="216">
        <f t="shared" si="11"/>
        <v>0</v>
      </c>
      <c r="Q70" s="173">
        <v>0</v>
      </c>
      <c r="R70" s="216">
        <f t="shared" si="11"/>
        <v>0</v>
      </c>
      <c r="S70" s="173">
        <v>0</v>
      </c>
      <c r="T70" s="216">
        <f t="shared" si="11"/>
        <v>0</v>
      </c>
      <c r="U70" s="173">
        <v>0</v>
      </c>
      <c r="V70" s="216">
        <f t="shared" si="12"/>
        <v>0</v>
      </c>
      <c r="W70" s="173">
        <v>0</v>
      </c>
      <c r="X70" s="216">
        <f t="shared" si="13"/>
        <v>0</v>
      </c>
      <c r="Y70" s="173">
        <v>1</v>
      </c>
      <c r="Z70" s="1494">
        <f t="shared" si="13"/>
        <v>0.04</v>
      </c>
      <c r="AA70" s="955"/>
      <c r="AB70" s="1016">
        <f t="shared" si="14"/>
        <v>0.2</v>
      </c>
      <c r="AC70" s="863">
        <f t="shared" si="15"/>
        <v>8.0000000000000002E-3</v>
      </c>
    </row>
    <row r="71" spans="2:31" s="3" customFormat="1" ht="12" x14ac:dyDescent="0.2">
      <c r="B71" s="85" t="s">
        <v>90</v>
      </c>
      <c r="C71" s="319">
        <v>0</v>
      </c>
      <c r="D71" s="216">
        <f t="shared" si="16"/>
        <v>0</v>
      </c>
      <c r="E71" s="173">
        <v>0</v>
      </c>
      <c r="F71" s="221">
        <f t="shared" si="9"/>
        <v>0</v>
      </c>
      <c r="G71" s="215">
        <v>0</v>
      </c>
      <c r="H71" s="216">
        <f t="shared" si="9"/>
        <v>0</v>
      </c>
      <c r="I71" s="173">
        <v>0</v>
      </c>
      <c r="J71" s="221">
        <f t="shared" si="10"/>
        <v>0</v>
      </c>
      <c r="K71" s="215">
        <v>0</v>
      </c>
      <c r="L71" s="221">
        <f t="shared" si="10"/>
        <v>0</v>
      </c>
      <c r="M71" s="215">
        <v>0</v>
      </c>
      <c r="N71" s="216">
        <f t="shared" si="11"/>
        <v>0</v>
      </c>
      <c r="O71" s="173">
        <v>0</v>
      </c>
      <c r="P71" s="216">
        <f t="shared" si="11"/>
        <v>0</v>
      </c>
      <c r="Q71" s="173">
        <v>0</v>
      </c>
      <c r="R71" s="216">
        <f t="shared" si="11"/>
        <v>0</v>
      </c>
      <c r="S71" s="173">
        <v>0</v>
      </c>
      <c r="T71" s="216">
        <f t="shared" si="11"/>
        <v>0</v>
      </c>
      <c r="U71" s="173">
        <v>0</v>
      </c>
      <c r="V71" s="216">
        <f t="shared" si="12"/>
        <v>0</v>
      </c>
      <c r="W71" s="173">
        <v>0</v>
      </c>
      <c r="X71" s="216">
        <f t="shared" si="13"/>
        <v>0</v>
      </c>
      <c r="Y71" s="173">
        <v>0</v>
      </c>
      <c r="Z71" s="1494">
        <f t="shared" si="13"/>
        <v>0</v>
      </c>
      <c r="AA71" s="955"/>
      <c r="AB71" s="1016">
        <f t="shared" si="14"/>
        <v>0</v>
      </c>
      <c r="AC71" s="863">
        <f t="shared" si="15"/>
        <v>0</v>
      </c>
    </row>
    <row r="72" spans="2:31" s="3" customFormat="1" ht="12" x14ac:dyDescent="0.2">
      <c r="B72" s="85" t="s">
        <v>91</v>
      </c>
      <c r="C72" s="319">
        <v>0</v>
      </c>
      <c r="D72" s="216">
        <f t="shared" si="16"/>
        <v>0</v>
      </c>
      <c r="E72" s="173">
        <v>0</v>
      </c>
      <c r="F72" s="221">
        <f t="shared" si="9"/>
        <v>0</v>
      </c>
      <c r="G72" s="215">
        <v>2</v>
      </c>
      <c r="H72" s="216">
        <f t="shared" si="9"/>
        <v>7.6923076923076927E-2</v>
      </c>
      <c r="I72" s="173">
        <v>3</v>
      </c>
      <c r="J72" s="221">
        <f t="shared" si="10"/>
        <v>0.11538461538461539</v>
      </c>
      <c r="K72" s="215">
        <v>3</v>
      </c>
      <c r="L72" s="221">
        <f t="shared" si="10"/>
        <v>0.1111111111111111</v>
      </c>
      <c r="M72" s="215">
        <v>0</v>
      </c>
      <c r="N72" s="216">
        <f t="shared" si="11"/>
        <v>0</v>
      </c>
      <c r="O72" s="173">
        <v>3</v>
      </c>
      <c r="P72" s="216">
        <f t="shared" si="11"/>
        <v>0.14285714285714285</v>
      </c>
      <c r="Q72" s="173">
        <v>1</v>
      </c>
      <c r="R72" s="216">
        <f t="shared" si="11"/>
        <v>5.5555555555555552E-2</v>
      </c>
      <c r="S72" s="173">
        <v>1</v>
      </c>
      <c r="T72" s="216">
        <f t="shared" si="11"/>
        <v>4.5454545454545456E-2</v>
      </c>
      <c r="U72" s="173">
        <v>1</v>
      </c>
      <c r="V72" s="216">
        <f t="shared" si="12"/>
        <v>4.5454545454545456E-2</v>
      </c>
      <c r="W72" s="173">
        <v>1</v>
      </c>
      <c r="X72" s="216">
        <f t="shared" si="13"/>
        <v>3.7037037037037035E-2</v>
      </c>
      <c r="Y72" s="173">
        <v>1</v>
      </c>
      <c r="Z72" s="1494">
        <f t="shared" si="13"/>
        <v>0.04</v>
      </c>
      <c r="AA72" s="955"/>
      <c r="AB72" s="1016">
        <f t="shared" si="14"/>
        <v>1</v>
      </c>
      <c r="AC72" s="863">
        <f t="shared" si="15"/>
        <v>4.4700336700336699E-2</v>
      </c>
    </row>
    <row r="73" spans="2:31" s="3" customFormat="1" ht="12" x14ac:dyDescent="0.2">
      <c r="B73" s="85" t="s">
        <v>92</v>
      </c>
      <c r="C73" s="319">
        <v>2</v>
      </c>
      <c r="D73" s="216">
        <f t="shared" si="16"/>
        <v>8.3333333333333329E-2</v>
      </c>
      <c r="E73" s="173">
        <v>2</v>
      </c>
      <c r="F73" s="221">
        <f t="shared" si="9"/>
        <v>7.6923076923076927E-2</v>
      </c>
      <c r="G73" s="215">
        <v>0</v>
      </c>
      <c r="H73" s="216">
        <f t="shared" si="9"/>
        <v>0</v>
      </c>
      <c r="I73" s="173">
        <v>1</v>
      </c>
      <c r="J73" s="221">
        <f t="shared" si="10"/>
        <v>3.8461538461538464E-2</v>
      </c>
      <c r="K73" s="215">
        <v>1</v>
      </c>
      <c r="L73" s="221">
        <f t="shared" si="10"/>
        <v>3.7037037037037035E-2</v>
      </c>
      <c r="M73" s="215">
        <v>3</v>
      </c>
      <c r="N73" s="216">
        <f t="shared" si="11"/>
        <v>0.12</v>
      </c>
      <c r="O73" s="173">
        <v>1</v>
      </c>
      <c r="P73" s="216">
        <f t="shared" si="11"/>
        <v>4.7619047619047616E-2</v>
      </c>
      <c r="Q73" s="173">
        <v>0</v>
      </c>
      <c r="R73" s="216">
        <f t="shared" si="11"/>
        <v>0</v>
      </c>
      <c r="S73" s="173">
        <v>0</v>
      </c>
      <c r="T73" s="216">
        <f t="shared" si="11"/>
        <v>0</v>
      </c>
      <c r="U73" s="173">
        <v>0</v>
      </c>
      <c r="V73" s="216">
        <f t="shared" si="12"/>
        <v>0</v>
      </c>
      <c r="W73" s="173">
        <v>1</v>
      </c>
      <c r="X73" s="216">
        <f t="shared" si="13"/>
        <v>3.7037037037037035E-2</v>
      </c>
      <c r="Y73" s="173">
        <v>0</v>
      </c>
      <c r="Z73" s="1494">
        <f t="shared" si="13"/>
        <v>0</v>
      </c>
      <c r="AA73" s="955"/>
      <c r="AB73" s="1016">
        <f t="shared" si="14"/>
        <v>0.2</v>
      </c>
      <c r="AC73" s="863">
        <f t="shared" si="15"/>
        <v>7.4074074074074068E-3</v>
      </c>
    </row>
    <row r="74" spans="2:31" s="3" customFormat="1" ht="12" x14ac:dyDescent="0.2">
      <c r="B74" s="85" t="s">
        <v>256</v>
      </c>
      <c r="C74" s="346"/>
      <c r="D74" s="216"/>
      <c r="E74" s="174"/>
      <c r="F74" s="221"/>
      <c r="G74" s="1510"/>
      <c r="H74" s="1511"/>
      <c r="I74" s="1512"/>
      <c r="J74" s="1513"/>
      <c r="K74" s="1510"/>
      <c r="L74" s="1513"/>
      <c r="M74" s="1510"/>
      <c r="N74" s="1511"/>
      <c r="O74" s="1512"/>
      <c r="P74" s="1511"/>
      <c r="Q74" s="174">
        <v>0</v>
      </c>
      <c r="R74" s="216">
        <f t="shared" si="11"/>
        <v>0</v>
      </c>
      <c r="S74" s="174">
        <v>0</v>
      </c>
      <c r="T74" s="216">
        <f t="shared" si="11"/>
        <v>0</v>
      </c>
      <c r="U74" s="174">
        <v>0</v>
      </c>
      <c r="V74" s="216">
        <f t="shared" si="12"/>
        <v>0</v>
      </c>
      <c r="W74" s="174">
        <v>0</v>
      </c>
      <c r="X74" s="216">
        <f t="shared" si="13"/>
        <v>0</v>
      </c>
      <c r="Y74" s="174">
        <v>0</v>
      </c>
      <c r="Z74" s="1494">
        <f t="shared" si="13"/>
        <v>0</v>
      </c>
      <c r="AA74" s="955"/>
      <c r="AB74" s="1016">
        <f t="shared" si="14"/>
        <v>0</v>
      </c>
      <c r="AC74" s="863">
        <f t="shared" si="15"/>
        <v>0</v>
      </c>
    </row>
    <row r="75" spans="2:31" s="3" customFormat="1" ht="12" x14ac:dyDescent="0.2">
      <c r="B75" s="85" t="s">
        <v>93</v>
      </c>
      <c r="C75" s="346">
        <v>0</v>
      </c>
      <c r="D75" s="216">
        <f t="shared" si="16"/>
        <v>0</v>
      </c>
      <c r="E75" s="174">
        <v>0</v>
      </c>
      <c r="F75" s="221">
        <f t="shared" si="9"/>
        <v>0</v>
      </c>
      <c r="G75" s="217">
        <v>0</v>
      </c>
      <c r="H75" s="216">
        <f t="shared" si="9"/>
        <v>0</v>
      </c>
      <c r="I75" s="174">
        <v>0</v>
      </c>
      <c r="J75" s="221">
        <f t="shared" si="10"/>
        <v>0</v>
      </c>
      <c r="K75" s="217">
        <v>0</v>
      </c>
      <c r="L75" s="221">
        <f t="shared" si="10"/>
        <v>0</v>
      </c>
      <c r="M75" s="217">
        <v>2</v>
      </c>
      <c r="N75" s="216">
        <f t="shared" si="11"/>
        <v>0.08</v>
      </c>
      <c r="O75" s="174">
        <v>0</v>
      </c>
      <c r="P75" s="216">
        <f t="shared" si="11"/>
        <v>0</v>
      </c>
      <c r="Q75" s="174">
        <v>0</v>
      </c>
      <c r="R75" s="216">
        <f t="shared" si="11"/>
        <v>0</v>
      </c>
      <c r="S75" s="174">
        <v>0</v>
      </c>
      <c r="T75" s="216">
        <f t="shared" si="11"/>
        <v>0</v>
      </c>
      <c r="U75" s="174">
        <v>0</v>
      </c>
      <c r="V75" s="216">
        <f t="shared" si="12"/>
        <v>0</v>
      </c>
      <c r="W75" s="174">
        <v>1</v>
      </c>
      <c r="X75" s="216">
        <f t="shared" si="13"/>
        <v>3.7037037037037035E-2</v>
      </c>
      <c r="Y75" s="174">
        <v>2</v>
      </c>
      <c r="Z75" s="1494">
        <f t="shared" si="13"/>
        <v>0.08</v>
      </c>
      <c r="AA75" s="955"/>
      <c r="AB75" s="1016">
        <f t="shared" si="14"/>
        <v>0.6</v>
      </c>
      <c r="AC75" s="863">
        <f t="shared" si="15"/>
        <v>2.3407407407407408E-2</v>
      </c>
    </row>
    <row r="76" spans="2:31" s="3" customFormat="1" ht="12" x14ac:dyDescent="0.2">
      <c r="B76" s="343" t="s">
        <v>136</v>
      </c>
      <c r="C76" s="218"/>
      <c r="D76" s="216"/>
      <c r="E76" s="226"/>
      <c r="F76" s="310"/>
      <c r="G76" s="326"/>
      <c r="H76" s="394"/>
      <c r="I76" s="226"/>
      <c r="J76" s="310"/>
      <c r="K76" s="326"/>
      <c r="L76" s="310"/>
      <c r="M76" s="326"/>
      <c r="N76" s="394"/>
      <c r="O76" s="226"/>
      <c r="P76" s="394"/>
      <c r="Q76" s="226"/>
      <c r="R76" s="394"/>
      <c r="S76" s="226"/>
      <c r="T76" s="394"/>
      <c r="U76" s="226"/>
      <c r="V76" s="394"/>
      <c r="W76" s="226"/>
      <c r="X76" s="394"/>
      <c r="Y76" s="226"/>
      <c r="Z76" s="1500"/>
      <c r="AA76" s="955"/>
      <c r="AB76" s="1016"/>
      <c r="AC76" s="863"/>
    </row>
    <row r="77" spans="2:31" s="3" customFormat="1" ht="12" x14ac:dyDescent="0.2">
      <c r="B77" s="75" t="s">
        <v>124</v>
      </c>
      <c r="C77" s="230">
        <v>12</v>
      </c>
      <c r="D77" s="216">
        <f t="shared" si="16"/>
        <v>0.5</v>
      </c>
      <c r="E77" s="171">
        <v>14</v>
      </c>
      <c r="F77" s="311">
        <f>E77/F$66</f>
        <v>0.53846153846153844</v>
      </c>
      <c r="G77" s="229">
        <v>13</v>
      </c>
      <c r="H77" s="395">
        <f>G77/H$66</f>
        <v>0.5</v>
      </c>
      <c r="I77" s="183">
        <v>15</v>
      </c>
      <c r="J77" s="221">
        <f>I77/J$66</f>
        <v>0.57692307692307687</v>
      </c>
      <c r="K77" s="229">
        <v>15</v>
      </c>
      <c r="L77" s="221">
        <f>K77/L$66</f>
        <v>0.55555555555555558</v>
      </c>
      <c r="M77" s="229">
        <f>10+3</f>
        <v>13</v>
      </c>
      <c r="N77" s="216">
        <f>M77/N$66</f>
        <v>0.52</v>
      </c>
      <c r="O77" s="183">
        <v>10</v>
      </c>
      <c r="P77" s="216">
        <f>O77/P$66</f>
        <v>0.47619047619047616</v>
      </c>
      <c r="Q77" s="183">
        <v>9</v>
      </c>
      <c r="R77" s="216">
        <f>Q77/R$66</f>
        <v>0.5</v>
      </c>
      <c r="S77" s="183">
        <v>13</v>
      </c>
      <c r="T77" s="216">
        <f>S77/T$66</f>
        <v>0.59090909090909094</v>
      </c>
      <c r="U77" s="183">
        <v>11</v>
      </c>
      <c r="V77" s="216">
        <f>U77/V$66</f>
        <v>0.5</v>
      </c>
      <c r="W77" s="183">
        <f>1+13</f>
        <v>14</v>
      </c>
      <c r="X77" s="216">
        <f>W77/X$66</f>
        <v>0.51851851851851849</v>
      </c>
      <c r="Y77" s="183">
        <v>13</v>
      </c>
      <c r="Z77" s="1494">
        <f>Y77/Z$66</f>
        <v>0.52</v>
      </c>
      <c r="AA77" s="955"/>
      <c r="AB77" s="1016">
        <f t="shared" si="14"/>
        <v>12</v>
      </c>
      <c r="AC77" s="863">
        <f t="shared" si="15"/>
        <v>0.52588552188552184</v>
      </c>
    </row>
    <row r="78" spans="2:31" s="3" customFormat="1" ht="12" x14ac:dyDescent="0.2">
      <c r="B78" s="75" t="s">
        <v>125</v>
      </c>
      <c r="C78" s="230">
        <v>12</v>
      </c>
      <c r="D78" s="216">
        <f t="shared" si="16"/>
        <v>0.5</v>
      </c>
      <c r="E78" s="223">
        <v>12</v>
      </c>
      <c r="F78" s="311">
        <f>E78/F$66</f>
        <v>0.46153846153846156</v>
      </c>
      <c r="G78" s="230">
        <v>13</v>
      </c>
      <c r="H78" s="395">
        <f>G78/H$66</f>
        <v>0.5</v>
      </c>
      <c r="I78" s="283">
        <v>11</v>
      </c>
      <c r="J78" s="221">
        <f>I78/J$66</f>
        <v>0.42307692307692307</v>
      </c>
      <c r="K78" s="230">
        <v>12</v>
      </c>
      <c r="L78" s="221">
        <f>K78/L$66</f>
        <v>0.44444444444444442</v>
      </c>
      <c r="M78" s="230">
        <f>9+3</f>
        <v>12</v>
      </c>
      <c r="N78" s="216">
        <f>M78/N$66</f>
        <v>0.48</v>
      </c>
      <c r="O78" s="283">
        <v>11</v>
      </c>
      <c r="P78" s="216">
        <f>O78/P$66</f>
        <v>0.52380952380952384</v>
      </c>
      <c r="Q78" s="283">
        <v>9</v>
      </c>
      <c r="R78" s="216">
        <f>Q78/R$66</f>
        <v>0.5</v>
      </c>
      <c r="S78" s="283">
        <v>9</v>
      </c>
      <c r="T78" s="216">
        <f>S78/T$66</f>
        <v>0.40909090909090912</v>
      </c>
      <c r="U78" s="283">
        <v>11</v>
      </c>
      <c r="V78" s="216">
        <f>U78/V$66</f>
        <v>0.5</v>
      </c>
      <c r="W78" s="283">
        <f>2+11</f>
        <v>13</v>
      </c>
      <c r="X78" s="216">
        <f>W78/X$66</f>
        <v>0.48148148148148145</v>
      </c>
      <c r="Y78" s="283">
        <v>12</v>
      </c>
      <c r="Z78" s="1494">
        <f>Y78/Z$66</f>
        <v>0.48</v>
      </c>
      <c r="AA78" s="955"/>
      <c r="AB78" s="1016">
        <f t="shared" si="14"/>
        <v>10.8</v>
      </c>
      <c r="AC78" s="863">
        <f t="shared" si="15"/>
        <v>0.4741144781144781</v>
      </c>
    </row>
    <row r="79" spans="2:31" s="3" customFormat="1" ht="12" x14ac:dyDescent="0.2">
      <c r="B79" s="343" t="s">
        <v>137</v>
      </c>
      <c r="C79" s="219"/>
      <c r="D79" s="216"/>
      <c r="E79" s="227"/>
      <c r="F79" s="311"/>
      <c r="G79" s="315"/>
      <c r="H79" s="395"/>
      <c r="I79" s="285"/>
      <c r="J79" s="221"/>
      <c r="K79" s="315"/>
      <c r="L79" s="221"/>
      <c r="M79" s="315"/>
      <c r="N79" s="216"/>
      <c r="O79" s="285"/>
      <c r="P79" s="216"/>
      <c r="Q79" s="285"/>
      <c r="R79" s="216"/>
      <c r="S79" s="285"/>
      <c r="T79" s="216"/>
      <c r="U79" s="285"/>
      <c r="V79" s="216"/>
      <c r="W79" s="285"/>
      <c r="X79" s="216"/>
      <c r="Y79" s="285"/>
      <c r="Z79" s="1494"/>
      <c r="AA79" s="955"/>
      <c r="AB79" s="1016"/>
      <c r="AC79" s="863"/>
    </row>
    <row r="80" spans="2:31" s="3" customFormat="1" ht="12" x14ac:dyDescent="0.2">
      <c r="B80" s="75" t="s">
        <v>126</v>
      </c>
      <c r="C80" s="224">
        <v>9</v>
      </c>
      <c r="D80" s="216">
        <f t="shared" si="16"/>
        <v>0.375</v>
      </c>
      <c r="E80" s="223">
        <v>11</v>
      </c>
      <c r="F80" s="311">
        <f>E80/F$66</f>
        <v>0.42307692307692307</v>
      </c>
      <c r="G80" s="230">
        <v>14</v>
      </c>
      <c r="H80" s="395">
        <f>G80/H$66</f>
        <v>0.53846153846153844</v>
      </c>
      <c r="I80" s="283">
        <v>10</v>
      </c>
      <c r="J80" s="221">
        <f>I80/J$66</f>
        <v>0.38461538461538464</v>
      </c>
      <c r="K80" s="230">
        <v>11</v>
      </c>
      <c r="L80" s="221">
        <f>K80/L$66</f>
        <v>0.40740740740740738</v>
      </c>
      <c r="M80" s="230">
        <v>11</v>
      </c>
      <c r="N80" s="216">
        <f>M80/N$66</f>
        <v>0.44</v>
      </c>
      <c r="O80" s="283">
        <v>11</v>
      </c>
      <c r="P80" s="216">
        <f>O80/P$66</f>
        <v>0.52380952380952384</v>
      </c>
      <c r="Q80" s="283">
        <v>9</v>
      </c>
      <c r="R80" s="216">
        <f>Q80/R$66</f>
        <v>0.5</v>
      </c>
      <c r="S80" s="283">
        <v>9</v>
      </c>
      <c r="T80" s="216">
        <f>S80/T$66</f>
        <v>0.40909090909090912</v>
      </c>
      <c r="U80" s="283">
        <v>9</v>
      </c>
      <c r="V80" s="216">
        <f>U80/V$66</f>
        <v>0.40909090909090912</v>
      </c>
      <c r="W80" s="283">
        <v>10</v>
      </c>
      <c r="X80" s="216">
        <f>W80/X$66</f>
        <v>0.37037037037037035</v>
      </c>
      <c r="Y80" s="283">
        <v>10</v>
      </c>
      <c r="Z80" s="1494">
        <f>Y80/Z$66</f>
        <v>0.4</v>
      </c>
      <c r="AA80" s="955"/>
      <c r="AB80" s="1016">
        <f t="shared" si="14"/>
        <v>9.4</v>
      </c>
      <c r="AC80" s="863">
        <f t="shared" si="15"/>
        <v>0.4177104377104377</v>
      </c>
    </row>
    <row r="81" spans="1:31" s="3" customFormat="1" ht="12" x14ac:dyDescent="0.2">
      <c r="B81" s="75" t="s">
        <v>127</v>
      </c>
      <c r="C81" s="224">
        <v>8</v>
      </c>
      <c r="D81" s="216">
        <f t="shared" si="16"/>
        <v>0.33333333333333331</v>
      </c>
      <c r="E81" s="223">
        <v>7</v>
      </c>
      <c r="F81" s="311">
        <f>E81/F$66</f>
        <v>0.26923076923076922</v>
      </c>
      <c r="G81" s="230">
        <v>7</v>
      </c>
      <c r="H81" s="395">
        <f>G81/H$66</f>
        <v>0.26923076923076922</v>
      </c>
      <c r="I81" s="283">
        <v>6</v>
      </c>
      <c r="J81" s="221">
        <f>I81/J$66</f>
        <v>0.23076923076923078</v>
      </c>
      <c r="K81" s="230">
        <v>4</v>
      </c>
      <c r="L81" s="221">
        <f>K81/L$66</f>
        <v>0.14814814814814814</v>
      </c>
      <c r="M81" s="230">
        <v>4</v>
      </c>
      <c r="N81" s="216">
        <f>M81/N$66</f>
        <v>0.16</v>
      </c>
      <c r="O81" s="283">
        <v>3</v>
      </c>
      <c r="P81" s="216">
        <f>O81/P$66</f>
        <v>0.14285714285714285</v>
      </c>
      <c r="Q81" s="283">
        <v>3</v>
      </c>
      <c r="R81" s="216">
        <f>Q81/R$66</f>
        <v>0.16666666666666666</v>
      </c>
      <c r="S81" s="283">
        <v>5</v>
      </c>
      <c r="T81" s="216">
        <f>S81/T$66</f>
        <v>0.22727272727272727</v>
      </c>
      <c r="U81" s="283">
        <v>3</v>
      </c>
      <c r="V81" s="216">
        <f>U81/V$66</f>
        <v>0.13636363636363635</v>
      </c>
      <c r="W81" s="283">
        <v>5</v>
      </c>
      <c r="X81" s="216">
        <f>W81/X$66</f>
        <v>0.18518518518518517</v>
      </c>
      <c r="Y81" s="283">
        <v>11</v>
      </c>
      <c r="Z81" s="1494">
        <f>Y81/Z$66</f>
        <v>0.44</v>
      </c>
      <c r="AA81" s="955"/>
      <c r="AB81" s="1016">
        <f t="shared" si="14"/>
        <v>5.4</v>
      </c>
      <c r="AC81" s="863">
        <f t="shared" si="15"/>
        <v>0.23109764309764311</v>
      </c>
    </row>
    <row r="82" spans="1:31" s="3" customFormat="1" ht="12" x14ac:dyDescent="0.2">
      <c r="B82" s="75" t="s">
        <v>128</v>
      </c>
      <c r="C82" s="224">
        <v>7</v>
      </c>
      <c r="D82" s="216">
        <f t="shared" si="16"/>
        <v>0.29166666666666669</v>
      </c>
      <c r="E82" s="223">
        <v>8</v>
      </c>
      <c r="F82" s="311">
        <f>E82/F$66</f>
        <v>0.30769230769230771</v>
      </c>
      <c r="G82" s="230">
        <v>5</v>
      </c>
      <c r="H82" s="395">
        <f>G82/H$66</f>
        <v>0.19230769230769232</v>
      </c>
      <c r="I82" s="283">
        <f>5+4+1</f>
        <v>10</v>
      </c>
      <c r="J82" s="221">
        <f>I82/J$66</f>
        <v>0.38461538461538464</v>
      </c>
      <c r="K82" s="230">
        <v>12</v>
      </c>
      <c r="L82" s="221">
        <f>K82/L$66</f>
        <v>0.44444444444444442</v>
      </c>
      <c r="M82" s="230">
        <f>6+4</f>
        <v>10</v>
      </c>
      <c r="N82" s="216">
        <f>M82/N$66</f>
        <v>0.4</v>
      </c>
      <c r="O82" s="283">
        <v>7</v>
      </c>
      <c r="P82" s="216">
        <f>O82/P$66</f>
        <v>0.33333333333333331</v>
      </c>
      <c r="Q82" s="283">
        <v>6</v>
      </c>
      <c r="R82" s="216">
        <f>Q82/R$66</f>
        <v>0.33333333333333331</v>
      </c>
      <c r="S82" s="283">
        <v>8</v>
      </c>
      <c r="T82" s="216">
        <f>S82/T$66</f>
        <v>0.36363636363636365</v>
      </c>
      <c r="U82" s="283">
        <v>10</v>
      </c>
      <c r="V82" s="216">
        <f>U82/V$66</f>
        <v>0.45454545454545453</v>
      </c>
      <c r="W82" s="283">
        <f>3+9</f>
        <v>12</v>
      </c>
      <c r="X82" s="216">
        <f>W82/X$66</f>
        <v>0.44444444444444442</v>
      </c>
      <c r="Y82" s="283">
        <v>4</v>
      </c>
      <c r="Z82" s="1494">
        <f>Y82/Z$66</f>
        <v>0.16</v>
      </c>
      <c r="AA82" s="955"/>
      <c r="AB82" s="1016">
        <f t="shared" si="14"/>
        <v>8</v>
      </c>
      <c r="AC82" s="863">
        <f t="shared" si="15"/>
        <v>0.35119191919191917</v>
      </c>
    </row>
    <row r="83" spans="1:31" s="3" customFormat="1" ht="12" x14ac:dyDescent="0.2">
      <c r="B83" s="343" t="s">
        <v>138</v>
      </c>
      <c r="C83" s="219"/>
      <c r="D83" s="216"/>
      <c r="E83" s="227"/>
      <c r="F83" s="311"/>
      <c r="G83" s="315"/>
      <c r="H83" s="395"/>
      <c r="I83" s="285"/>
      <c r="J83" s="221"/>
      <c r="K83" s="315"/>
      <c r="L83" s="221"/>
      <c r="M83" s="315"/>
      <c r="N83" s="216"/>
      <c r="O83" s="285"/>
      <c r="P83" s="216"/>
      <c r="Q83" s="285"/>
      <c r="R83" s="216"/>
      <c r="S83" s="285"/>
      <c r="T83" s="216"/>
      <c r="U83" s="285"/>
      <c r="V83" s="216"/>
      <c r="W83" s="285"/>
      <c r="X83" s="216"/>
      <c r="Y83" s="285"/>
      <c r="Z83" s="1494"/>
      <c r="AB83" s="1016"/>
      <c r="AC83" s="863"/>
    </row>
    <row r="84" spans="1:31" s="3" customFormat="1" ht="12" x14ac:dyDescent="0.2">
      <c r="B84" s="75" t="s">
        <v>129</v>
      </c>
      <c r="C84" s="224">
        <v>15</v>
      </c>
      <c r="D84" s="216">
        <f t="shared" si="16"/>
        <v>0.625</v>
      </c>
      <c r="E84" s="223">
        <v>15</v>
      </c>
      <c r="F84" s="311">
        <f>E84/F$66</f>
        <v>0.57692307692307687</v>
      </c>
      <c r="G84" s="230">
        <v>15</v>
      </c>
      <c r="H84" s="395">
        <f>G84/H$66</f>
        <v>0.57692307692307687</v>
      </c>
      <c r="I84" s="283">
        <v>16</v>
      </c>
      <c r="J84" s="221">
        <f>I84/J$66</f>
        <v>0.61538461538461542</v>
      </c>
      <c r="K84" s="230">
        <v>15</v>
      </c>
      <c r="L84" s="221">
        <f>K84/L$66</f>
        <v>0.55555555555555558</v>
      </c>
      <c r="M84" s="230">
        <f>1+15</f>
        <v>16</v>
      </c>
      <c r="N84" s="216">
        <f>M84/N$66</f>
        <v>0.64</v>
      </c>
      <c r="O84" s="283">
        <v>14</v>
      </c>
      <c r="P84" s="216">
        <f>O84/P$66</f>
        <v>0.66666666666666663</v>
      </c>
      <c r="Q84" s="283">
        <v>12</v>
      </c>
      <c r="R84" s="216">
        <f>Q84/R$66</f>
        <v>0.66666666666666663</v>
      </c>
      <c r="S84" s="283">
        <v>12</v>
      </c>
      <c r="T84" s="216">
        <f>S84/T$66</f>
        <v>0.54545454545454541</v>
      </c>
      <c r="U84" s="283">
        <v>13</v>
      </c>
      <c r="V84" s="216">
        <f>U84/V$66</f>
        <v>0.59090909090909094</v>
      </c>
      <c r="W84" s="283">
        <v>17</v>
      </c>
      <c r="X84" s="216">
        <f>W84/X$66</f>
        <v>0.62962962962962965</v>
      </c>
      <c r="Y84" s="283">
        <v>14</v>
      </c>
      <c r="Z84" s="1494">
        <f>Y84/Z$66</f>
        <v>0.56000000000000005</v>
      </c>
      <c r="AB84" s="1016">
        <f t="shared" si="14"/>
        <v>13.6</v>
      </c>
      <c r="AC84" s="863">
        <f t="shared" si="15"/>
        <v>0.59853198653198647</v>
      </c>
    </row>
    <row r="85" spans="1:31" s="3" customFormat="1" ht="12" x14ac:dyDescent="0.2">
      <c r="B85" s="75" t="s">
        <v>130</v>
      </c>
      <c r="C85" s="224">
        <v>5</v>
      </c>
      <c r="D85" s="216">
        <f t="shared" si="16"/>
        <v>0.20833333333333334</v>
      </c>
      <c r="E85" s="223">
        <v>8</v>
      </c>
      <c r="F85" s="311">
        <f>E85/F$66</f>
        <v>0.30769230769230771</v>
      </c>
      <c r="G85" s="230">
        <v>8</v>
      </c>
      <c r="H85" s="395">
        <f>G85/H$66</f>
        <v>0.30769230769230771</v>
      </c>
      <c r="I85" s="283">
        <f>1+4+2</f>
        <v>7</v>
      </c>
      <c r="J85" s="221">
        <f>I85/J$66</f>
        <v>0.26923076923076922</v>
      </c>
      <c r="K85" s="230">
        <v>8</v>
      </c>
      <c r="L85" s="221">
        <f>K85/L$66</f>
        <v>0.29629629629629628</v>
      </c>
      <c r="M85" s="230">
        <f>2+4</f>
        <v>6</v>
      </c>
      <c r="N85" s="216">
        <f>M85/N$66</f>
        <v>0.24</v>
      </c>
      <c r="O85" s="283">
        <v>6</v>
      </c>
      <c r="P85" s="216">
        <f>O85/P$66</f>
        <v>0.2857142857142857</v>
      </c>
      <c r="Q85" s="283">
        <v>4</v>
      </c>
      <c r="R85" s="216">
        <f>Q85/R$66</f>
        <v>0.22222222222222221</v>
      </c>
      <c r="S85" s="283">
        <v>8</v>
      </c>
      <c r="T85" s="216">
        <f>S85/T$66</f>
        <v>0.36363636363636365</v>
      </c>
      <c r="U85" s="283">
        <v>7</v>
      </c>
      <c r="V85" s="216">
        <f>U85/V$66</f>
        <v>0.31818181818181818</v>
      </c>
      <c r="W85" s="283">
        <f>3+5</f>
        <v>8</v>
      </c>
      <c r="X85" s="216">
        <f>W85/X$66</f>
        <v>0.29629629629629628</v>
      </c>
      <c r="Y85" s="283">
        <v>8</v>
      </c>
      <c r="Z85" s="1494">
        <f>Y85/Z$66</f>
        <v>0.32</v>
      </c>
      <c r="AB85" s="1016">
        <f t="shared" si="14"/>
        <v>7</v>
      </c>
      <c r="AC85" s="863">
        <f t="shared" si="15"/>
        <v>0.30406734006734004</v>
      </c>
    </row>
    <row r="86" spans="1:31" s="3" customFormat="1" ht="12" x14ac:dyDescent="0.2">
      <c r="B86" s="75" t="s">
        <v>131</v>
      </c>
      <c r="C86" s="224">
        <v>4</v>
      </c>
      <c r="D86" s="216">
        <f t="shared" si="16"/>
        <v>0.16666666666666666</v>
      </c>
      <c r="E86" s="223">
        <v>3</v>
      </c>
      <c r="F86" s="311">
        <f>E86/F$66</f>
        <v>0.11538461538461539</v>
      </c>
      <c r="G86" s="230">
        <v>3</v>
      </c>
      <c r="H86" s="395">
        <f>G86/H$66</f>
        <v>0.11538461538461539</v>
      </c>
      <c r="I86" s="283">
        <v>3</v>
      </c>
      <c r="J86" s="221">
        <f>I86/J$66</f>
        <v>0.11538461538461539</v>
      </c>
      <c r="K86" s="230">
        <v>4</v>
      </c>
      <c r="L86" s="221">
        <f>K86/L$66</f>
        <v>0.14814814814814814</v>
      </c>
      <c r="M86" s="230">
        <v>3</v>
      </c>
      <c r="N86" s="216">
        <f>M86/N$66</f>
        <v>0.12</v>
      </c>
      <c r="O86" s="283">
        <v>1</v>
      </c>
      <c r="P86" s="216">
        <f>O86/P$66</f>
        <v>4.7619047619047616E-2</v>
      </c>
      <c r="Q86" s="283">
        <v>2</v>
      </c>
      <c r="R86" s="216">
        <f>Q86/R$66</f>
        <v>0.1111111111111111</v>
      </c>
      <c r="S86" s="283">
        <v>2</v>
      </c>
      <c r="T86" s="216">
        <f>S86/T$66</f>
        <v>9.0909090909090912E-2</v>
      </c>
      <c r="U86" s="283">
        <v>2</v>
      </c>
      <c r="V86" s="216">
        <f>U86/V$66</f>
        <v>9.0909090909090912E-2</v>
      </c>
      <c r="W86" s="283">
        <v>2</v>
      </c>
      <c r="X86" s="216">
        <f>W86/X$66</f>
        <v>7.407407407407407E-2</v>
      </c>
      <c r="Y86" s="283">
        <v>3</v>
      </c>
      <c r="Z86" s="1494">
        <f>Y86/Z$66</f>
        <v>0.12</v>
      </c>
      <c r="AB86" s="1016">
        <f t="shared" si="14"/>
        <v>2.2000000000000002</v>
      </c>
      <c r="AC86" s="863">
        <f t="shared" si="15"/>
        <v>9.7400673400673404E-2</v>
      </c>
    </row>
    <row r="87" spans="1:31" s="3" customFormat="1" thickBot="1" x14ac:dyDescent="0.25">
      <c r="B87" s="344" t="s">
        <v>132</v>
      </c>
      <c r="C87" s="61">
        <v>0</v>
      </c>
      <c r="D87" s="220">
        <f t="shared" si="16"/>
        <v>0</v>
      </c>
      <c r="E87" s="228">
        <v>0</v>
      </c>
      <c r="F87" s="312">
        <f>E87/F$66</f>
        <v>0</v>
      </c>
      <c r="G87" s="375">
        <v>0</v>
      </c>
      <c r="H87" s="397">
        <f>G87/H$66</f>
        <v>0</v>
      </c>
      <c r="I87" s="284">
        <v>0</v>
      </c>
      <c r="J87" s="222">
        <f>I87/J$66</f>
        <v>0</v>
      </c>
      <c r="K87" s="375">
        <v>0</v>
      </c>
      <c r="L87" s="222">
        <f>K87/L$66</f>
        <v>0</v>
      </c>
      <c r="M87" s="375">
        <v>0</v>
      </c>
      <c r="N87" s="220">
        <f>M87/N$66</f>
        <v>0</v>
      </c>
      <c r="O87" s="284">
        <v>0</v>
      </c>
      <c r="P87" s="220">
        <f>O87/P$66</f>
        <v>0</v>
      </c>
      <c r="Q87" s="284">
        <v>0</v>
      </c>
      <c r="R87" s="220">
        <f>Q87/R$66</f>
        <v>0</v>
      </c>
      <c r="S87" s="284">
        <v>0</v>
      </c>
      <c r="T87" s="220">
        <f>S87/T$66</f>
        <v>0</v>
      </c>
      <c r="U87" s="284">
        <v>0</v>
      </c>
      <c r="V87" s="220">
        <f>U87/V$66</f>
        <v>0</v>
      </c>
      <c r="W87" s="284">
        <v>0</v>
      </c>
      <c r="X87" s="220">
        <f>W87/X$66</f>
        <v>0</v>
      </c>
      <c r="Y87" s="284">
        <v>0</v>
      </c>
      <c r="Z87" s="1495">
        <f>Y87/Z$66</f>
        <v>0</v>
      </c>
      <c r="AB87" s="1016">
        <f t="shared" si="14"/>
        <v>0</v>
      </c>
      <c r="AC87" s="863">
        <f t="shared" si="15"/>
        <v>0</v>
      </c>
    </row>
    <row r="88" spans="1:31" ht="14.25" thickTop="1" thickBot="1" x14ac:dyDescent="0.25">
      <c r="A88" s="1"/>
      <c r="B88" s="956" t="s">
        <v>186</v>
      </c>
      <c r="C88" s="1992" t="s">
        <v>51</v>
      </c>
      <c r="D88" s="1993"/>
      <c r="E88" s="1992" t="s">
        <v>52</v>
      </c>
      <c r="F88" s="1993"/>
      <c r="G88" s="1989" t="s">
        <v>184</v>
      </c>
      <c r="H88" s="1990"/>
      <c r="I88" s="1989" t="s">
        <v>185</v>
      </c>
      <c r="J88" s="1990"/>
      <c r="K88" s="1989" t="s">
        <v>202</v>
      </c>
      <c r="L88" s="1990"/>
      <c r="M88" s="1991" t="s">
        <v>203</v>
      </c>
      <c r="N88" s="1979"/>
      <c r="O88" s="1970" t="s">
        <v>228</v>
      </c>
      <c r="P88" s="1979"/>
      <c r="Q88" s="1970" t="s">
        <v>238</v>
      </c>
      <c r="R88" s="1979"/>
      <c r="S88" s="1970" t="s">
        <v>273</v>
      </c>
      <c r="T88" s="1979"/>
      <c r="U88" s="1970" t="s">
        <v>275</v>
      </c>
      <c r="V88" s="1979"/>
      <c r="W88" s="1970" t="s">
        <v>281</v>
      </c>
      <c r="X88" s="1979"/>
      <c r="Y88" s="1970" t="s">
        <v>291</v>
      </c>
      <c r="Z88" s="1976"/>
      <c r="AB88" s="2003" t="s">
        <v>213</v>
      </c>
      <c r="AC88" s="2004"/>
    </row>
    <row r="89" spans="1:31" x14ac:dyDescent="0.2">
      <c r="A89" s="1"/>
      <c r="B89" s="957"/>
      <c r="C89" s="958"/>
      <c r="D89" s="959"/>
      <c r="E89" s="1273" t="s">
        <v>133</v>
      </c>
      <c r="F89" s="1180" t="s">
        <v>17</v>
      </c>
      <c r="G89" s="958" t="s">
        <v>133</v>
      </c>
      <c r="H89" s="1242" t="s">
        <v>17</v>
      </c>
      <c r="I89" s="1273" t="s">
        <v>133</v>
      </c>
      <c r="J89" s="1242" t="s">
        <v>17</v>
      </c>
      <c r="K89" s="1273" t="s">
        <v>133</v>
      </c>
      <c r="L89" s="1242" t="s">
        <v>17</v>
      </c>
      <c r="M89" s="1273" t="s">
        <v>133</v>
      </c>
      <c r="N89" s="1242" t="s">
        <v>17</v>
      </c>
      <c r="O89" s="1448" t="s">
        <v>133</v>
      </c>
      <c r="P89" s="1450" t="s">
        <v>17</v>
      </c>
      <c r="Q89" s="1451" t="s">
        <v>133</v>
      </c>
      <c r="R89" s="1450" t="s">
        <v>17</v>
      </c>
      <c r="S89" s="1451" t="s">
        <v>133</v>
      </c>
      <c r="T89" s="1450" t="s">
        <v>17</v>
      </c>
      <c r="U89" s="1768" t="s">
        <v>133</v>
      </c>
      <c r="V89" s="1450" t="s">
        <v>17</v>
      </c>
      <c r="W89" s="1768" t="s">
        <v>133</v>
      </c>
      <c r="X89" s="1450" t="s">
        <v>17</v>
      </c>
      <c r="Y89" s="1768" t="s">
        <v>133</v>
      </c>
      <c r="Z89" s="1452" t="s">
        <v>17</v>
      </c>
      <c r="AB89" s="953" t="s">
        <v>133</v>
      </c>
      <c r="AC89" s="954" t="s">
        <v>17</v>
      </c>
    </row>
    <row r="90" spans="1:31" x14ac:dyDescent="0.2">
      <c r="A90" s="1"/>
      <c r="B90" s="341" t="s">
        <v>187</v>
      </c>
      <c r="C90" s="960">
        <v>1</v>
      </c>
      <c r="D90" s="961">
        <v>0.5</v>
      </c>
      <c r="E90" s="960">
        <v>0</v>
      </c>
      <c r="F90" s="961">
        <v>0</v>
      </c>
      <c r="G90" s="960">
        <v>0</v>
      </c>
      <c r="H90" s="961">
        <v>0</v>
      </c>
      <c r="I90" s="960">
        <v>0</v>
      </c>
      <c r="J90" s="961">
        <v>0</v>
      </c>
      <c r="K90" s="960">
        <v>0</v>
      </c>
      <c r="L90" s="961">
        <v>0</v>
      </c>
      <c r="M90" s="960">
        <v>1</v>
      </c>
      <c r="N90" s="961">
        <v>0.5</v>
      </c>
      <c r="O90" s="960">
        <v>1</v>
      </c>
      <c r="P90" s="961">
        <v>0.5</v>
      </c>
      <c r="Q90" s="960">
        <v>1</v>
      </c>
      <c r="R90" s="961">
        <v>0.5</v>
      </c>
      <c r="S90" s="960">
        <v>1</v>
      </c>
      <c r="T90" s="961">
        <v>0.5</v>
      </c>
      <c r="U90" s="960">
        <v>1</v>
      </c>
      <c r="V90" s="961">
        <v>0.5</v>
      </c>
      <c r="W90" s="960">
        <v>2</v>
      </c>
      <c r="X90" s="961">
        <v>1</v>
      </c>
      <c r="Y90" s="960">
        <v>2</v>
      </c>
      <c r="Z90" s="1517">
        <v>1</v>
      </c>
      <c r="AB90" s="1115">
        <f t="shared" ref="AB90:AB92" si="17">AVERAGE(W90,U90,Q90,S90,Y90)</f>
        <v>1.4</v>
      </c>
      <c r="AC90" s="1116">
        <f t="shared" ref="AC90:AC92" si="18">AVERAGE(X90,V90,R90,T90,Z90)</f>
        <v>0.7</v>
      </c>
    </row>
    <row r="91" spans="1:31" x14ac:dyDescent="0.2">
      <c r="A91" s="1"/>
      <c r="B91" s="341" t="s">
        <v>188</v>
      </c>
      <c r="C91" s="960">
        <v>9</v>
      </c>
      <c r="D91" s="961">
        <v>4.5</v>
      </c>
      <c r="E91" s="960">
        <v>11</v>
      </c>
      <c r="F91" s="961">
        <v>5.5</v>
      </c>
      <c r="G91" s="960">
        <v>9</v>
      </c>
      <c r="H91" s="961">
        <v>4.5</v>
      </c>
      <c r="I91" s="960">
        <v>8</v>
      </c>
      <c r="J91" s="961">
        <v>4</v>
      </c>
      <c r="K91" s="960">
        <v>8</v>
      </c>
      <c r="L91" s="961">
        <v>3.9</v>
      </c>
      <c r="M91" s="960">
        <v>9</v>
      </c>
      <c r="N91" s="961">
        <v>4</v>
      </c>
      <c r="O91" s="960">
        <v>8</v>
      </c>
      <c r="P91" s="961">
        <v>3.5</v>
      </c>
      <c r="Q91" s="960">
        <v>8</v>
      </c>
      <c r="R91" s="961">
        <v>3.5</v>
      </c>
      <c r="S91" s="960">
        <v>9</v>
      </c>
      <c r="T91" s="961">
        <v>4.5</v>
      </c>
      <c r="U91" s="960">
        <v>9</v>
      </c>
      <c r="V91" s="961">
        <v>4.5</v>
      </c>
      <c r="W91" s="960">
        <v>8</v>
      </c>
      <c r="X91" s="961">
        <v>4</v>
      </c>
      <c r="Y91" s="960">
        <v>7</v>
      </c>
      <c r="Z91" s="1517">
        <v>3.5</v>
      </c>
      <c r="AB91" s="1115">
        <f t="shared" si="17"/>
        <v>8.1999999999999993</v>
      </c>
      <c r="AC91" s="1116">
        <f t="shared" si="18"/>
        <v>4</v>
      </c>
    </row>
    <row r="92" spans="1:31" ht="13.5" thickBot="1" x14ac:dyDescent="0.25">
      <c r="A92" s="1"/>
      <c r="B92" s="344" t="s">
        <v>211</v>
      </c>
      <c r="C92" s="962">
        <v>0</v>
      </c>
      <c r="D92" s="963">
        <v>0</v>
      </c>
      <c r="E92" s="964">
        <v>0</v>
      </c>
      <c r="F92" s="963">
        <v>0</v>
      </c>
      <c r="G92" s="964">
        <v>0</v>
      </c>
      <c r="H92" s="963">
        <v>0</v>
      </c>
      <c r="I92" s="964">
        <v>0</v>
      </c>
      <c r="J92" s="963">
        <v>0</v>
      </c>
      <c r="K92" s="964">
        <v>0</v>
      </c>
      <c r="L92" s="963">
        <v>0</v>
      </c>
      <c r="M92" s="964">
        <v>0</v>
      </c>
      <c r="N92" s="963">
        <v>0</v>
      </c>
      <c r="O92" s="964">
        <v>0</v>
      </c>
      <c r="P92" s="963">
        <v>0</v>
      </c>
      <c r="Q92" s="964">
        <v>0</v>
      </c>
      <c r="R92" s="963">
        <v>0</v>
      </c>
      <c r="S92" s="964">
        <v>0</v>
      </c>
      <c r="T92" s="963">
        <v>0</v>
      </c>
      <c r="U92" s="964">
        <v>0</v>
      </c>
      <c r="V92" s="963">
        <v>0</v>
      </c>
      <c r="W92" s="964">
        <v>0</v>
      </c>
      <c r="X92" s="963">
        <v>0</v>
      </c>
      <c r="Y92" s="964">
        <v>0</v>
      </c>
      <c r="Z92" s="1518">
        <v>0</v>
      </c>
      <c r="AB92" s="1115">
        <f t="shared" si="17"/>
        <v>0</v>
      </c>
      <c r="AC92" s="1116">
        <f t="shared" si="18"/>
        <v>0</v>
      </c>
    </row>
    <row r="93" spans="1:31" ht="17.25" thickTop="1" thickBot="1" x14ac:dyDescent="0.3">
      <c r="A93" s="966"/>
      <c r="B93" s="967"/>
      <c r="C93" s="1992" t="s">
        <v>51</v>
      </c>
      <c r="D93" s="1993"/>
      <c r="E93" s="1992" t="s">
        <v>52</v>
      </c>
      <c r="F93" s="1993"/>
      <c r="G93" s="1989" t="s">
        <v>184</v>
      </c>
      <c r="H93" s="1990"/>
      <c r="I93" s="1989" t="s">
        <v>185</v>
      </c>
      <c r="J93" s="1990"/>
      <c r="K93" s="1989" t="s">
        <v>202</v>
      </c>
      <c r="L93" s="1990"/>
      <c r="M93" s="1991" t="s">
        <v>203</v>
      </c>
      <c r="N93" s="1979"/>
      <c r="O93" s="1970" t="s">
        <v>254</v>
      </c>
      <c r="P93" s="1979"/>
      <c r="Q93" s="1970" t="s">
        <v>238</v>
      </c>
      <c r="R93" s="1979"/>
      <c r="S93" s="1970" t="s">
        <v>273</v>
      </c>
      <c r="T93" s="1979"/>
      <c r="U93" s="1970" t="s">
        <v>275</v>
      </c>
      <c r="V93" s="1979"/>
      <c r="W93" s="1970" t="s">
        <v>281</v>
      </c>
      <c r="X93" s="1979"/>
      <c r="Y93" s="1970" t="s">
        <v>291</v>
      </c>
      <c r="Z93" s="1976"/>
      <c r="AA93" s="968"/>
      <c r="AB93" s="1987"/>
      <c r="AC93" s="1988"/>
      <c r="AD93" s="3"/>
      <c r="AE93" s="3"/>
    </row>
    <row r="94" spans="1:31" x14ac:dyDescent="0.2">
      <c r="A94" s="3"/>
      <c r="B94" s="342" t="s">
        <v>210</v>
      </c>
      <c r="C94" s="3"/>
      <c r="D94" s="969"/>
      <c r="E94" s="970"/>
      <c r="F94" s="971"/>
      <c r="G94" s="972"/>
      <c r="H94" s="973"/>
      <c r="I94" s="974"/>
      <c r="J94" s="593"/>
      <c r="K94" s="975"/>
      <c r="L94" s="976"/>
      <c r="M94" s="975"/>
      <c r="N94" s="991"/>
      <c r="O94" s="117"/>
      <c r="P94" s="1422"/>
      <c r="Q94" s="975"/>
      <c r="R94" s="991"/>
      <c r="S94" s="975"/>
      <c r="T94" s="991"/>
      <c r="U94" s="117"/>
      <c r="V94" s="1422"/>
      <c r="W94" s="975"/>
      <c r="X94" s="976"/>
      <c r="Y94" s="975"/>
      <c r="Z94" s="977"/>
      <c r="AA94" s="28"/>
      <c r="AB94" s="28"/>
      <c r="AC94" s="28"/>
      <c r="AD94" s="3"/>
      <c r="AE94" s="3"/>
    </row>
    <row r="95" spans="1:31" x14ac:dyDescent="0.2">
      <c r="A95" s="930"/>
      <c r="B95" s="979" t="s">
        <v>192</v>
      </c>
      <c r="C95" s="1983">
        <v>7.36</v>
      </c>
      <c r="D95" s="1984"/>
      <c r="E95" s="980"/>
      <c r="F95" s="981"/>
      <c r="G95" s="982"/>
      <c r="H95" s="983"/>
      <c r="I95" s="1983">
        <v>6.9</v>
      </c>
      <c r="J95" s="1984"/>
      <c r="K95" s="984"/>
      <c r="L95" s="985"/>
      <c r="M95" s="984"/>
      <c r="N95" s="991"/>
      <c r="O95" s="136"/>
      <c r="P95" s="1401">
        <v>14</v>
      </c>
      <c r="Q95" s="984"/>
      <c r="R95" s="991"/>
      <c r="S95" s="984"/>
      <c r="T95" s="991"/>
      <c r="U95" s="136"/>
      <c r="V95" s="1401">
        <v>12</v>
      </c>
      <c r="W95" s="984"/>
      <c r="X95" s="991"/>
      <c r="Y95" s="984"/>
      <c r="Z95" s="977"/>
      <c r="AA95" s="28"/>
      <c r="AB95" s="28"/>
      <c r="AC95" s="1106"/>
      <c r="AD95" s="3"/>
      <c r="AE95" s="3"/>
    </row>
    <row r="96" spans="1:31" x14ac:dyDescent="0.2">
      <c r="A96" s="930"/>
      <c r="B96" s="986" t="s">
        <v>193</v>
      </c>
      <c r="C96" s="1983"/>
      <c r="D96" s="1984"/>
      <c r="E96" s="980"/>
      <c r="F96" s="981"/>
      <c r="G96" s="982"/>
      <c r="H96" s="983"/>
      <c r="I96" s="1983"/>
      <c r="J96" s="1984"/>
      <c r="K96" s="984"/>
      <c r="L96" s="985"/>
      <c r="M96" s="984"/>
      <c r="N96" s="991"/>
      <c r="O96" s="136"/>
      <c r="P96" s="1401"/>
      <c r="Q96" s="984"/>
      <c r="R96" s="991"/>
      <c r="S96" s="984"/>
      <c r="T96" s="991"/>
      <c r="U96" s="136"/>
      <c r="V96" s="1401"/>
      <c r="W96" s="984"/>
      <c r="X96" s="991"/>
      <c r="Y96" s="984"/>
      <c r="Z96" s="977"/>
      <c r="AA96" s="28"/>
      <c r="AB96" s="28"/>
      <c r="AC96" s="1106"/>
      <c r="AD96" s="3"/>
      <c r="AE96" s="3"/>
    </row>
    <row r="97" spans="1:31" x14ac:dyDescent="0.2">
      <c r="A97" s="930"/>
      <c r="B97" s="986" t="s">
        <v>194</v>
      </c>
      <c r="C97" s="1983">
        <v>3</v>
      </c>
      <c r="D97" s="1984"/>
      <c r="E97" s="980"/>
      <c r="F97" s="981"/>
      <c r="G97" s="982"/>
      <c r="H97" s="983"/>
      <c r="I97" s="1983">
        <v>3.5</v>
      </c>
      <c r="J97" s="1984"/>
      <c r="K97" s="984"/>
      <c r="L97" s="985"/>
      <c r="M97" s="984"/>
      <c r="N97" s="991"/>
      <c r="O97" s="136"/>
      <c r="P97" s="1401">
        <v>2.5</v>
      </c>
      <c r="Q97" s="984"/>
      <c r="R97" s="991"/>
      <c r="S97" s="984"/>
      <c r="T97" s="991"/>
      <c r="U97" s="136"/>
      <c r="V97" s="1401">
        <v>1</v>
      </c>
      <c r="W97" s="984"/>
      <c r="X97" s="991"/>
      <c r="Y97" s="984"/>
      <c r="Z97" s="977"/>
      <c r="AA97" s="28"/>
      <c r="AB97" s="28"/>
      <c r="AC97" s="1106"/>
      <c r="AD97" s="3"/>
      <c r="AE97" s="3"/>
    </row>
    <row r="98" spans="1:31" x14ac:dyDescent="0.2">
      <c r="A98" s="930"/>
      <c r="B98" s="979" t="s">
        <v>195</v>
      </c>
      <c r="C98" s="1983">
        <v>1.5</v>
      </c>
      <c r="D98" s="1984"/>
      <c r="E98" s="980"/>
      <c r="F98" s="981"/>
      <c r="G98" s="982"/>
      <c r="H98" s="983"/>
      <c r="I98" s="1983">
        <v>0.5</v>
      </c>
      <c r="J98" s="1984"/>
      <c r="K98" s="984"/>
      <c r="L98" s="985"/>
      <c r="M98" s="984"/>
      <c r="N98" s="991"/>
      <c r="O98" s="136"/>
      <c r="P98" s="1401">
        <v>1.5</v>
      </c>
      <c r="Q98" s="984"/>
      <c r="R98" s="991"/>
      <c r="S98" s="984"/>
      <c r="T98" s="991"/>
      <c r="U98" s="136"/>
      <c r="V98" s="1401">
        <v>4</v>
      </c>
      <c r="W98" s="984"/>
      <c r="X98" s="991"/>
      <c r="Y98" s="984"/>
      <c r="Z98" s="977"/>
      <c r="AA98" s="28"/>
      <c r="AB98" s="28"/>
      <c r="AC98" s="1106"/>
      <c r="AD98" s="3"/>
      <c r="AE98" s="3"/>
    </row>
    <row r="99" spans="1:31" x14ac:dyDescent="0.2">
      <c r="A99" s="930"/>
      <c r="B99" s="987" t="s">
        <v>196</v>
      </c>
      <c r="C99" s="1983">
        <v>4.34</v>
      </c>
      <c r="D99" s="1984"/>
      <c r="E99" s="980"/>
      <c r="F99" s="981"/>
      <c r="G99" s="982"/>
      <c r="H99" s="983"/>
      <c r="I99" s="1983">
        <v>4.3</v>
      </c>
      <c r="J99" s="1984"/>
      <c r="K99" s="984"/>
      <c r="L99" s="985"/>
      <c r="M99" s="984"/>
      <c r="N99" s="991"/>
      <c r="O99" s="136"/>
      <c r="P99" s="1401">
        <v>6.9</v>
      </c>
      <c r="Q99" s="984"/>
      <c r="R99" s="991"/>
      <c r="S99" s="984"/>
      <c r="T99" s="991"/>
      <c r="U99" s="136"/>
      <c r="V99" s="1401">
        <f>8+1.25</f>
        <v>9.25</v>
      </c>
      <c r="W99" s="984"/>
      <c r="X99" s="991"/>
      <c r="Y99" s="984"/>
      <c r="Z99" s="977"/>
      <c r="AA99" s="28"/>
      <c r="AB99" s="28"/>
      <c r="AC99" s="1106"/>
      <c r="AD99" s="3"/>
      <c r="AE99" s="3"/>
    </row>
    <row r="100" spans="1:31" x14ac:dyDescent="0.2">
      <c r="A100" s="930"/>
      <c r="B100" s="987" t="s">
        <v>197</v>
      </c>
      <c r="C100" s="1983">
        <f>SUM(C95:D99)</f>
        <v>16.2</v>
      </c>
      <c r="D100" s="1984"/>
      <c r="E100" s="980"/>
      <c r="F100" s="981"/>
      <c r="G100" s="982"/>
      <c r="H100" s="983"/>
      <c r="I100" s="1983">
        <f>SUM(I95:J99)</f>
        <v>15.2</v>
      </c>
      <c r="J100" s="1984"/>
      <c r="K100" s="984"/>
      <c r="L100" s="985"/>
      <c r="M100" s="984"/>
      <c r="N100" s="991"/>
      <c r="O100" s="136"/>
      <c r="P100" s="1401">
        <f>SUM(P95:P99)</f>
        <v>24.9</v>
      </c>
      <c r="Q100" s="984"/>
      <c r="R100" s="991"/>
      <c r="S100" s="984"/>
      <c r="T100" s="991"/>
      <c r="U100" s="136"/>
      <c r="V100" s="1401">
        <f>SUM(V95:V99)</f>
        <v>26.25</v>
      </c>
      <c r="W100" s="984"/>
      <c r="X100" s="991"/>
      <c r="Y100" s="984"/>
      <c r="Z100" s="977"/>
      <c r="AA100" s="28"/>
      <c r="AB100" s="28"/>
      <c r="AC100" s="1106"/>
      <c r="AD100" s="3"/>
      <c r="AE100" s="3"/>
    </row>
    <row r="101" spans="1:31" ht="13.5" thickBot="1" x14ac:dyDescent="0.25">
      <c r="A101" s="930"/>
      <c r="B101" s="988" t="s">
        <v>204</v>
      </c>
      <c r="C101" s="2056"/>
      <c r="D101" s="2055"/>
      <c r="E101" s="989"/>
      <c r="F101" s="990"/>
      <c r="G101" s="975"/>
      <c r="H101" s="991"/>
      <c r="I101" s="2056"/>
      <c r="J101" s="2055"/>
      <c r="K101" s="984"/>
      <c r="L101" s="985"/>
      <c r="M101" s="984"/>
      <c r="N101" s="991"/>
      <c r="O101" s="136"/>
      <c r="P101" s="1422"/>
      <c r="Q101" s="984"/>
      <c r="R101" s="991"/>
      <c r="S101" s="984"/>
      <c r="T101" s="991"/>
      <c r="U101" s="136"/>
      <c r="V101" s="1422"/>
      <c r="W101" s="984"/>
      <c r="X101" s="991"/>
      <c r="Y101" s="984"/>
      <c r="Z101" s="977"/>
      <c r="AA101" s="28"/>
      <c r="AB101" s="28"/>
      <c r="AC101" s="1106"/>
      <c r="AD101" s="3"/>
      <c r="AE101" s="3"/>
    </row>
    <row r="102" spans="1:31" x14ac:dyDescent="0.2">
      <c r="A102" s="930"/>
      <c r="B102" s="979" t="s">
        <v>198</v>
      </c>
      <c r="C102" s="2043">
        <v>4551</v>
      </c>
      <c r="D102" s="2044"/>
      <c r="E102" s="992"/>
      <c r="F102" s="993"/>
      <c r="G102" s="994"/>
      <c r="H102" s="995"/>
      <c r="I102" s="2043">
        <v>3270</v>
      </c>
      <c r="J102" s="2044"/>
      <c r="K102" s="984"/>
      <c r="L102" s="985"/>
      <c r="M102" s="984"/>
      <c r="N102" s="991"/>
      <c r="O102" s="136"/>
      <c r="P102" s="1462">
        <v>3013</v>
      </c>
      <c r="Q102" s="984"/>
      <c r="R102" s="991"/>
      <c r="S102" s="984"/>
      <c r="T102" s="991"/>
      <c r="U102" s="136"/>
      <c r="V102" s="1462">
        <v>2763</v>
      </c>
      <c r="W102" s="984"/>
      <c r="X102" s="991"/>
      <c r="Y102" s="984"/>
      <c r="Z102" s="977"/>
      <c r="AA102" s="28"/>
      <c r="AB102" s="28"/>
      <c r="AC102" s="1473"/>
      <c r="AD102" s="3"/>
      <c r="AE102" s="3"/>
    </row>
    <row r="103" spans="1:31" x14ac:dyDescent="0.2">
      <c r="A103" s="930"/>
      <c r="B103" s="987" t="s">
        <v>199</v>
      </c>
      <c r="C103" s="2043">
        <v>0</v>
      </c>
      <c r="D103" s="2044"/>
      <c r="E103" s="992"/>
      <c r="F103" s="993"/>
      <c r="G103" s="994"/>
      <c r="H103" s="995"/>
      <c r="I103" s="2043">
        <v>122</v>
      </c>
      <c r="J103" s="2044"/>
      <c r="K103" s="984"/>
      <c r="L103" s="985"/>
      <c r="M103" s="984"/>
      <c r="N103" s="991"/>
      <c r="O103" s="136"/>
      <c r="P103" s="1462">
        <v>108</v>
      </c>
      <c r="Q103" s="984"/>
      <c r="R103" s="991"/>
      <c r="S103" s="984"/>
      <c r="T103" s="991"/>
      <c r="U103" s="136"/>
      <c r="V103" s="1462">
        <v>42</v>
      </c>
      <c r="W103" s="984"/>
      <c r="X103" s="991"/>
      <c r="Y103" s="984"/>
      <c r="Z103" s="977"/>
      <c r="AA103" s="28"/>
      <c r="AB103" s="28"/>
      <c r="AC103" s="1473"/>
      <c r="AD103" s="3"/>
      <c r="AE103" s="3"/>
    </row>
    <row r="104" spans="1:31" x14ac:dyDescent="0.2">
      <c r="A104" s="930"/>
      <c r="B104" s="987" t="s">
        <v>200</v>
      </c>
      <c r="C104" s="2043">
        <v>1216</v>
      </c>
      <c r="D104" s="2044"/>
      <c r="E104" s="992"/>
      <c r="F104" s="993"/>
      <c r="G104" s="994"/>
      <c r="H104" s="995"/>
      <c r="I104" s="2043">
        <v>1371</v>
      </c>
      <c r="J104" s="2044"/>
      <c r="K104" s="984"/>
      <c r="L104" s="985"/>
      <c r="M104" s="984"/>
      <c r="N104" s="991"/>
      <c r="O104" s="136"/>
      <c r="P104" s="1462">
        <v>916</v>
      </c>
      <c r="Q104" s="984"/>
      <c r="R104" s="991"/>
      <c r="S104" s="984"/>
      <c r="T104" s="991"/>
      <c r="U104" s="136"/>
      <c r="V104" s="1462">
        <f>1429+294</f>
        <v>1723</v>
      </c>
      <c r="W104" s="984"/>
      <c r="X104" s="991"/>
      <c r="Y104" s="984"/>
      <c r="Z104" s="977"/>
      <c r="AA104" s="28"/>
      <c r="AB104" s="28"/>
      <c r="AC104" s="1473"/>
      <c r="AD104" s="3"/>
      <c r="AE104" s="3"/>
    </row>
    <row r="105" spans="1:31" x14ac:dyDescent="0.2">
      <c r="A105" s="930"/>
      <c r="B105" s="987" t="s">
        <v>209</v>
      </c>
      <c r="C105" s="2043">
        <f>SUM(C102:D104)</f>
        <v>5767</v>
      </c>
      <c r="D105" s="2044"/>
      <c r="E105" s="992"/>
      <c r="F105" s="993"/>
      <c r="G105" s="994"/>
      <c r="H105" s="995"/>
      <c r="I105" s="2043">
        <f>SUM(I102:J104)</f>
        <v>4763</v>
      </c>
      <c r="J105" s="2044"/>
      <c r="K105" s="984"/>
      <c r="L105" s="985"/>
      <c r="M105" s="984"/>
      <c r="N105" s="991"/>
      <c r="O105" s="136"/>
      <c r="P105" s="1462">
        <f>SUM(P102:P104)</f>
        <v>4037</v>
      </c>
      <c r="Q105" s="984"/>
      <c r="R105" s="991"/>
      <c r="S105" s="984"/>
      <c r="T105" s="991"/>
      <c r="U105" s="136"/>
      <c r="V105" s="1462">
        <f>SUM(V102:V104)</f>
        <v>4528</v>
      </c>
      <c r="W105" s="984"/>
      <c r="X105" s="991"/>
      <c r="Y105" s="984"/>
      <c r="Z105" s="977"/>
      <c r="AA105" s="28"/>
      <c r="AB105" s="28"/>
      <c r="AC105" s="1473"/>
      <c r="AD105" s="3"/>
      <c r="AE105" s="3"/>
    </row>
    <row r="106" spans="1:31" ht="13.5" thickBot="1" x14ac:dyDescent="0.25">
      <c r="A106" s="930"/>
      <c r="B106" s="988" t="s">
        <v>205</v>
      </c>
      <c r="C106" s="2056"/>
      <c r="D106" s="2055"/>
      <c r="E106" s="989"/>
      <c r="F106" s="990"/>
      <c r="G106" s="975"/>
      <c r="H106" s="991"/>
      <c r="I106" s="2056"/>
      <c r="J106" s="2055"/>
      <c r="K106" s="984"/>
      <c r="L106" s="985"/>
      <c r="M106" s="984"/>
      <c r="N106" s="991"/>
      <c r="O106" s="136"/>
      <c r="P106" s="1422"/>
      <c r="Q106" s="984"/>
      <c r="R106" s="991"/>
      <c r="S106" s="984"/>
      <c r="T106" s="991"/>
      <c r="U106" s="136"/>
      <c r="V106" s="1422"/>
      <c r="W106" s="984"/>
      <c r="X106" s="991"/>
      <c r="Y106" s="984"/>
      <c r="Z106" s="977"/>
      <c r="AA106" s="28"/>
      <c r="AB106" s="28"/>
      <c r="AC106" s="1106"/>
      <c r="AD106" s="28"/>
      <c r="AE106" s="28"/>
    </row>
    <row r="107" spans="1:31" x14ac:dyDescent="0.2">
      <c r="A107" s="930"/>
      <c r="B107" s="979" t="s">
        <v>206</v>
      </c>
      <c r="C107" s="1985">
        <f>C102/C95</f>
        <v>618.34239130434776</v>
      </c>
      <c r="D107" s="1986"/>
      <c r="E107" s="996"/>
      <c r="F107" s="997"/>
      <c r="G107" s="998"/>
      <c r="H107" s="999"/>
      <c r="I107" s="1985">
        <f>I102/I95</f>
        <v>473.91304347826082</v>
      </c>
      <c r="J107" s="1986"/>
      <c r="K107" s="1000"/>
      <c r="L107" s="1001"/>
      <c r="M107" s="1000"/>
      <c r="N107" s="999"/>
      <c r="O107" s="494"/>
      <c r="P107" s="1402">
        <f>P102/P95</f>
        <v>215.21428571428572</v>
      </c>
      <c r="Q107" s="1000"/>
      <c r="R107" s="999"/>
      <c r="S107" s="1000"/>
      <c r="T107" s="999"/>
      <c r="U107" s="494"/>
      <c r="V107" s="1402">
        <f>V102/V95</f>
        <v>230.25</v>
      </c>
      <c r="W107" s="1000"/>
      <c r="X107" s="999"/>
      <c r="Y107" s="1000"/>
      <c r="Z107" s="1460"/>
      <c r="AA107" s="668"/>
      <c r="AB107" s="668"/>
      <c r="AC107" s="1106"/>
      <c r="AD107" s="21"/>
      <c r="AE107" s="21"/>
    </row>
    <row r="108" spans="1:31" x14ac:dyDescent="0.2">
      <c r="A108" s="930"/>
      <c r="B108" s="987" t="s">
        <v>207</v>
      </c>
      <c r="C108" s="1985">
        <f>C103/C97</f>
        <v>0</v>
      </c>
      <c r="D108" s="1986"/>
      <c r="E108" s="996"/>
      <c r="F108" s="997"/>
      <c r="G108" s="998"/>
      <c r="H108" s="999"/>
      <c r="I108" s="1985">
        <f>I103/I97</f>
        <v>34.857142857142854</v>
      </c>
      <c r="J108" s="1986"/>
      <c r="K108" s="1000"/>
      <c r="L108" s="1001"/>
      <c r="M108" s="1000"/>
      <c r="N108" s="999"/>
      <c r="O108" s="494"/>
      <c r="P108" s="1402">
        <f>P103/P97</f>
        <v>43.2</v>
      </c>
      <c r="Q108" s="1000"/>
      <c r="R108" s="999"/>
      <c r="S108" s="1000"/>
      <c r="T108" s="999"/>
      <c r="U108" s="494"/>
      <c r="V108" s="1402">
        <f>V103/(V97+V98)</f>
        <v>8.4</v>
      </c>
      <c r="W108" s="1000"/>
      <c r="X108" s="999"/>
      <c r="Y108" s="1000"/>
      <c r="Z108" s="1460"/>
      <c r="AA108" s="668"/>
      <c r="AB108" s="668"/>
      <c r="AC108" s="1106"/>
      <c r="AD108" s="21"/>
      <c r="AE108" s="21"/>
    </row>
    <row r="109" spans="1:31" x14ac:dyDescent="0.2">
      <c r="A109" s="930"/>
      <c r="B109" s="987" t="s">
        <v>208</v>
      </c>
      <c r="C109" s="1985">
        <f>C104/C99</f>
        <v>280.18433179723502</v>
      </c>
      <c r="D109" s="1986"/>
      <c r="E109" s="996"/>
      <c r="F109" s="997"/>
      <c r="G109" s="998"/>
      <c r="H109" s="999"/>
      <c r="I109" s="1985">
        <f>I104/I99</f>
        <v>318.83720930232562</v>
      </c>
      <c r="J109" s="1986"/>
      <c r="K109" s="1000"/>
      <c r="L109" s="1001"/>
      <c r="M109" s="1000"/>
      <c r="N109" s="999"/>
      <c r="O109" s="494"/>
      <c r="P109" s="1402">
        <f>P104/P99</f>
        <v>132.75362318840578</v>
      </c>
      <c r="Q109" s="1000"/>
      <c r="R109" s="999"/>
      <c r="S109" s="1000"/>
      <c r="T109" s="999"/>
      <c r="U109" s="494"/>
      <c r="V109" s="1402">
        <f>V104/V99</f>
        <v>186.27027027027026</v>
      </c>
      <c r="W109" s="1000"/>
      <c r="X109" s="999"/>
      <c r="Y109" s="1000"/>
      <c r="Z109" s="1460"/>
      <c r="AA109" s="668"/>
      <c r="AB109" s="668"/>
      <c r="AC109" s="1106"/>
      <c r="AD109" s="21"/>
      <c r="AE109" s="21"/>
    </row>
    <row r="110" spans="1:31" ht="13.5" thickBot="1" x14ac:dyDescent="0.25">
      <c r="A110" s="930"/>
      <c r="B110" s="1002" t="s">
        <v>201</v>
      </c>
      <c r="C110" s="2045">
        <f>C105/C100</f>
        <v>355.98765432098764</v>
      </c>
      <c r="D110" s="2046"/>
      <c r="E110" s="1003"/>
      <c r="F110" s="1004"/>
      <c r="G110" s="1005"/>
      <c r="H110" s="1006"/>
      <c r="I110" s="2045">
        <f>I105/I100</f>
        <v>313.35526315789474</v>
      </c>
      <c r="J110" s="2046"/>
      <c r="K110" s="1005"/>
      <c r="L110" s="1006"/>
      <c r="M110" s="1005"/>
      <c r="N110" s="1006"/>
      <c r="O110" s="1233"/>
      <c r="P110" s="1423">
        <f>P105/P100</f>
        <v>162.1285140562249</v>
      </c>
      <c r="Q110" s="1005"/>
      <c r="R110" s="1006"/>
      <c r="S110" s="1005"/>
      <c r="T110" s="1006"/>
      <c r="U110" s="1233"/>
      <c r="V110" s="1423">
        <f>V105/V100</f>
        <v>172.49523809523811</v>
      </c>
      <c r="W110" s="1005"/>
      <c r="X110" s="1006"/>
      <c r="Y110" s="1005"/>
      <c r="Z110" s="1461"/>
      <c r="AA110" s="668"/>
      <c r="AB110" s="668"/>
      <c r="AC110" s="1106"/>
      <c r="AD110" s="21"/>
      <c r="AE110" s="21"/>
    </row>
    <row r="111" spans="1:31" ht="13.5" thickTop="1" x14ac:dyDescent="0.2">
      <c r="A111" s="3"/>
      <c r="B111" s="3" t="str">
        <f>Dean_AS!B169</f>
        <v>*Note: Beginning with the 2009 collection cycle, Instructional FTE was defined according to the national Delaware Study of Instructional Costs and Productivity</v>
      </c>
      <c r="K111" s="3"/>
      <c r="AC111" s="91"/>
    </row>
    <row r="112" spans="1:31" x14ac:dyDescent="0.2">
      <c r="A112" s="3"/>
      <c r="B112" s="3"/>
      <c r="K112" s="3"/>
    </row>
    <row r="113" spans="1:16" x14ac:dyDescent="0.2">
      <c r="A113" s="3"/>
      <c r="B113" s="3"/>
      <c r="K113" s="3"/>
      <c r="P113" s="1" t="s">
        <v>29</v>
      </c>
    </row>
    <row r="114" spans="1:16" x14ac:dyDescent="0.2">
      <c r="A114" s="3"/>
      <c r="B114" s="3"/>
      <c r="K114" s="3"/>
    </row>
    <row r="115" spans="1:16" x14ac:dyDescent="0.2">
      <c r="A115" s="3"/>
      <c r="B115" s="3"/>
      <c r="K115" s="3"/>
    </row>
    <row r="116" spans="1:16" x14ac:dyDescent="0.2">
      <c r="A116" s="3"/>
      <c r="B116" s="3"/>
      <c r="K116" s="3"/>
    </row>
    <row r="117" spans="1:16" x14ac:dyDescent="0.2">
      <c r="A117" s="3"/>
      <c r="B117" s="3"/>
      <c r="K117" s="3"/>
    </row>
    <row r="118" spans="1:16" x14ac:dyDescent="0.2">
      <c r="A118" s="3"/>
      <c r="B118" s="3"/>
      <c r="K118" s="3"/>
    </row>
    <row r="119" spans="1:16" x14ac:dyDescent="0.2">
      <c r="A119" s="3"/>
      <c r="B119" s="3"/>
      <c r="K119" s="3"/>
    </row>
    <row r="120" spans="1:16" x14ac:dyDescent="0.2">
      <c r="A120" s="3"/>
      <c r="B120" s="3"/>
      <c r="K120" s="3"/>
    </row>
    <row r="121" spans="1:16" x14ac:dyDescent="0.2">
      <c r="A121" s="3"/>
      <c r="B121" s="3"/>
      <c r="K121" s="3"/>
    </row>
    <row r="122" spans="1:16" x14ac:dyDescent="0.2">
      <c r="A122" s="3"/>
      <c r="B122" s="3"/>
      <c r="K122" s="3"/>
    </row>
    <row r="123" spans="1:16" x14ac:dyDescent="0.2">
      <c r="A123" s="3"/>
      <c r="B123" s="3"/>
      <c r="K123" s="3"/>
    </row>
    <row r="124" spans="1:16" x14ac:dyDescent="0.2">
      <c r="A124" s="3"/>
      <c r="B124" s="3"/>
      <c r="K124" s="3"/>
    </row>
    <row r="125" spans="1:16" x14ac:dyDescent="0.2">
      <c r="A125" s="3"/>
      <c r="B125" s="3"/>
      <c r="K125" s="3"/>
    </row>
    <row r="126" spans="1:16" x14ac:dyDescent="0.2">
      <c r="A126" s="3"/>
      <c r="B126" s="3"/>
      <c r="K126" s="3"/>
    </row>
    <row r="127" spans="1:16" x14ac:dyDescent="0.2">
      <c r="A127" s="3"/>
      <c r="B127" s="3"/>
      <c r="K127" s="3"/>
    </row>
    <row r="128" spans="1:16" x14ac:dyDescent="0.2">
      <c r="A128" s="3"/>
      <c r="B128" s="3"/>
      <c r="K128" s="3"/>
    </row>
    <row r="129" spans="1:11" x14ac:dyDescent="0.2">
      <c r="A129" s="3"/>
      <c r="B129" s="3"/>
      <c r="K129" s="3"/>
    </row>
    <row r="130" spans="1:11" x14ac:dyDescent="0.2">
      <c r="A130" s="3"/>
      <c r="B130" s="3"/>
      <c r="K130" s="3"/>
    </row>
    <row r="131" spans="1:11" x14ac:dyDescent="0.2">
      <c r="A131" s="3"/>
      <c r="B131" s="3"/>
      <c r="K131" s="3"/>
    </row>
    <row r="132" spans="1:11" x14ac:dyDescent="0.2">
      <c r="A132" s="3"/>
      <c r="B132" s="3"/>
      <c r="K132" s="3"/>
    </row>
    <row r="133" spans="1:11" x14ac:dyDescent="0.2">
      <c r="A133" s="3"/>
      <c r="B133" s="3"/>
      <c r="K133" s="3"/>
    </row>
    <row r="134" spans="1:11" x14ac:dyDescent="0.2">
      <c r="A134" s="3"/>
      <c r="B134" s="3"/>
      <c r="K134" s="3"/>
    </row>
    <row r="135" spans="1:11" x14ac:dyDescent="0.2">
      <c r="A135" s="3"/>
      <c r="B135" s="3"/>
      <c r="K135" s="3"/>
    </row>
    <row r="136" spans="1:11" x14ac:dyDescent="0.2">
      <c r="A136" s="3"/>
      <c r="B136" s="3"/>
      <c r="K136" s="3"/>
    </row>
    <row r="137" spans="1:11" x14ac:dyDescent="0.2">
      <c r="A137" s="3"/>
      <c r="B137" s="3"/>
      <c r="K137" s="3"/>
    </row>
    <row r="138" spans="1:11" x14ac:dyDescent="0.2">
      <c r="A138" s="3"/>
      <c r="B138" s="3"/>
      <c r="K138" s="3"/>
    </row>
    <row r="139" spans="1:11" x14ac:dyDescent="0.2">
      <c r="A139" s="3"/>
      <c r="B139" s="3"/>
      <c r="K139" s="3"/>
    </row>
    <row r="140" spans="1:11" x14ac:dyDescent="0.2">
      <c r="A140" s="3"/>
      <c r="B140" s="3"/>
      <c r="K140" s="3"/>
    </row>
    <row r="141" spans="1:11" x14ac:dyDescent="0.2">
      <c r="A141" s="3"/>
      <c r="B141" s="3"/>
      <c r="K141" s="3"/>
    </row>
    <row r="142" spans="1:11" x14ac:dyDescent="0.2">
      <c r="A142" s="3"/>
      <c r="B142" s="3"/>
      <c r="K142" s="3"/>
    </row>
    <row r="143" spans="1:11" x14ac:dyDescent="0.2">
      <c r="A143" s="3"/>
      <c r="B143" s="3"/>
      <c r="K143" s="3"/>
    </row>
    <row r="144" spans="1:11" x14ac:dyDescent="0.2">
      <c r="A144" s="3"/>
      <c r="B144" s="3"/>
      <c r="K144" s="3"/>
    </row>
    <row r="145" spans="1:11" x14ac:dyDescent="0.2">
      <c r="A145" s="3"/>
      <c r="B145" s="3"/>
      <c r="K145" s="3"/>
    </row>
    <row r="146" spans="1:11" x14ac:dyDescent="0.2">
      <c r="A146" s="3"/>
      <c r="B146" s="3"/>
      <c r="K146" s="3"/>
    </row>
    <row r="147" spans="1:11" x14ac:dyDescent="0.2">
      <c r="A147" s="3"/>
      <c r="B147" s="3"/>
      <c r="K147" s="3"/>
    </row>
    <row r="148" spans="1:11" x14ac:dyDescent="0.2">
      <c r="A148" s="3"/>
      <c r="B148" s="3"/>
      <c r="K148" s="3"/>
    </row>
    <row r="149" spans="1:11" x14ac:dyDescent="0.2">
      <c r="A149" s="3"/>
      <c r="B149" s="3"/>
      <c r="K149" s="3"/>
    </row>
    <row r="150" spans="1:11" x14ac:dyDescent="0.2">
      <c r="A150" s="3"/>
      <c r="B150" s="3"/>
      <c r="K150" s="3"/>
    </row>
    <row r="151" spans="1:11" x14ac:dyDescent="0.2">
      <c r="A151" s="3"/>
      <c r="B151" s="3"/>
      <c r="K151" s="3"/>
    </row>
    <row r="152" spans="1:11" x14ac:dyDescent="0.2">
      <c r="A152" s="3"/>
      <c r="B152" s="3"/>
      <c r="K152" s="3"/>
    </row>
    <row r="153" spans="1:11" x14ac:dyDescent="0.2">
      <c r="A153" s="3"/>
      <c r="B153" s="3"/>
      <c r="K153" s="3"/>
    </row>
    <row r="154" spans="1:11" x14ac:dyDescent="0.2">
      <c r="A154" s="3"/>
      <c r="B154" s="3"/>
      <c r="K154" s="3"/>
    </row>
    <row r="155" spans="1:11" x14ac:dyDescent="0.2">
      <c r="A155" s="3"/>
      <c r="B155" s="3"/>
      <c r="K155" s="3"/>
    </row>
    <row r="156" spans="1:11" x14ac:dyDescent="0.2">
      <c r="A156" s="3"/>
      <c r="B156" s="3"/>
      <c r="K156" s="3"/>
    </row>
    <row r="157" spans="1:11" x14ac:dyDescent="0.2">
      <c r="A157" s="3"/>
      <c r="B157" s="3"/>
      <c r="K157" s="3"/>
    </row>
    <row r="158" spans="1:11" x14ac:dyDescent="0.2">
      <c r="A158" s="3"/>
      <c r="B158" s="3"/>
      <c r="K158" s="3"/>
    </row>
    <row r="159" spans="1:11" x14ac:dyDescent="0.2">
      <c r="A159" s="3"/>
      <c r="B159" s="3"/>
      <c r="K159" s="3"/>
    </row>
    <row r="160" spans="1:11" x14ac:dyDescent="0.2">
      <c r="A160" s="3"/>
      <c r="B160" s="3"/>
      <c r="K160" s="3"/>
    </row>
    <row r="161" spans="1:11" x14ac:dyDescent="0.2">
      <c r="A161" s="3"/>
      <c r="B161" s="3"/>
      <c r="K161" s="3"/>
    </row>
    <row r="162" spans="1:11" x14ac:dyDescent="0.2">
      <c r="A162" s="3"/>
      <c r="B162" s="3"/>
      <c r="K162" s="3"/>
    </row>
    <row r="163" spans="1:11" x14ac:dyDescent="0.2">
      <c r="A163" s="3"/>
      <c r="B163" s="3"/>
      <c r="K163" s="3"/>
    </row>
    <row r="164" spans="1:11" x14ac:dyDescent="0.2">
      <c r="A164" s="3"/>
      <c r="B164" s="3"/>
      <c r="K164" s="3"/>
    </row>
    <row r="165" spans="1:11" x14ac:dyDescent="0.2">
      <c r="A165" s="3"/>
      <c r="B165" s="3"/>
      <c r="K165" s="3"/>
    </row>
    <row r="166" spans="1:11" x14ac:dyDescent="0.2">
      <c r="A166" s="3"/>
      <c r="B166" s="3"/>
      <c r="K166" s="3"/>
    </row>
    <row r="167" spans="1:11" x14ac:dyDescent="0.2">
      <c r="A167" s="3"/>
      <c r="B167" s="3"/>
      <c r="K167" s="3"/>
    </row>
    <row r="168" spans="1:11" x14ac:dyDescent="0.2">
      <c r="A168" s="3"/>
      <c r="B168" s="3"/>
      <c r="K168" s="3"/>
    </row>
    <row r="169" spans="1:11" x14ac:dyDescent="0.2">
      <c r="A169" s="3"/>
      <c r="B169" s="3"/>
      <c r="K169" s="3"/>
    </row>
    <row r="170" spans="1:11" x14ac:dyDescent="0.2">
      <c r="A170" s="3"/>
      <c r="B170" s="3"/>
      <c r="K170" s="3"/>
    </row>
    <row r="171" spans="1:11" x14ac:dyDescent="0.2">
      <c r="A171" s="3"/>
      <c r="B171" s="3"/>
      <c r="K171" s="3"/>
    </row>
    <row r="172" spans="1:11" x14ac:dyDescent="0.2">
      <c r="A172" s="3"/>
      <c r="B172" s="3"/>
      <c r="K172" s="3"/>
    </row>
    <row r="173" spans="1:11" x14ac:dyDescent="0.2">
      <c r="A173" s="3"/>
      <c r="B173" s="3"/>
      <c r="K173" s="3"/>
    </row>
    <row r="174" spans="1:11" x14ac:dyDescent="0.2">
      <c r="A174" s="3"/>
      <c r="B174" s="3"/>
      <c r="K174" s="3"/>
    </row>
    <row r="175" spans="1:11" x14ac:dyDescent="0.2">
      <c r="A175" s="3"/>
      <c r="B175" s="3"/>
      <c r="K175" s="3"/>
    </row>
    <row r="176" spans="1:11" x14ac:dyDescent="0.2">
      <c r="A176" s="3"/>
      <c r="B176" s="3"/>
      <c r="K176" s="3"/>
    </row>
    <row r="177" spans="1:11" x14ac:dyDescent="0.2">
      <c r="A177" s="3"/>
      <c r="B177" s="3"/>
      <c r="K177" s="3"/>
    </row>
    <row r="178" spans="1:11" x14ac:dyDescent="0.2">
      <c r="A178" s="3"/>
      <c r="B178" s="3"/>
      <c r="K178" s="3"/>
    </row>
    <row r="179" spans="1:11" x14ac:dyDescent="0.2">
      <c r="A179" s="3"/>
      <c r="B179" s="3"/>
      <c r="K179" s="3"/>
    </row>
    <row r="180" spans="1:11" x14ac:dyDescent="0.2">
      <c r="A180" s="3"/>
      <c r="B180" s="3"/>
      <c r="K180" s="3"/>
    </row>
    <row r="181" spans="1:11" x14ac:dyDescent="0.2">
      <c r="A181" s="3"/>
      <c r="B181" s="3"/>
      <c r="K181" s="3"/>
    </row>
    <row r="182" spans="1:11" x14ac:dyDescent="0.2">
      <c r="A182" s="3"/>
      <c r="B182" s="3"/>
      <c r="K182" s="3"/>
    </row>
    <row r="183" spans="1:11" x14ac:dyDescent="0.2">
      <c r="A183" s="3"/>
      <c r="B183" s="3"/>
      <c r="K183" s="3"/>
    </row>
    <row r="184" spans="1:11" x14ac:dyDescent="0.2">
      <c r="A184" s="3"/>
      <c r="B184" s="3"/>
      <c r="K184" s="3"/>
    </row>
    <row r="185" spans="1:11" x14ac:dyDescent="0.2">
      <c r="A185" s="3"/>
      <c r="B185" s="3"/>
      <c r="K185" s="3"/>
    </row>
    <row r="186" spans="1:11" x14ac:dyDescent="0.2">
      <c r="A186" s="3"/>
      <c r="B186" s="3"/>
      <c r="K186" s="3"/>
    </row>
    <row r="187" spans="1:11" x14ac:dyDescent="0.2">
      <c r="A187" s="3"/>
      <c r="B187" s="3"/>
      <c r="K187" s="3"/>
    </row>
    <row r="188" spans="1:11" x14ac:dyDescent="0.2">
      <c r="A188" s="3"/>
      <c r="B188" s="3"/>
      <c r="K188" s="3"/>
    </row>
    <row r="189" spans="1:11" x14ac:dyDescent="0.2">
      <c r="A189" s="3"/>
      <c r="B189" s="3"/>
      <c r="K189" s="3"/>
    </row>
    <row r="190" spans="1:11" x14ac:dyDescent="0.2">
      <c r="A190" s="3"/>
      <c r="B190" s="3"/>
      <c r="K190" s="3"/>
    </row>
    <row r="191" spans="1:11" x14ac:dyDescent="0.2">
      <c r="A191" s="3"/>
      <c r="B191" s="3"/>
      <c r="K191" s="3"/>
    </row>
    <row r="192" spans="1:11" x14ac:dyDescent="0.2">
      <c r="A192" s="3"/>
      <c r="B192" s="3"/>
      <c r="K192" s="3"/>
    </row>
    <row r="193" spans="1:11" x14ac:dyDescent="0.2">
      <c r="A193" s="3"/>
      <c r="B193" s="3"/>
      <c r="K193" s="3"/>
    </row>
    <row r="194" spans="1:11" x14ac:dyDescent="0.2">
      <c r="A194" s="3"/>
      <c r="B194" s="3"/>
      <c r="K194" s="3"/>
    </row>
    <row r="195" spans="1:11" x14ac:dyDescent="0.2">
      <c r="A195" s="3"/>
      <c r="B195" s="3"/>
      <c r="K195" s="3"/>
    </row>
    <row r="196" spans="1:11" x14ac:dyDescent="0.2">
      <c r="A196" s="3"/>
      <c r="B196" s="3"/>
      <c r="K196" s="3"/>
    </row>
    <row r="197" spans="1:11" x14ac:dyDescent="0.2">
      <c r="A197" s="3"/>
      <c r="B197" s="3"/>
      <c r="K197" s="3"/>
    </row>
    <row r="198" spans="1:11" x14ac:dyDescent="0.2">
      <c r="A198" s="3"/>
      <c r="B198" s="3"/>
      <c r="K198" s="3"/>
    </row>
    <row r="199" spans="1:11" x14ac:dyDescent="0.2">
      <c r="A199" s="3"/>
      <c r="B199" s="3"/>
      <c r="K199" s="3"/>
    </row>
    <row r="200" spans="1:11" x14ac:dyDescent="0.2">
      <c r="A200" s="3"/>
      <c r="B200" s="3"/>
      <c r="K200" s="3"/>
    </row>
    <row r="201" spans="1:11" x14ac:dyDescent="0.2">
      <c r="A201" s="3"/>
      <c r="B201" s="3"/>
      <c r="K201" s="3"/>
    </row>
    <row r="202" spans="1:11" x14ac:dyDescent="0.2">
      <c r="A202" s="3"/>
      <c r="B202" s="3"/>
      <c r="K202" s="3"/>
    </row>
    <row r="203" spans="1:11" x14ac:dyDescent="0.2">
      <c r="A203" s="3"/>
      <c r="B203" s="3"/>
      <c r="K203" s="3"/>
    </row>
    <row r="204" spans="1:11" x14ac:dyDescent="0.2">
      <c r="A204" s="3"/>
      <c r="B204" s="3"/>
      <c r="K204" s="3"/>
    </row>
    <row r="205" spans="1:11" x14ac:dyDescent="0.2">
      <c r="A205" s="3"/>
      <c r="B205" s="3"/>
      <c r="K205" s="3"/>
    </row>
    <row r="206" spans="1:11" x14ac:dyDescent="0.2">
      <c r="A206" s="3"/>
      <c r="B206" s="3"/>
      <c r="K206" s="3"/>
    </row>
    <row r="207" spans="1:11" x14ac:dyDescent="0.2">
      <c r="A207" s="3"/>
      <c r="B207" s="3"/>
      <c r="K207" s="3"/>
    </row>
    <row r="208" spans="1:11" x14ac:dyDescent="0.2">
      <c r="A208" s="3"/>
      <c r="B208" s="3"/>
      <c r="K208" s="3"/>
    </row>
    <row r="209" spans="1:11" x14ac:dyDescent="0.2">
      <c r="A209" s="3"/>
      <c r="B209" s="3"/>
      <c r="K209" s="3"/>
    </row>
    <row r="210" spans="1:11" x14ac:dyDescent="0.2">
      <c r="A210" s="3"/>
      <c r="B210" s="3"/>
      <c r="K210" s="3"/>
    </row>
    <row r="211" spans="1:11" x14ac:dyDescent="0.2">
      <c r="A211" s="3"/>
      <c r="B211" s="3"/>
      <c r="K211" s="3"/>
    </row>
    <row r="212" spans="1:11" x14ac:dyDescent="0.2">
      <c r="A212" s="3"/>
      <c r="B212" s="3"/>
      <c r="K212" s="3"/>
    </row>
    <row r="213" spans="1:11" x14ac:dyDescent="0.2">
      <c r="A213" s="3"/>
      <c r="B213" s="3"/>
      <c r="K213" s="3"/>
    </row>
    <row r="214" spans="1:11" x14ac:dyDescent="0.2">
      <c r="A214" s="3"/>
      <c r="B214" s="3"/>
      <c r="K214" s="3"/>
    </row>
    <row r="215" spans="1:11" x14ac:dyDescent="0.2">
      <c r="A215" s="3"/>
      <c r="B215" s="3"/>
      <c r="K215" s="3"/>
    </row>
    <row r="216" spans="1:11" x14ac:dyDescent="0.2">
      <c r="A216" s="3"/>
      <c r="B216" s="3"/>
      <c r="K216" s="3"/>
    </row>
    <row r="217" spans="1:11" x14ac:dyDescent="0.2">
      <c r="A217" s="3"/>
      <c r="B217" s="3"/>
      <c r="K217" s="3"/>
    </row>
    <row r="218" spans="1:11" x14ac:dyDescent="0.2">
      <c r="A218" s="3"/>
      <c r="B218" s="3"/>
      <c r="K218" s="3"/>
    </row>
    <row r="219" spans="1:11" x14ac:dyDescent="0.2">
      <c r="A219" s="3"/>
      <c r="B219" s="3"/>
      <c r="K219" s="3"/>
    </row>
    <row r="220" spans="1:11" x14ac:dyDescent="0.2">
      <c r="A220" s="3"/>
      <c r="B220" s="3"/>
      <c r="K220" s="3"/>
    </row>
    <row r="221" spans="1:11" x14ac:dyDescent="0.2">
      <c r="A221" s="3"/>
      <c r="B221" s="3"/>
      <c r="K221" s="3"/>
    </row>
    <row r="222" spans="1:11" x14ac:dyDescent="0.2">
      <c r="A222" s="3"/>
      <c r="B222" s="3"/>
      <c r="K222" s="3"/>
    </row>
    <row r="223" spans="1:11" x14ac:dyDescent="0.2">
      <c r="A223" s="3"/>
      <c r="B223" s="3"/>
      <c r="K223" s="3"/>
    </row>
    <row r="224" spans="1:11" x14ac:dyDescent="0.2">
      <c r="A224" s="3"/>
      <c r="B224" s="3"/>
      <c r="K224" s="3"/>
    </row>
    <row r="225" spans="1:11" x14ac:dyDescent="0.2">
      <c r="A225" s="3"/>
      <c r="B225" s="3"/>
      <c r="K225" s="3"/>
    </row>
    <row r="226" spans="1:11" x14ac:dyDescent="0.2">
      <c r="A226" s="3"/>
      <c r="B226" s="3"/>
      <c r="K226" s="3"/>
    </row>
    <row r="227" spans="1:11" x14ac:dyDescent="0.2">
      <c r="A227" s="3"/>
      <c r="B227" s="3"/>
      <c r="K227" s="3"/>
    </row>
    <row r="228" spans="1:11" x14ac:dyDescent="0.2">
      <c r="A228" s="3"/>
      <c r="B228" s="3"/>
      <c r="K228" s="3"/>
    </row>
    <row r="229" spans="1:11" x14ac:dyDescent="0.2">
      <c r="A229" s="3"/>
      <c r="B229" s="3"/>
      <c r="K229" s="3"/>
    </row>
    <row r="230" spans="1:11" x14ac:dyDescent="0.2">
      <c r="A230" s="3"/>
      <c r="B230" s="3"/>
      <c r="K230" s="3"/>
    </row>
    <row r="231" spans="1:11" x14ac:dyDescent="0.2">
      <c r="A231" s="3"/>
      <c r="B231" s="3"/>
      <c r="K231" s="3"/>
    </row>
    <row r="232" spans="1:11" x14ac:dyDescent="0.2">
      <c r="A232" s="3"/>
      <c r="B232" s="3"/>
      <c r="K232" s="3"/>
    </row>
    <row r="233" spans="1:11" x14ac:dyDescent="0.2">
      <c r="A233" s="3"/>
      <c r="B233" s="3"/>
      <c r="K233" s="3"/>
    </row>
    <row r="234" spans="1:11" x14ac:dyDescent="0.2">
      <c r="A234" s="3"/>
      <c r="B234" s="3"/>
      <c r="K234" s="3"/>
    </row>
    <row r="235" spans="1:11" x14ac:dyDescent="0.2">
      <c r="A235" s="3"/>
      <c r="B235" s="3"/>
      <c r="K235" s="3"/>
    </row>
    <row r="236" spans="1:11" x14ac:dyDescent="0.2">
      <c r="A236" s="3"/>
      <c r="B236" s="3"/>
      <c r="K236" s="3"/>
    </row>
    <row r="237" spans="1:11" x14ac:dyDescent="0.2">
      <c r="A237" s="3"/>
      <c r="B237" s="3"/>
      <c r="K237" s="3"/>
    </row>
    <row r="238" spans="1:11" x14ac:dyDescent="0.2">
      <c r="A238" s="3"/>
      <c r="B238" s="3"/>
      <c r="K238" s="3"/>
    </row>
    <row r="239" spans="1:11" x14ac:dyDescent="0.2">
      <c r="A239" s="3"/>
      <c r="B239" s="3"/>
      <c r="K239" s="3"/>
    </row>
    <row r="240" spans="1:11" x14ac:dyDescent="0.2">
      <c r="A240" s="3"/>
      <c r="B240" s="3"/>
      <c r="K240" s="3"/>
    </row>
    <row r="241" spans="1:11" x14ac:dyDescent="0.2">
      <c r="A241" s="3"/>
      <c r="B241" s="3"/>
      <c r="K241" s="3"/>
    </row>
    <row r="242" spans="1:11" x14ac:dyDescent="0.2">
      <c r="A242" s="3"/>
      <c r="B242" s="3"/>
      <c r="K242" s="3"/>
    </row>
    <row r="243" spans="1:11" x14ac:dyDescent="0.2">
      <c r="A243" s="3"/>
      <c r="B243" s="3"/>
      <c r="K243" s="3"/>
    </row>
    <row r="244" spans="1:11" x14ac:dyDescent="0.2">
      <c r="A244" s="3"/>
      <c r="B244" s="3"/>
      <c r="K244" s="3"/>
    </row>
    <row r="245" spans="1:11" x14ac:dyDescent="0.2">
      <c r="A245" s="3"/>
      <c r="B245" s="3"/>
      <c r="K245" s="3"/>
    </row>
    <row r="246" spans="1:11" x14ac:dyDescent="0.2">
      <c r="A246" s="3"/>
      <c r="B246" s="3"/>
      <c r="K246" s="3"/>
    </row>
    <row r="247" spans="1:11" x14ac:dyDescent="0.2">
      <c r="A247" s="3"/>
      <c r="B247" s="3"/>
      <c r="K247" s="3"/>
    </row>
    <row r="248" spans="1:11" x14ac:dyDescent="0.2">
      <c r="A248" s="3"/>
      <c r="B248" s="3"/>
      <c r="K248" s="3"/>
    </row>
    <row r="249" spans="1:11" x14ac:dyDescent="0.2">
      <c r="A249" s="3"/>
      <c r="B249" s="3"/>
      <c r="K249" s="3"/>
    </row>
    <row r="250" spans="1:11" x14ac:dyDescent="0.2">
      <c r="A250" s="3"/>
      <c r="B250" s="3"/>
      <c r="K250" s="3"/>
    </row>
    <row r="251" spans="1:11" x14ac:dyDescent="0.2">
      <c r="A251" s="3"/>
      <c r="B251" s="3"/>
      <c r="K251" s="3"/>
    </row>
    <row r="252" spans="1:11" x14ac:dyDescent="0.2">
      <c r="A252" s="3"/>
      <c r="B252" s="3"/>
      <c r="K252" s="3"/>
    </row>
    <row r="253" spans="1:11" x14ac:dyDescent="0.2">
      <c r="A253" s="3"/>
      <c r="B253" s="3"/>
      <c r="K253" s="3"/>
    </row>
    <row r="254" spans="1:11" x14ac:dyDescent="0.2">
      <c r="A254" s="3"/>
      <c r="B254" s="3"/>
      <c r="K254" s="3"/>
    </row>
    <row r="255" spans="1:11" x14ac:dyDescent="0.2">
      <c r="A255" s="3"/>
      <c r="B255" s="3"/>
      <c r="K255" s="3"/>
    </row>
    <row r="256" spans="1:11" x14ac:dyDescent="0.2">
      <c r="A256" s="3"/>
      <c r="B256" s="3"/>
      <c r="K256" s="3"/>
    </row>
    <row r="257" spans="1:11" x14ac:dyDescent="0.2">
      <c r="A257" s="3"/>
      <c r="B257" s="3"/>
      <c r="K257" s="3"/>
    </row>
    <row r="258" spans="1:11" x14ac:dyDescent="0.2">
      <c r="A258" s="3"/>
      <c r="B258" s="3"/>
      <c r="K258" s="3"/>
    </row>
    <row r="259" spans="1:11" x14ac:dyDescent="0.2">
      <c r="A259" s="3"/>
      <c r="B259" s="3"/>
      <c r="K259" s="3"/>
    </row>
    <row r="260" spans="1:11" x14ac:dyDescent="0.2">
      <c r="A260" s="3"/>
      <c r="B260" s="3"/>
      <c r="K260" s="3"/>
    </row>
    <row r="261" spans="1:11" x14ac:dyDescent="0.2">
      <c r="A261" s="3"/>
      <c r="B261" s="3"/>
      <c r="K261" s="3"/>
    </row>
    <row r="262" spans="1:11" x14ac:dyDescent="0.2">
      <c r="A262" s="3"/>
      <c r="B262" s="3"/>
      <c r="K262" s="3"/>
    </row>
    <row r="263" spans="1:11" x14ac:dyDescent="0.2">
      <c r="A263" s="3"/>
      <c r="B263" s="3"/>
      <c r="K263" s="3"/>
    </row>
    <row r="264" spans="1:11" x14ac:dyDescent="0.2">
      <c r="A264" s="3"/>
      <c r="B264" s="3"/>
      <c r="K264" s="3"/>
    </row>
    <row r="265" spans="1:11" x14ac:dyDescent="0.2">
      <c r="A265" s="3"/>
      <c r="B265" s="3"/>
      <c r="K265" s="3"/>
    </row>
    <row r="266" spans="1:11" x14ac:dyDescent="0.2">
      <c r="A266" s="3"/>
      <c r="B266" s="3"/>
      <c r="K266" s="3"/>
    </row>
    <row r="267" spans="1:11" x14ac:dyDescent="0.2">
      <c r="A267" s="3"/>
      <c r="B267" s="3"/>
      <c r="K267" s="3"/>
    </row>
    <row r="268" spans="1:11" x14ac:dyDescent="0.2">
      <c r="A268" s="3"/>
      <c r="B268" s="3"/>
      <c r="K268" s="3"/>
    </row>
    <row r="269" spans="1:11" x14ac:dyDescent="0.2">
      <c r="A269" s="3"/>
      <c r="B269" s="3"/>
      <c r="K269" s="3"/>
    </row>
    <row r="270" spans="1:11" x14ac:dyDescent="0.2">
      <c r="A270" s="3"/>
      <c r="B270" s="3"/>
      <c r="K270" s="3"/>
    </row>
    <row r="271" spans="1:11" x14ac:dyDescent="0.2">
      <c r="A271" s="3"/>
      <c r="B271" s="3"/>
      <c r="K271" s="3"/>
    </row>
  </sheetData>
  <mergeCells count="141">
    <mergeCell ref="W7:X7"/>
    <mergeCell ref="W17:X17"/>
    <mergeCell ref="W25:X25"/>
    <mergeCell ref="W28:X28"/>
    <mergeCell ref="W32:X32"/>
    <mergeCell ref="W58:X58"/>
    <mergeCell ref="AB7:AC7"/>
    <mergeCell ref="AB17:AC17"/>
    <mergeCell ref="AB32:AC32"/>
    <mergeCell ref="AB58:AC58"/>
    <mergeCell ref="AB28:AC28"/>
    <mergeCell ref="AB25:AC25"/>
    <mergeCell ref="Y7:Z7"/>
    <mergeCell ref="Y17:Z17"/>
    <mergeCell ref="Y25:Z25"/>
    <mergeCell ref="Y28:Z28"/>
    <mergeCell ref="Y32:Z32"/>
    <mergeCell ref="Y58:Z58"/>
    <mergeCell ref="G32:H32"/>
    <mergeCell ref="M58:N58"/>
    <mergeCell ref="M25:N25"/>
    <mergeCell ref="M28:N28"/>
    <mergeCell ref="C25:D25"/>
    <mergeCell ref="E25:F25"/>
    <mergeCell ref="G25:H25"/>
    <mergeCell ref="G27:H27"/>
    <mergeCell ref="C28:D28"/>
    <mergeCell ref="E28:F28"/>
    <mergeCell ref="G28:H28"/>
    <mergeCell ref="I28:J28"/>
    <mergeCell ref="C58:D58"/>
    <mergeCell ref="E58:F58"/>
    <mergeCell ref="E32:F32"/>
    <mergeCell ref="C32:D32"/>
    <mergeCell ref="G58:H58"/>
    <mergeCell ref="I32:J32"/>
    <mergeCell ref="I27:J27"/>
    <mergeCell ref="U7:V7"/>
    <mergeCell ref="U17:V17"/>
    <mergeCell ref="U25:V25"/>
    <mergeCell ref="U28:V28"/>
    <mergeCell ref="U32:V32"/>
    <mergeCell ref="U58:V58"/>
    <mergeCell ref="C109:D109"/>
    <mergeCell ref="I109:J109"/>
    <mergeCell ref="C104:D104"/>
    <mergeCell ref="I104:J104"/>
    <mergeCell ref="C105:D105"/>
    <mergeCell ref="I105:J105"/>
    <mergeCell ref="C106:D106"/>
    <mergeCell ref="I106:J106"/>
    <mergeCell ref="C95:D95"/>
    <mergeCell ref="I95:J95"/>
    <mergeCell ref="C96:D96"/>
    <mergeCell ref="I96:J96"/>
    <mergeCell ref="C88:D88"/>
    <mergeCell ref="E88:F88"/>
    <mergeCell ref="K88:L88"/>
    <mergeCell ref="M88:N88"/>
    <mergeCell ref="C107:D107"/>
    <mergeCell ref="I107:J107"/>
    <mergeCell ref="C110:D110"/>
    <mergeCell ref="I110:J110"/>
    <mergeCell ref="C100:D100"/>
    <mergeCell ref="I100:J100"/>
    <mergeCell ref="C97:D97"/>
    <mergeCell ref="I97:J97"/>
    <mergeCell ref="C98:D98"/>
    <mergeCell ref="I98:J98"/>
    <mergeCell ref="C103:D103"/>
    <mergeCell ref="I103:J103"/>
    <mergeCell ref="C108:D108"/>
    <mergeCell ref="I108:J108"/>
    <mergeCell ref="C101:D101"/>
    <mergeCell ref="I101:J101"/>
    <mergeCell ref="C102:D102"/>
    <mergeCell ref="I102:J102"/>
    <mergeCell ref="C99:D99"/>
    <mergeCell ref="I99:J99"/>
    <mergeCell ref="AB88:AC88"/>
    <mergeCell ref="C93:D93"/>
    <mergeCell ref="E93:F93"/>
    <mergeCell ref="G93:H93"/>
    <mergeCell ref="I93:J93"/>
    <mergeCell ref="K93:L93"/>
    <mergeCell ref="M93:N93"/>
    <mergeCell ref="AB93:AC93"/>
    <mergeCell ref="O88:P88"/>
    <mergeCell ref="G88:H88"/>
    <mergeCell ref="I88:J88"/>
    <mergeCell ref="W88:X88"/>
    <mergeCell ref="W93:X93"/>
    <mergeCell ref="O93:P93"/>
    <mergeCell ref="S88:T88"/>
    <mergeCell ref="S93:T93"/>
    <mergeCell ref="U88:V88"/>
    <mergeCell ref="U93:V93"/>
    <mergeCell ref="Q88:R88"/>
    <mergeCell ref="Q93:R93"/>
    <mergeCell ref="Y88:Z88"/>
    <mergeCell ref="Y93:Z93"/>
    <mergeCell ref="Q25:R25"/>
    <mergeCell ref="Q28:R28"/>
    <mergeCell ref="K7:L7"/>
    <mergeCell ref="K17:L17"/>
    <mergeCell ref="O7:P7"/>
    <mergeCell ref="O17:P17"/>
    <mergeCell ref="O25:P25"/>
    <mergeCell ref="K25:L25"/>
    <mergeCell ref="C26:D26"/>
    <mergeCell ref="E26:F26"/>
    <mergeCell ref="G26:H26"/>
    <mergeCell ref="C17:D17"/>
    <mergeCell ref="E17:F17"/>
    <mergeCell ref="G17:H17"/>
    <mergeCell ref="I7:J7"/>
    <mergeCell ref="I17:J17"/>
    <mergeCell ref="Q32:R32"/>
    <mergeCell ref="Q58:R58"/>
    <mergeCell ref="O28:P28"/>
    <mergeCell ref="C27:D27"/>
    <mergeCell ref="E27:F27"/>
    <mergeCell ref="S7:T7"/>
    <mergeCell ref="S17:T17"/>
    <mergeCell ref="S25:T25"/>
    <mergeCell ref="S28:T28"/>
    <mergeCell ref="I58:J58"/>
    <mergeCell ref="O32:P32"/>
    <mergeCell ref="O58:P58"/>
    <mergeCell ref="K32:L32"/>
    <mergeCell ref="K58:L58"/>
    <mergeCell ref="M32:N32"/>
    <mergeCell ref="S32:T32"/>
    <mergeCell ref="S58:T58"/>
    <mergeCell ref="M7:N7"/>
    <mergeCell ref="M17:N17"/>
    <mergeCell ref="K28:L28"/>
    <mergeCell ref="I26:J26"/>
    <mergeCell ref="I25:J25"/>
    <mergeCell ref="Q7:R7"/>
    <mergeCell ref="Q17:R17"/>
  </mergeCells>
  <phoneticPr fontId="3" type="noConversion"/>
  <printOptions horizontalCentered="1"/>
  <pageMargins left="0.5" right="0.5" top="0.5" bottom="0.5" header="0.5" footer="0.25"/>
  <pageSetup scale="72" orientation="landscape" r:id="rId1"/>
  <headerFooter alignWithMargins="0">
    <oddFooter>&amp;R&amp;P of &amp;N
&amp;D</oddFooter>
  </headerFooter>
  <rowBreaks count="1" manualBreakCount="1">
    <brk id="55" max="16383" man="1"/>
  </rowBreaks>
  <ignoredErrors>
    <ignoredError sqref="J68:M69 I82:I85 I68 M77:M78 M82 M85 W68:W78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3"/>
  <sheetViews>
    <sheetView view="pageBreakPreview" zoomScaleNormal="100" workbookViewId="0">
      <pane xSplit="2" ySplit="1" topLeftCell="O2" activePane="bottomRight" state="frozen"/>
      <selection activeCell="AF81" sqref="AF81"/>
      <selection pane="topRight" activeCell="AF81" sqref="AF81"/>
      <selection pane="bottomLeft" activeCell="AF81" sqref="AF81"/>
      <selection pane="bottomRight" activeCell="AF81" sqref="AF81"/>
    </sheetView>
  </sheetViews>
  <sheetFormatPr defaultColWidth="10.28515625" defaultRowHeight="12.75" x14ac:dyDescent="0.2"/>
  <cols>
    <col min="1" max="1" width="3.7109375" style="3" customWidth="1"/>
    <col min="2" max="2" width="29.7109375" style="3" customWidth="1"/>
    <col min="3" max="3" width="7.7109375" hidden="1" customWidth="1"/>
    <col min="4" max="4" width="10.7109375" hidden="1" customWidth="1"/>
    <col min="5" max="5" width="7.7109375" hidden="1" customWidth="1"/>
    <col min="6" max="6" width="10.7109375" hidden="1" customWidth="1"/>
    <col min="7" max="7" width="7.7109375" style="115" hidden="1" customWidth="1"/>
    <col min="8" max="8" width="10.7109375" style="115" hidden="1" customWidth="1"/>
    <col min="9" max="9" width="7.7109375" style="115" hidden="1" customWidth="1"/>
    <col min="10" max="10" width="10.7109375" style="115" hidden="1" customWidth="1"/>
    <col min="11" max="11" width="7.7109375" style="3" hidden="1" customWidth="1"/>
    <col min="12" max="12" width="10.7109375" style="3" hidden="1" customWidth="1"/>
    <col min="13" max="13" width="7.7109375" style="3" hidden="1" customWidth="1"/>
    <col min="14" max="14" width="10.7109375" style="3" hidden="1" customWidth="1"/>
    <col min="15" max="15" width="7.7109375" style="3" customWidth="1"/>
    <col min="16" max="16" width="10.7109375" style="3" customWidth="1"/>
    <col min="17" max="17" width="7.7109375" style="3" customWidth="1"/>
    <col min="18" max="18" width="10.7109375" style="3" customWidth="1"/>
    <col min="19" max="19" width="7.7109375" style="3" customWidth="1"/>
    <col min="20" max="20" width="10.7109375" style="3" customWidth="1"/>
    <col min="21" max="21" width="7.7109375" style="3" customWidth="1"/>
    <col min="22" max="22" width="10.7109375" style="3" customWidth="1"/>
    <col min="23" max="23" width="7.7109375" style="3" customWidth="1"/>
    <col min="24" max="24" width="10.7109375" style="3" customWidth="1"/>
    <col min="25" max="25" width="7.7109375" style="3" customWidth="1"/>
    <col min="26" max="26" width="10.7109375" style="3" customWidth="1"/>
    <col min="27" max="27" width="2" style="3" customWidth="1"/>
    <col min="28" max="28" width="7.7109375" style="3" customWidth="1"/>
    <col min="29" max="29" width="10.7109375" style="3" customWidth="1"/>
    <col min="30" max="30" width="1.7109375" style="3" customWidth="1"/>
    <col min="31" max="16384" width="10.28515625" style="3"/>
  </cols>
  <sheetData>
    <row r="1" spans="1:29" ht="18" x14ac:dyDescent="0.25">
      <c r="A1" s="1183" t="str">
        <f>Dean_AS!A1</f>
        <v>Department Profile Report - FY 2015</v>
      </c>
      <c r="B1" s="1183"/>
      <c r="C1" s="1183"/>
      <c r="D1" s="1183"/>
      <c r="E1" s="1183"/>
      <c r="F1" s="1183"/>
      <c r="G1" s="1183"/>
      <c r="H1" s="1183"/>
      <c r="I1" s="1239"/>
      <c r="J1" s="1239"/>
      <c r="K1" s="1228"/>
      <c r="L1" s="1228"/>
      <c r="M1" s="1228"/>
      <c r="N1" s="1228"/>
      <c r="O1" s="1228"/>
      <c r="P1" s="1228"/>
      <c r="Q1" s="1228"/>
      <c r="R1" s="1228"/>
      <c r="S1" s="1228"/>
      <c r="T1" s="1228"/>
      <c r="U1" s="1228"/>
      <c r="V1" s="1228"/>
      <c r="W1" s="1228"/>
      <c r="X1" s="1228"/>
      <c r="Y1" s="1228"/>
      <c r="Z1" s="1228"/>
      <c r="AA1" s="1228"/>
      <c r="AB1" s="1228"/>
      <c r="AC1" s="1228"/>
    </row>
    <row r="2" spans="1:29" ht="12" x14ac:dyDescent="0.2">
      <c r="C2" s="3"/>
      <c r="D2" s="3"/>
      <c r="E2" s="3"/>
      <c r="F2" s="3"/>
      <c r="G2" s="117"/>
      <c r="H2" s="117"/>
      <c r="I2" s="117"/>
      <c r="J2" s="117"/>
    </row>
    <row r="3" spans="1:29" x14ac:dyDescent="0.2">
      <c r="A3" s="2" t="s">
        <v>99</v>
      </c>
      <c r="B3" s="117"/>
      <c r="C3" s="3"/>
      <c r="D3" s="3"/>
      <c r="E3" s="3"/>
      <c r="F3" s="3"/>
      <c r="G3" s="117"/>
      <c r="H3" s="117"/>
      <c r="I3" s="117"/>
      <c r="J3" s="117"/>
    </row>
    <row r="4" spans="1:29" ht="9" customHeight="1" x14ac:dyDescent="0.2">
      <c r="C4" s="3"/>
      <c r="D4" s="3"/>
      <c r="E4" s="3"/>
      <c r="F4" s="3"/>
      <c r="G4" s="117"/>
      <c r="H4" s="117"/>
      <c r="I4" s="117"/>
      <c r="J4" s="117"/>
    </row>
    <row r="5" spans="1:29" x14ac:dyDescent="0.2">
      <c r="A5" s="2" t="s">
        <v>77</v>
      </c>
      <c r="C5" s="3"/>
      <c r="D5" s="3"/>
      <c r="E5" s="3"/>
      <c r="F5" s="3"/>
      <c r="G5" s="117"/>
      <c r="H5" s="117"/>
      <c r="I5" s="117"/>
      <c r="J5" s="117"/>
    </row>
    <row r="6" spans="1:29" ht="7.5" customHeight="1" thickBot="1" x14ac:dyDescent="0.25">
      <c r="A6" s="2"/>
      <c r="C6" s="3"/>
      <c r="D6" s="3"/>
      <c r="E6" s="3"/>
      <c r="F6" s="3"/>
      <c r="G6" s="117"/>
      <c r="H6" s="117"/>
      <c r="I6" s="117"/>
      <c r="J6" s="117"/>
    </row>
    <row r="7" spans="1:29" ht="13.5" customHeight="1" thickTop="1" thickBot="1" x14ac:dyDescent="0.25">
      <c r="B7" s="22"/>
      <c r="C7" s="29" t="s">
        <v>49</v>
      </c>
      <c r="D7" s="7"/>
      <c r="E7" s="1306" t="s">
        <v>50</v>
      </c>
      <c r="F7" s="7"/>
      <c r="G7" s="302" t="s">
        <v>141</v>
      </c>
      <c r="H7" s="121"/>
      <c r="I7" s="1968" t="s">
        <v>152</v>
      </c>
      <c r="J7" s="1980"/>
      <c r="K7" s="1968" t="s">
        <v>154</v>
      </c>
      <c r="L7" s="1968"/>
      <c r="M7" s="1994" t="s">
        <v>171</v>
      </c>
      <c r="N7" s="1980"/>
      <c r="O7" s="1968" t="s">
        <v>227</v>
      </c>
      <c r="P7" s="1980"/>
      <c r="Q7" s="1968" t="s">
        <v>237</v>
      </c>
      <c r="R7" s="1980"/>
      <c r="S7" s="1968" t="s">
        <v>272</v>
      </c>
      <c r="T7" s="1980"/>
      <c r="U7" s="1968" t="s">
        <v>274</v>
      </c>
      <c r="V7" s="1980"/>
      <c r="W7" s="1968" t="s">
        <v>280</v>
      </c>
      <c r="X7" s="1980"/>
      <c r="Y7" s="1968" t="s">
        <v>290</v>
      </c>
      <c r="Z7" s="1969"/>
      <c r="AB7" s="2003" t="s">
        <v>213</v>
      </c>
      <c r="AC7" s="2004"/>
    </row>
    <row r="8" spans="1:29" ht="12" x14ac:dyDescent="0.2">
      <c r="B8" s="71"/>
      <c r="C8" s="42" t="s">
        <v>1</v>
      </c>
      <c r="D8" s="8" t="s">
        <v>2</v>
      </c>
      <c r="E8" s="1307" t="s">
        <v>1</v>
      </c>
      <c r="F8" s="8" t="s">
        <v>2</v>
      </c>
      <c r="G8" s="303" t="s">
        <v>1</v>
      </c>
      <c r="H8" s="125" t="s">
        <v>2</v>
      </c>
      <c r="I8" s="124" t="s">
        <v>1</v>
      </c>
      <c r="J8" s="125" t="s">
        <v>2</v>
      </c>
      <c r="K8" s="124" t="s">
        <v>1</v>
      </c>
      <c r="L8" s="300" t="s">
        <v>2</v>
      </c>
      <c r="M8" s="303" t="s">
        <v>1</v>
      </c>
      <c r="N8" s="125" t="s">
        <v>2</v>
      </c>
      <c r="O8" s="124" t="s">
        <v>1</v>
      </c>
      <c r="P8" s="125" t="s">
        <v>2</v>
      </c>
      <c r="Q8" s="124" t="s">
        <v>1</v>
      </c>
      <c r="R8" s="125" t="s">
        <v>2</v>
      </c>
      <c r="S8" s="124" t="s">
        <v>1</v>
      </c>
      <c r="T8" s="125" t="s">
        <v>2</v>
      </c>
      <c r="U8" s="124" t="s">
        <v>1</v>
      </c>
      <c r="V8" s="125" t="s">
        <v>2</v>
      </c>
      <c r="W8" s="124" t="s">
        <v>1</v>
      </c>
      <c r="X8" s="125" t="s">
        <v>2</v>
      </c>
      <c r="Y8" s="124" t="s">
        <v>1</v>
      </c>
      <c r="Z8" s="126" t="s">
        <v>2</v>
      </c>
      <c r="AB8" s="921" t="s">
        <v>214</v>
      </c>
      <c r="AC8" s="922" t="s">
        <v>215</v>
      </c>
    </row>
    <row r="9" spans="1:29" thickBot="1" x14ac:dyDescent="0.25">
      <c r="B9" s="72"/>
      <c r="C9" s="46" t="s">
        <v>3</v>
      </c>
      <c r="D9" s="26" t="s">
        <v>4</v>
      </c>
      <c r="E9" s="1308" t="s">
        <v>3</v>
      </c>
      <c r="F9" s="26" t="s">
        <v>4</v>
      </c>
      <c r="G9" s="304" t="s">
        <v>3</v>
      </c>
      <c r="H9" s="123" t="s">
        <v>4</v>
      </c>
      <c r="I9" s="127" t="s">
        <v>3</v>
      </c>
      <c r="J9" s="123" t="s">
        <v>4</v>
      </c>
      <c r="K9" s="127" t="s">
        <v>3</v>
      </c>
      <c r="L9" s="301" t="s">
        <v>4</v>
      </c>
      <c r="M9" s="304" t="s">
        <v>3</v>
      </c>
      <c r="N9" s="123" t="s">
        <v>4</v>
      </c>
      <c r="O9" s="127" t="s">
        <v>3</v>
      </c>
      <c r="P9" s="123" t="s">
        <v>4</v>
      </c>
      <c r="Q9" s="127" t="s">
        <v>3</v>
      </c>
      <c r="R9" s="123" t="s">
        <v>4</v>
      </c>
      <c r="S9" s="127" t="s">
        <v>3</v>
      </c>
      <c r="T9" s="123" t="s">
        <v>4</v>
      </c>
      <c r="U9" s="127" t="s">
        <v>3</v>
      </c>
      <c r="V9" s="123" t="s">
        <v>4</v>
      </c>
      <c r="W9" s="127" t="s">
        <v>3</v>
      </c>
      <c r="X9" s="123" t="s">
        <v>4</v>
      </c>
      <c r="Y9" s="127" t="s">
        <v>3</v>
      </c>
      <c r="Z9" s="128" t="s">
        <v>4</v>
      </c>
      <c r="AB9" s="923" t="s">
        <v>3</v>
      </c>
      <c r="AC9" s="924" t="s">
        <v>4</v>
      </c>
    </row>
    <row r="10" spans="1:29" ht="12" x14ac:dyDescent="0.2">
      <c r="B10" s="73" t="s">
        <v>5</v>
      </c>
      <c r="C10" s="15"/>
      <c r="D10" s="13"/>
      <c r="E10" s="1309"/>
      <c r="F10" s="13"/>
      <c r="G10" s="305"/>
      <c r="H10" s="131"/>
      <c r="I10" s="130"/>
      <c r="J10" s="131"/>
      <c r="K10" s="130"/>
      <c r="L10" s="150"/>
      <c r="M10" s="305"/>
      <c r="N10" s="131"/>
      <c r="O10" s="130"/>
      <c r="P10" s="131"/>
      <c r="Q10" s="130"/>
      <c r="R10" s="131"/>
      <c r="S10" s="130"/>
      <c r="T10" s="131"/>
      <c r="U10" s="130"/>
      <c r="V10" s="131"/>
      <c r="W10" s="130"/>
      <c r="X10" s="131"/>
      <c r="Y10" s="130"/>
      <c r="Z10" s="296"/>
      <c r="AB10" s="925"/>
      <c r="AC10" s="581"/>
    </row>
    <row r="11" spans="1:29" ht="12" x14ac:dyDescent="0.2">
      <c r="B11" s="74" t="s">
        <v>100</v>
      </c>
      <c r="C11" s="14"/>
      <c r="D11" s="9"/>
      <c r="E11" s="1310"/>
      <c r="F11" s="9"/>
      <c r="G11" s="318"/>
      <c r="H11" s="405"/>
      <c r="I11" s="404"/>
      <c r="J11" s="405"/>
      <c r="K11" s="404"/>
      <c r="L11" s="129"/>
      <c r="M11" s="318"/>
      <c r="N11" s="405"/>
      <c r="O11" s="404"/>
      <c r="P11" s="405"/>
      <c r="Q11" s="404"/>
      <c r="R11" s="405"/>
      <c r="S11" s="404"/>
      <c r="T11" s="405"/>
      <c r="U11" s="404"/>
      <c r="V11" s="405"/>
      <c r="W11" s="404"/>
      <c r="X11" s="405"/>
      <c r="Y11" s="404"/>
      <c r="Z11" s="291"/>
      <c r="AB11" s="926"/>
      <c r="AC11" s="927"/>
    </row>
    <row r="12" spans="1:29" s="618" customFormat="1" ht="12" x14ac:dyDescent="0.2">
      <c r="B12" s="654" t="s">
        <v>221</v>
      </c>
      <c r="C12" s="693">
        <v>86</v>
      </c>
      <c r="D12" s="695">
        <v>17</v>
      </c>
      <c r="E12" s="1311">
        <f>65+31</f>
        <v>96</v>
      </c>
      <c r="F12" s="701">
        <f>18+1</f>
        <v>19</v>
      </c>
      <c r="G12" s="742">
        <v>106</v>
      </c>
      <c r="H12" s="663">
        <f>19+2</f>
        <v>21</v>
      </c>
      <c r="I12" s="667">
        <v>101</v>
      </c>
      <c r="J12" s="663">
        <f>19+2</f>
        <v>21</v>
      </c>
      <c r="K12" s="667">
        <v>95</v>
      </c>
      <c r="L12" s="665">
        <f>14+4</f>
        <v>18</v>
      </c>
      <c r="M12" s="770">
        <f>67+37</f>
        <v>104</v>
      </c>
      <c r="N12" s="663">
        <v>24</v>
      </c>
      <c r="O12" s="667">
        <v>98</v>
      </c>
      <c r="P12" s="663">
        <v>15</v>
      </c>
      <c r="Q12" s="667">
        <v>115</v>
      </c>
      <c r="R12" s="663">
        <v>19</v>
      </c>
      <c r="S12" s="667">
        <v>120</v>
      </c>
      <c r="T12" s="663">
        <v>20</v>
      </c>
      <c r="U12" s="667">
        <v>119</v>
      </c>
      <c r="V12" s="663">
        <v>21</v>
      </c>
      <c r="W12" s="667">
        <v>138</v>
      </c>
      <c r="X12" s="663">
        <v>32</v>
      </c>
      <c r="Y12" s="667">
        <v>125</v>
      </c>
      <c r="Z12" s="1646"/>
      <c r="AB12" s="926">
        <f>AVERAGE(W12,U12,Q12,S12,Y12)</f>
        <v>123.4</v>
      </c>
      <c r="AC12" s="928">
        <f>AVERAGE(X12,V12,R12,T12,P12)</f>
        <v>21.4</v>
      </c>
    </row>
    <row r="13" spans="1:29" s="618" customFormat="1" ht="12" x14ac:dyDescent="0.2">
      <c r="B13" s="669" t="s">
        <v>167</v>
      </c>
      <c r="C13" s="672">
        <v>23</v>
      </c>
      <c r="D13" s="701">
        <v>4</v>
      </c>
      <c r="E13" s="1312">
        <v>25</v>
      </c>
      <c r="F13" s="701">
        <f>9+1</f>
        <v>10</v>
      </c>
      <c r="G13" s="743">
        <v>24</v>
      </c>
      <c r="H13" s="663">
        <f>12+2</f>
        <v>14</v>
      </c>
      <c r="I13" s="734">
        <v>20</v>
      </c>
      <c r="J13" s="663">
        <f>5+1</f>
        <v>6</v>
      </c>
      <c r="K13" s="734">
        <v>15</v>
      </c>
      <c r="L13" s="665">
        <v>5</v>
      </c>
      <c r="M13" s="710">
        <v>8</v>
      </c>
      <c r="N13" s="663">
        <v>5</v>
      </c>
      <c r="O13" s="734">
        <v>5</v>
      </c>
      <c r="P13" s="663">
        <v>12</v>
      </c>
      <c r="Q13" s="734">
        <v>6</v>
      </c>
      <c r="R13" s="663">
        <v>3</v>
      </c>
      <c r="S13" s="734">
        <v>9</v>
      </c>
      <c r="T13" s="663">
        <v>3</v>
      </c>
      <c r="U13" s="734">
        <v>12</v>
      </c>
      <c r="V13" s="663">
        <v>1</v>
      </c>
      <c r="W13" s="734">
        <v>13</v>
      </c>
      <c r="X13" s="663">
        <v>8</v>
      </c>
      <c r="Y13" s="734">
        <v>14</v>
      </c>
      <c r="Z13" s="1646"/>
      <c r="AB13" s="926">
        <f t="shared" ref="AB13:AB14" si="0">AVERAGE(W13,U13,Q13,S13,Y13)</f>
        <v>10.8</v>
      </c>
      <c r="AC13" s="928">
        <f t="shared" ref="AC13:AC14" si="1">AVERAGE(X13,V13,R13,T13,P13)</f>
        <v>5.4</v>
      </c>
    </row>
    <row r="14" spans="1:29" s="618" customFormat="1" ht="12" x14ac:dyDescent="0.2">
      <c r="B14" s="669" t="s">
        <v>6</v>
      </c>
      <c r="C14" s="672">
        <v>17</v>
      </c>
      <c r="D14" s="701">
        <v>1</v>
      </c>
      <c r="E14" s="1312">
        <v>20</v>
      </c>
      <c r="F14" s="701">
        <v>1</v>
      </c>
      <c r="G14" s="743">
        <v>24</v>
      </c>
      <c r="H14" s="663">
        <v>2</v>
      </c>
      <c r="I14" s="734">
        <v>27</v>
      </c>
      <c r="J14" s="663">
        <v>3</v>
      </c>
      <c r="K14" s="734">
        <v>31</v>
      </c>
      <c r="L14" s="665">
        <v>1</v>
      </c>
      <c r="M14" s="710">
        <v>38</v>
      </c>
      <c r="N14" s="663">
        <v>3</v>
      </c>
      <c r="O14" s="734">
        <v>36</v>
      </c>
      <c r="P14" s="663">
        <v>4</v>
      </c>
      <c r="Q14" s="734">
        <v>35</v>
      </c>
      <c r="R14" s="663">
        <v>7</v>
      </c>
      <c r="S14" s="734">
        <v>34</v>
      </c>
      <c r="T14" s="663">
        <v>5</v>
      </c>
      <c r="U14" s="734">
        <v>35</v>
      </c>
      <c r="V14" s="663">
        <v>10</v>
      </c>
      <c r="W14" s="734">
        <v>37</v>
      </c>
      <c r="X14" s="663">
        <v>2</v>
      </c>
      <c r="Y14" s="734">
        <v>36</v>
      </c>
      <c r="Z14" s="1646"/>
      <c r="AB14" s="926">
        <f t="shared" si="0"/>
        <v>35.4</v>
      </c>
      <c r="AC14" s="928">
        <f t="shared" si="1"/>
        <v>5.6</v>
      </c>
    </row>
    <row r="15" spans="1:29" s="618" customFormat="1" ht="12" x14ac:dyDescent="0.2">
      <c r="B15" s="1555" t="s">
        <v>286</v>
      </c>
      <c r="C15" s="705"/>
      <c r="D15" s="704"/>
      <c r="E15" s="1893"/>
      <c r="F15" s="704"/>
      <c r="G15" s="743"/>
      <c r="H15" s="729"/>
      <c r="I15" s="734"/>
      <c r="J15" s="729"/>
      <c r="K15" s="734"/>
      <c r="L15" s="730"/>
      <c r="M15" s="710"/>
      <c r="N15" s="729"/>
      <c r="O15" s="734"/>
      <c r="P15" s="729"/>
      <c r="Q15" s="734"/>
      <c r="R15" s="729"/>
      <c r="S15" s="734"/>
      <c r="T15" s="729"/>
      <c r="U15" s="734"/>
      <c r="V15" s="729"/>
      <c r="W15" s="734"/>
      <c r="X15" s="729"/>
      <c r="Y15" s="734"/>
      <c r="Z15" s="1647"/>
      <c r="AB15" s="926"/>
      <c r="AC15" s="928"/>
    </row>
    <row r="16" spans="1:29" s="618" customFormat="1" thickBot="1" x14ac:dyDescent="0.25">
      <c r="A16" s="1894"/>
      <c r="B16" s="737" t="s">
        <v>82</v>
      </c>
      <c r="C16" s="714"/>
      <c r="D16" s="713"/>
      <c r="E16" s="1313"/>
      <c r="F16" s="713"/>
      <c r="G16" s="744"/>
      <c r="H16" s="716"/>
      <c r="I16" s="717"/>
      <c r="J16" s="716"/>
      <c r="K16" s="717"/>
      <c r="L16" s="718"/>
      <c r="M16" s="1895"/>
      <c r="N16" s="1896"/>
      <c r="O16" s="1897"/>
      <c r="P16" s="1896"/>
      <c r="Q16" s="1897"/>
      <c r="R16" s="1896"/>
      <c r="S16" s="1897"/>
      <c r="T16" s="1896"/>
      <c r="U16" s="717">
        <v>0</v>
      </c>
      <c r="V16" s="716">
        <v>9</v>
      </c>
      <c r="W16" s="717">
        <v>0</v>
      </c>
      <c r="X16" s="716">
        <v>4</v>
      </c>
      <c r="Y16" s="717">
        <v>0</v>
      </c>
      <c r="Z16" s="1648"/>
      <c r="AA16" s="1032"/>
      <c r="AB16" s="944">
        <v>0</v>
      </c>
      <c r="AC16" s="1891">
        <f>AVERAGE(X16,V16,R16,T16,P16)</f>
        <v>6.5</v>
      </c>
    </row>
    <row r="17" spans="1:32" thickTop="1" x14ac:dyDescent="0.2">
      <c r="B17" s="70" t="s">
        <v>170</v>
      </c>
      <c r="C17" s="33"/>
      <c r="D17" s="34"/>
      <c r="E17" s="33"/>
      <c r="F17" s="34"/>
      <c r="G17" s="133"/>
      <c r="H17" s="135"/>
      <c r="I17" s="133"/>
      <c r="J17" s="135"/>
      <c r="K17" s="133"/>
      <c r="L17" s="135"/>
      <c r="M17" s="133"/>
      <c r="N17" s="135"/>
      <c r="O17" s="133"/>
      <c r="P17" s="135"/>
      <c r="Q17" s="133"/>
      <c r="R17" s="135"/>
      <c r="S17" s="133"/>
      <c r="T17" s="135"/>
      <c r="U17" s="133"/>
      <c r="V17" s="135"/>
      <c r="W17" s="133"/>
      <c r="X17" s="135"/>
      <c r="Y17" s="133"/>
      <c r="Z17" s="135"/>
      <c r="AB17" s="668"/>
      <c r="AC17" s="494"/>
    </row>
    <row r="18" spans="1:32" ht="7.5" customHeight="1" thickBot="1" x14ac:dyDescent="0.25">
      <c r="C18" s="3"/>
      <c r="D18" s="3"/>
      <c r="E18" s="3"/>
      <c r="F18" s="3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E18" s="3" t="s">
        <v>29</v>
      </c>
    </row>
    <row r="19" spans="1:32" ht="14.25" customHeight="1" thickTop="1" thickBot="1" x14ac:dyDescent="0.25">
      <c r="B19" s="340"/>
      <c r="C19" s="2013" t="s">
        <v>49</v>
      </c>
      <c r="D19" s="2015"/>
      <c r="E19" s="2013" t="s">
        <v>50</v>
      </c>
      <c r="F19" s="2015"/>
      <c r="G19" s="2002" t="s">
        <v>141</v>
      </c>
      <c r="H19" s="1982"/>
      <c r="I19" s="1974" t="s">
        <v>152</v>
      </c>
      <c r="J19" s="1982"/>
      <c r="K19" s="1974" t="s">
        <v>154</v>
      </c>
      <c r="L19" s="1974"/>
      <c r="M19" s="2002" t="s">
        <v>171</v>
      </c>
      <c r="N19" s="1982"/>
      <c r="O19" s="1974" t="s">
        <v>227</v>
      </c>
      <c r="P19" s="1982"/>
      <c r="Q19" s="1974" t="s">
        <v>237</v>
      </c>
      <c r="R19" s="1982"/>
      <c r="S19" s="1974" t="s">
        <v>272</v>
      </c>
      <c r="T19" s="1982"/>
      <c r="U19" s="1974" t="s">
        <v>274</v>
      </c>
      <c r="V19" s="1982"/>
      <c r="W19" s="1974" t="s">
        <v>280</v>
      </c>
      <c r="X19" s="1982"/>
      <c r="Y19" s="1974" t="s">
        <v>290</v>
      </c>
      <c r="Z19" s="1975"/>
      <c r="AB19" s="2003" t="s">
        <v>213</v>
      </c>
      <c r="AC19" s="2004"/>
      <c r="AE19" s="3" t="s">
        <v>29</v>
      </c>
    </row>
    <row r="20" spans="1:32" ht="12" x14ac:dyDescent="0.2">
      <c r="B20" s="73" t="s">
        <v>7</v>
      </c>
      <c r="C20" s="54"/>
      <c r="D20" s="30"/>
      <c r="E20" s="54"/>
      <c r="F20" s="30"/>
      <c r="G20" s="243"/>
      <c r="H20" s="244"/>
      <c r="I20" s="138"/>
      <c r="J20" s="244"/>
      <c r="K20" s="138"/>
      <c r="L20" s="138"/>
      <c r="M20" s="243"/>
      <c r="N20" s="244"/>
      <c r="O20" s="138"/>
      <c r="P20" s="244"/>
      <c r="Q20" s="138"/>
      <c r="R20" s="244"/>
      <c r="S20" s="138"/>
      <c r="T20" s="244"/>
      <c r="U20" s="138"/>
      <c r="V20" s="244"/>
      <c r="W20" s="138"/>
      <c r="X20" s="244"/>
      <c r="Y20" s="138"/>
      <c r="Z20" s="140"/>
      <c r="AB20" s="831"/>
      <c r="AC20" s="930"/>
    </row>
    <row r="21" spans="1:32" ht="12" x14ac:dyDescent="0.2">
      <c r="B21" s="78" t="s">
        <v>8</v>
      </c>
      <c r="C21" s="184"/>
      <c r="D21" s="31"/>
      <c r="E21" s="184"/>
      <c r="F21" s="31"/>
      <c r="G21" s="239"/>
      <c r="H21" s="245"/>
      <c r="I21" s="139"/>
      <c r="J21" s="245"/>
      <c r="K21" s="139"/>
      <c r="L21" s="139"/>
      <c r="M21" s="239"/>
      <c r="N21" s="245"/>
      <c r="O21" s="139"/>
      <c r="P21" s="245"/>
      <c r="Q21" s="139"/>
      <c r="R21" s="245"/>
      <c r="S21" s="139"/>
      <c r="T21" s="245"/>
      <c r="U21" s="139"/>
      <c r="V21" s="245"/>
      <c r="W21" s="139"/>
      <c r="X21" s="245"/>
      <c r="Y21" s="139"/>
      <c r="Z21" s="141"/>
      <c r="AB21" s="831"/>
      <c r="AC21" s="930"/>
    </row>
    <row r="22" spans="1:32" ht="12" x14ac:dyDescent="0.2">
      <c r="B22" s="78" t="s">
        <v>9</v>
      </c>
      <c r="C22" s="184"/>
      <c r="D22" s="82">
        <v>20049</v>
      </c>
      <c r="E22" s="184"/>
      <c r="F22" s="171">
        <v>20120</v>
      </c>
      <c r="G22" s="239"/>
      <c r="H22" s="261">
        <v>19930</v>
      </c>
      <c r="I22" s="139"/>
      <c r="J22" s="261">
        <v>20268</v>
      </c>
      <c r="K22" s="139"/>
      <c r="L22" s="183">
        <v>21109</v>
      </c>
      <c r="M22" s="239"/>
      <c r="N22" s="261">
        <v>20860</v>
      </c>
      <c r="O22" s="139"/>
      <c r="P22" s="261">
        <v>20601</v>
      </c>
      <c r="Q22" s="139"/>
      <c r="R22" s="261">
        <v>20895</v>
      </c>
      <c r="S22" s="139"/>
      <c r="T22" s="261">
        <v>21870</v>
      </c>
      <c r="U22" s="139"/>
      <c r="V22" s="261">
        <v>22579</v>
      </c>
      <c r="W22" s="139"/>
      <c r="X22" s="261">
        <v>23749</v>
      </c>
      <c r="Y22" s="139"/>
      <c r="Z22" s="1649"/>
      <c r="AB22" s="24"/>
      <c r="AC22" s="947">
        <f t="shared" ref="AC22:AC26" si="2">AVERAGE(X22,V22,R22,T22,P22)</f>
        <v>21938.799999999999</v>
      </c>
    </row>
    <row r="23" spans="1:32" ht="12" x14ac:dyDescent="0.2">
      <c r="B23" s="78" t="s">
        <v>10</v>
      </c>
      <c r="C23" s="184"/>
      <c r="D23" s="82">
        <v>3038</v>
      </c>
      <c r="E23" s="184"/>
      <c r="F23" s="171">
        <v>2999</v>
      </c>
      <c r="G23" s="239"/>
      <c r="H23" s="261">
        <v>3008</v>
      </c>
      <c r="I23" s="139"/>
      <c r="J23" s="261">
        <v>3228</v>
      </c>
      <c r="K23" s="139"/>
      <c r="L23" s="183">
        <v>2682</v>
      </c>
      <c r="M23" s="239"/>
      <c r="N23" s="261">
        <v>2619</v>
      </c>
      <c r="O23" s="139"/>
      <c r="P23" s="261">
        <v>2612</v>
      </c>
      <c r="Q23" s="139"/>
      <c r="R23" s="261">
        <v>2730</v>
      </c>
      <c r="S23" s="139"/>
      <c r="T23" s="261">
        <v>2851</v>
      </c>
      <c r="U23" s="139"/>
      <c r="V23" s="261">
        <v>2882</v>
      </c>
      <c r="W23" s="139"/>
      <c r="X23" s="261">
        <v>2821</v>
      </c>
      <c r="Y23" s="139"/>
      <c r="Z23" s="1649"/>
      <c r="AB23" s="12"/>
      <c r="AC23" s="947">
        <f t="shared" si="2"/>
        <v>2779.2</v>
      </c>
    </row>
    <row r="24" spans="1:32" ht="12" x14ac:dyDescent="0.2">
      <c r="B24" s="78" t="s">
        <v>11</v>
      </c>
      <c r="C24" s="184"/>
      <c r="D24" s="82">
        <v>708</v>
      </c>
      <c r="E24" s="184"/>
      <c r="F24" s="171">
        <v>622</v>
      </c>
      <c r="G24" s="239"/>
      <c r="H24" s="261">
        <v>664</v>
      </c>
      <c r="I24" s="139"/>
      <c r="J24" s="261">
        <v>650</v>
      </c>
      <c r="K24" s="139"/>
      <c r="L24" s="183">
        <v>551</v>
      </c>
      <c r="M24" s="239"/>
      <c r="N24" s="261">
        <v>580</v>
      </c>
      <c r="O24" s="139"/>
      <c r="P24" s="261">
        <v>359</v>
      </c>
      <c r="Q24" s="139"/>
      <c r="R24" s="261">
        <v>421</v>
      </c>
      <c r="S24" s="139"/>
      <c r="T24" s="261">
        <v>484</v>
      </c>
      <c r="U24" s="139"/>
      <c r="V24" s="261">
        <v>704</v>
      </c>
      <c r="W24" s="139"/>
      <c r="X24" s="261">
        <v>700</v>
      </c>
      <c r="Y24" s="139"/>
      <c r="Z24" s="1649"/>
      <c r="AA24" s="955"/>
      <c r="AB24" s="31"/>
      <c r="AC24" s="947">
        <f t="shared" si="2"/>
        <v>533.6</v>
      </c>
    </row>
    <row r="25" spans="1:32" ht="12" x14ac:dyDescent="0.2">
      <c r="B25" s="78" t="s">
        <v>12</v>
      </c>
      <c r="C25" s="184"/>
      <c r="D25" s="39">
        <v>231</v>
      </c>
      <c r="E25" s="184"/>
      <c r="F25" s="39">
        <v>297</v>
      </c>
      <c r="G25" s="239"/>
      <c r="H25" s="240">
        <v>412</v>
      </c>
      <c r="I25" s="139"/>
      <c r="J25" s="240">
        <v>271</v>
      </c>
      <c r="K25" s="139"/>
      <c r="L25" s="241">
        <v>353</v>
      </c>
      <c r="M25" s="239"/>
      <c r="N25" s="240">
        <v>454</v>
      </c>
      <c r="O25" s="139"/>
      <c r="P25" s="240">
        <v>579</v>
      </c>
      <c r="Q25" s="139"/>
      <c r="R25" s="240">
        <v>462</v>
      </c>
      <c r="S25" s="139"/>
      <c r="T25" s="240">
        <v>456</v>
      </c>
      <c r="U25" s="139"/>
      <c r="V25" s="240">
        <v>384</v>
      </c>
      <c r="W25" s="139"/>
      <c r="X25" s="240">
        <v>387</v>
      </c>
      <c r="Y25" s="139"/>
      <c r="Z25" s="1650"/>
      <c r="AA25" s="955"/>
      <c r="AB25" s="31"/>
      <c r="AC25" s="947">
        <f t="shared" si="2"/>
        <v>453.6</v>
      </c>
    </row>
    <row r="26" spans="1:32" thickBot="1" x14ac:dyDescent="0.25">
      <c r="B26" s="79" t="s">
        <v>13</v>
      </c>
      <c r="C26" s="185"/>
      <c r="D26" s="1314">
        <f>SUM(D22:D25)</f>
        <v>24026</v>
      </c>
      <c r="E26" s="187"/>
      <c r="F26" s="58">
        <f>SUM(F22:F25)</f>
        <v>24038</v>
      </c>
      <c r="G26" s="246"/>
      <c r="H26" s="247">
        <f>SUM(H22:H25)</f>
        <v>24014</v>
      </c>
      <c r="I26" s="164"/>
      <c r="J26" s="247">
        <f>SUM(J22:J25)</f>
        <v>24417</v>
      </c>
      <c r="K26" s="164"/>
      <c r="L26" s="242">
        <f>SUM(L22:L25)</f>
        <v>24695</v>
      </c>
      <c r="M26" s="246"/>
      <c r="N26" s="247">
        <f>SUM(N22:N25)</f>
        <v>24513</v>
      </c>
      <c r="O26" s="164"/>
      <c r="P26" s="247">
        <f>SUM(P22:P25)</f>
        <v>24151</v>
      </c>
      <c r="Q26" s="164"/>
      <c r="R26" s="247">
        <f>SUM(R22:R25)</f>
        <v>24508</v>
      </c>
      <c r="S26" s="164"/>
      <c r="T26" s="247">
        <f>SUM(T22:T25)</f>
        <v>25661</v>
      </c>
      <c r="U26" s="164"/>
      <c r="V26" s="247">
        <f>SUM(V22:V25)</f>
        <v>26549</v>
      </c>
      <c r="W26" s="164"/>
      <c r="X26" s="247">
        <f>SUM(X22:X25)</f>
        <v>27657</v>
      </c>
      <c r="Y26" s="164"/>
      <c r="Z26" s="1651"/>
      <c r="AA26" s="955"/>
      <c r="AB26" s="182"/>
      <c r="AC26" s="1008">
        <f t="shared" si="2"/>
        <v>25705.200000000001</v>
      </c>
    </row>
    <row r="27" spans="1:32" customFormat="1" ht="12" customHeight="1" thickTop="1" thickBot="1" x14ac:dyDescent="0.25">
      <c r="A27" s="930"/>
      <c r="B27" s="931" t="s">
        <v>212</v>
      </c>
      <c r="C27" s="1992" t="s">
        <v>51</v>
      </c>
      <c r="D27" s="1997"/>
      <c r="E27" s="1992" t="s">
        <v>52</v>
      </c>
      <c r="F27" s="1997"/>
      <c r="G27" s="1989" t="s">
        <v>184</v>
      </c>
      <c r="H27" s="1981"/>
      <c r="I27" s="1989" t="s">
        <v>185</v>
      </c>
      <c r="J27" s="2005"/>
      <c r="K27" s="1989" t="s">
        <v>202</v>
      </c>
      <c r="L27" s="2005"/>
      <c r="M27" s="1991" t="s">
        <v>203</v>
      </c>
      <c r="N27" s="1981"/>
      <c r="O27" s="1970" t="s">
        <v>228</v>
      </c>
      <c r="P27" s="1981"/>
      <c r="Q27" s="1970" t="s">
        <v>238</v>
      </c>
      <c r="R27" s="1981"/>
      <c r="S27" s="1970" t="s">
        <v>273</v>
      </c>
      <c r="T27" s="1981"/>
      <c r="U27" s="1970" t="s">
        <v>275</v>
      </c>
      <c r="V27" s="1981"/>
      <c r="W27" s="1970" t="s">
        <v>281</v>
      </c>
      <c r="X27" s="1981"/>
      <c r="Y27" s="1970" t="s">
        <v>291</v>
      </c>
      <c r="Z27" s="1971"/>
      <c r="AA27" s="932"/>
      <c r="AB27" s="2009"/>
      <c r="AC27" s="2010"/>
      <c r="AD27" s="293"/>
      <c r="AE27" s="293"/>
      <c r="AF27" s="21"/>
    </row>
    <row r="28" spans="1:32" customFormat="1" ht="12" customHeight="1" x14ac:dyDescent="0.2">
      <c r="A28" s="930"/>
      <c r="B28" s="933" t="s">
        <v>189</v>
      </c>
      <c r="C28" s="2016">
        <v>2.3E-2</v>
      </c>
      <c r="D28" s="2017"/>
      <c r="E28" s="1995">
        <v>2.3E-2</v>
      </c>
      <c r="F28" s="1996"/>
      <c r="G28" s="1995">
        <v>2.5999999999999999E-2</v>
      </c>
      <c r="H28" s="1996"/>
      <c r="I28" s="1995">
        <v>2.1000000000000001E-2</v>
      </c>
      <c r="J28" s="2006"/>
      <c r="K28" s="934"/>
      <c r="L28" s="935">
        <v>1.6E-2</v>
      </c>
      <c r="M28" s="936"/>
      <c r="N28" s="1178">
        <v>2.4E-2</v>
      </c>
      <c r="O28" s="1176"/>
      <c r="P28" s="1178">
        <v>1.9E-2</v>
      </c>
      <c r="Q28" s="1271"/>
      <c r="R28" s="1178">
        <v>2.7E-2</v>
      </c>
      <c r="S28" s="1271"/>
      <c r="T28" s="1178">
        <v>2.5999999999999999E-2</v>
      </c>
      <c r="U28" s="1271"/>
      <c r="V28" s="1178">
        <v>2.5999999999999999E-2</v>
      </c>
      <c r="W28" s="1271"/>
      <c r="X28" s="1178">
        <v>2.9000000000000001E-2</v>
      </c>
      <c r="Y28" s="1271"/>
      <c r="Z28" s="1479">
        <v>0.03</v>
      </c>
      <c r="AA28" s="937"/>
      <c r="AB28" s="938"/>
      <c r="AC28" s="1048">
        <f t="shared" ref="AC28:AC29" si="3">AVERAGE(X28,V28,R28,T28,Z28)</f>
        <v>2.7600000000000003E-2</v>
      </c>
      <c r="AD28" s="293"/>
      <c r="AE28" s="293"/>
      <c r="AF28" s="21"/>
    </row>
    <row r="29" spans="1:32" customFormat="1" ht="12" customHeight="1" x14ac:dyDescent="0.2">
      <c r="A29" s="930"/>
      <c r="B29" s="940" t="s">
        <v>190</v>
      </c>
      <c r="C29" s="2018">
        <v>2.5999999999999999E-2</v>
      </c>
      <c r="D29" s="2019"/>
      <c r="E29" s="2000">
        <v>2.4E-2</v>
      </c>
      <c r="F29" s="2001"/>
      <c r="G29" s="2000">
        <v>3.3000000000000002E-2</v>
      </c>
      <c r="H29" s="2001"/>
      <c r="I29" s="2000">
        <v>0.03</v>
      </c>
      <c r="J29" s="2011"/>
      <c r="K29" s="941"/>
      <c r="L29" s="942">
        <v>2.8000000000000001E-2</v>
      </c>
      <c r="M29" s="941"/>
      <c r="N29" s="1179">
        <v>0.03</v>
      </c>
      <c r="O29" s="1177"/>
      <c r="P29" s="1179">
        <v>2.5000000000000001E-2</v>
      </c>
      <c r="Q29" s="1272"/>
      <c r="R29" s="1179">
        <v>2.7E-2</v>
      </c>
      <c r="S29" s="1272"/>
      <c r="T29" s="1179">
        <v>2.5999999999999999E-2</v>
      </c>
      <c r="U29" s="1272"/>
      <c r="V29" s="1179">
        <v>2.8000000000000001E-2</v>
      </c>
      <c r="W29" s="1272"/>
      <c r="X29" s="1179">
        <v>2.8000000000000001E-2</v>
      </c>
      <c r="Y29" s="1272"/>
      <c r="Z29" s="1480">
        <v>2.7E-2</v>
      </c>
      <c r="AA29" s="937"/>
      <c r="AB29" s="938"/>
      <c r="AC29" s="1048">
        <f t="shared" si="3"/>
        <v>2.7200000000000002E-2</v>
      </c>
      <c r="AD29" s="293"/>
      <c r="AE29" s="293"/>
      <c r="AF29" s="21"/>
    </row>
    <row r="30" spans="1:32" customFormat="1" ht="12.75" customHeight="1" thickBot="1" x14ac:dyDescent="0.25">
      <c r="A30" s="3"/>
      <c r="B30" s="943" t="s">
        <v>191</v>
      </c>
      <c r="C30" s="1998">
        <f>1-C28-C29</f>
        <v>0.95099999999999996</v>
      </c>
      <c r="D30" s="1999"/>
      <c r="E30" s="1998">
        <f>1-E28-E29</f>
        <v>0.95299999999999996</v>
      </c>
      <c r="F30" s="1999"/>
      <c r="G30" s="1998">
        <f>1-G28-G29</f>
        <v>0.94099999999999995</v>
      </c>
      <c r="H30" s="1999"/>
      <c r="I30" s="1998">
        <f>1-I28-I29</f>
        <v>0.94899999999999995</v>
      </c>
      <c r="J30" s="1999"/>
      <c r="K30" s="1998">
        <f>1-L28-L29</f>
        <v>0.95599999999999996</v>
      </c>
      <c r="L30" s="1999"/>
      <c r="M30" s="1998">
        <f>1-N28-N29</f>
        <v>0.94599999999999995</v>
      </c>
      <c r="N30" s="1999"/>
      <c r="O30" s="1998">
        <f>1-P28-P29</f>
        <v>0.95599999999999996</v>
      </c>
      <c r="P30" s="1999"/>
      <c r="Q30" s="1972">
        <f>1-R28-R29</f>
        <v>0.94599999999999995</v>
      </c>
      <c r="R30" s="1973"/>
      <c r="S30" s="1972">
        <f>1-T28-T29</f>
        <v>0.94799999999999995</v>
      </c>
      <c r="T30" s="1973"/>
      <c r="U30" s="1972">
        <f>1-V28-V29</f>
        <v>0.94599999999999995</v>
      </c>
      <c r="V30" s="1973"/>
      <c r="W30" s="1972">
        <f>1-X28-X29</f>
        <v>0.94299999999999995</v>
      </c>
      <c r="X30" s="1973"/>
      <c r="Y30" s="1972">
        <f>1-Z28-Z29</f>
        <v>0.94299999999999995</v>
      </c>
      <c r="Z30" s="1973"/>
      <c r="AA30" s="937"/>
      <c r="AB30" s="2007">
        <f>1-AC28-AC29</f>
        <v>0.94520000000000004</v>
      </c>
      <c r="AC30" s="2008"/>
      <c r="AD30" s="1050"/>
      <c r="AE30" s="293"/>
      <c r="AF30" s="21"/>
    </row>
    <row r="31" spans="1:32" thickTop="1" x14ac:dyDescent="0.2">
      <c r="B31" s="109"/>
      <c r="C31" s="110"/>
      <c r="D31" s="111"/>
      <c r="E31" s="110"/>
      <c r="F31" s="111"/>
      <c r="G31" s="146"/>
      <c r="H31" s="147"/>
      <c r="I31" s="146"/>
      <c r="J31" s="147"/>
      <c r="K31" s="146"/>
      <c r="L31" s="147"/>
      <c r="M31" s="146"/>
      <c r="N31" s="147"/>
      <c r="O31" s="146"/>
      <c r="P31" s="147"/>
      <c r="Q31" s="146"/>
      <c r="R31" s="147"/>
      <c r="S31" s="146"/>
      <c r="T31" s="147"/>
      <c r="U31" s="146"/>
      <c r="V31" s="147"/>
      <c r="W31" s="146"/>
      <c r="X31" s="147"/>
      <c r="Y31" s="146"/>
      <c r="Z31" s="147"/>
    </row>
    <row r="32" spans="1:32" x14ac:dyDescent="0.2">
      <c r="A32" s="112" t="s">
        <v>68</v>
      </c>
      <c r="B32" s="96"/>
      <c r="C32" s="28"/>
      <c r="D32" s="28"/>
      <c r="E32" s="28"/>
      <c r="F32" s="28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D32" s="3" t="s">
        <v>29</v>
      </c>
    </row>
    <row r="33" spans="1:29" ht="13.5" thickBot="1" x14ac:dyDescent="0.25">
      <c r="A33" s="112"/>
      <c r="B33" s="96"/>
      <c r="C33" s="28"/>
      <c r="D33" s="28"/>
      <c r="E33" s="28"/>
      <c r="F33" s="28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</row>
    <row r="34" spans="1:29" ht="14.25" thickTop="1" thickBot="1" x14ac:dyDescent="0.25">
      <c r="A34" s="2"/>
      <c r="B34" s="606" t="s">
        <v>69</v>
      </c>
      <c r="C34" s="2013" t="s">
        <v>49</v>
      </c>
      <c r="D34" s="2015"/>
      <c r="E34" s="2076" t="s">
        <v>50</v>
      </c>
      <c r="F34" s="2015"/>
      <c r="G34" s="2002" t="s">
        <v>141</v>
      </c>
      <c r="H34" s="1982"/>
      <c r="I34" s="1974" t="s">
        <v>152</v>
      </c>
      <c r="J34" s="1982"/>
      <c r="K34" s="1974" t="s">
        <v>154</v>
      </c>
      <c r="L34" s="1974"/>
      <c r="M34" s="2002" t="s">
        <v>171</v>
      </c>
      <c r="N34" s="1982"/>
      <c r="O34" s="1974" t="s">
        <v>227</v>
      </c>
      <c r="P34" s="1982"/>
      <c r="Q34" s="1974" t="s">
        <v>237</v>
      </c>
      <c r="R34" s="1982"/>
      <c r="S34" s="1974" t="s">
        <v>272</v>
      </c>
      <c r="T34" s="1982"/>
      <c r="U34" s="1974" t="s">
        <v>274</v>
      </c>
      <c r="V34" s="1982"/>
      <c r="W34" s="1974" t="s">
        <v>280</v>
      </c>
      <c r="X34" s="1982"/>
      <c r="Y34" s="1974" t="s">
        <v>290</v>
      </c>
      <c r="Z34" s="1975"/>
      <c r="AA34" s="955"/>
      <c r="AB34" s="2015" t="s">
        <v>213</v>
      </c>
      <c r="AC34" s="2004"/>
    </row>
    <row r="35" spans="1:29" x14ac:dyDescent="0.2">
      <c r="A35" s="2"/>
      <c r="B35" s="1330" t="s">
        <v>70</v>
      </c>
      <c r="C35" s="184"/>
      <c r="D35" s="31"/>
      <c r="E35" s="9"/>
      <c r="F35" s="31"/>
      <c r="G35" s="239"/>
      <c r="H35" s="245"/>
      <c r="I35" s="139"/>
      <c r="J35" s="245"/>
      <c r="K35" s="139"/>
      <c r="L35" s="139"/>
      <c r="M35" s="239"/>
      <c r="N35" s="245"/>
      <c r="O35" s="139"/>
      <c r="P35" s="245"/>
      <c r="Q35" s="139"/>
      <c r="R35" s="245"/>
      <c r="S35" s="139"/>
      <c r="T35" s="245"/>
      <c r="U35" s="139"/>
      <c r="V35" s="245"/>
      <c r="W35" s="139"/>
      <c r="X35" s="245"/>
      <c r="Y35" s="139"/>
      <c r="Z35" s="141"/>
      <c r="AA35" s="955"/>
      <c r="AB35" s="28"/>
      <c r="AC35" s="930"/>
    </row>
    <row r="36" spans="1:29" x14ac:dyDescent="0.2">
      <c r="A36" s="2"/>
      <c r="B36" s="331" t="s">
        <v>71</v>
      </c>
      <c r="C36" s="54"/>
      <c r="D36" s="205">
        <v>2621689</v>
      </c>
      <c r="E36" s="17"/>
      <c r="F36" s="205">
        <v>2807166</v>
      </c>
      <c r="G36" s="243"/>
      <c r="H36" s="416">
        <v>3004062</v>
      </c>
      <c r="I36" s="138"/>
      <c r="J36" s="416">
        <v>3129470</v>
      </c>
      <c r="K36" s="138"/>
      <c r="L36" s="451">
        <v>3455331</v>
      </c>
      <c r="M36" s="243"/>
      <c r="N36" s="416">
        <v>3623202</v>
      </c>
      <c r="O36" s="138"/>
      <c r="P36" s="416">
        <v>3366725</v>
      </c>
      <c r="Q36" s="138"/>
      <c r="R36" s="416">
        <v>3527823</v>
      </c>
      <c r="S36" s="138"/>
      <c r="T36" s="416">
        <v>3654236</v>
      </c>
      <c r="U36" s="138"/>
      <c r="V36" s="416">
        <v>3902677</v>
      </c>
      <c r="W36" s="138"/>
      <c r="X36" s="416">
        <v>4241228</v>
      </c>
      <c r="Y36" s="138"/>
      <c r="Z36" s="294">
        <v>4459579</v>
      </c>
      <c r="AA36" s="955"/>
      <c r="AB36" s="30"/>
      <c r="AC36" s="947">
        <f t="shared" ref="AC36:AC39" si="4">AVERAGE(X36,V36,R36,T36,Z36)</f>
        <v>3957108.6</v>
      </c>
    </row>
    <row r="37" spans="1:29" x14ac:dyDescent="0.2">
      <c r="A37" s="2"/>
      <c r="B37" s="331" t="s">
        <v>247</v>
      </c>
      <c r="C37" s="54"/>
      <c r="D37" s="205"/>
      <c r="E37" s="17"/>
      <c r="F37" s="205"/>
      <c r="G37" s="243"/>
      <c r="H37" s="1439"/>
      <c r="I37" s="138"/>
      <c r="J37" s="416">
        <v>24445</v>
      </c>
      <c r="K37" s="138"/>
      <c r="L37" s="451">
        <v>24825</v>
      </c>
      <c r="M37" s="243"/>
      <c r="N37" s="416">
        <v>25148</v>
      </c>
      <c r="O37" s="138"/>
      <c r="P37" s="416">
        <v>25186</v>
      </c>
      <c r="Q37" s="138"/>
      <c r="R37" s="416">
        <v>25415</v>
      </c>
      <c r="S37" s="138"/>
      <c r="T37" s="416">
        <v>25653</v>
      </c>
      <c r="U37" s="138"/>
      <c r="V37" s="416">
        <v>25484</v>
      </c>
      <c r="W37" s="138"/>
      <c r="X37" s="416">
        <v>10000</v>
      </c>
      <c r="Y37" s="138"/>
      <c r="Z37" s="294">
        <v>12445</v>
      </c>
      <c r="AA37" s="955"/>
      <c r="AB37" s="30"/>
      <c r="AC37" s="947">
        <f t="shared" si="4"/>
        <v>19799.400000000001</v>
      </c>
    </row>
    <row r="38" spans="1:29" ht="36" x14ac:dyDescent="0.2">
      <c r="A38" s="2"/>
      <c r="B38" s="332" t="s">
        <v>83</v>
      </c>
      <c r="C38" s="184"/>
      <c r="D38" s="206">
        <f>13204+83067</f>
        <v>96271</v>
      </c>
      <c r="E38" s="9"/>
      <c r="F38" s="206">
        <v>204102</v>
      </c>
      <c r="G38" s="239"/>
      <c r="H38" s="369">
        <v>287987</v>
      </c>
      <c r="I38" s="139"/>
      <c r="J38" s="369">
        <v>220866</v>
      </c>
      <c r="K38" s="139"/>
      <c r="L38" s="347">
        <v>156293</v>
      </c>
      <c r="M38" s="239"/>
      <c r="N38" s="369">
        <v>252415</v>
      </c>
      <c r="O38" s="139"/>
      <c r="P38" s="369">
        <v>529224</v>
      </c>
      <c r="Q38" s="139"/>
      <c r="R38" s="369">
        <v>433591</v>
      </c>
      <c r="S38" s="139"/>
      <c r="T38" s="369">
        <v>486066</v>
      </c>
      <c r="U38" s="139"/>
      <c r="V38" s="369">
        <v>399644</v>
      </c>
      <c r="W38" s="139"/>
      <c r="X38" s="369">
        <v>452118</v>
      </c>
      <c r="Y38" s="139"/>
      <c r="Z38" s="282">
        <v>413319</v>
      </c>
      <c r="AA38" s="955"/>
      <c r="AB38" s="31"/>
      <c r="AC38" s="947">
        <f t="shared" si="4"/>
        <v>436947.6</v>
      </c>
    </row>
    <row r="39" spans="1:29" x14ac:dyDescent="0.2">
      <c r="A39" s="2"/>
      <c r="B39" s="333" t="s">
        <v>72</v>
      </c>
      <c r="C39" s="187"/>
      <c r="D39" s="207">
        <f>SUM(D36:D38)</f>
        <v>2717960</v>
      </c>
      <c r="E39" s="1315"/>
      <c r="F39" s="207">
        <f>SUM(F36:F38)</f>
        <v>3011268</v>
      </c>
      <c r="G39" s="262"/>
      <c r="H39" s="263">
        <f>SUM(H36:H38)</f>
        <v>3292049</v>
      </c>
      <c r="I39" s="250"/>
      <c r="J39" s="263">
        <f>SUM(J36:J38)</f>
        <v>3374781</v>
      </c>
      <c r="K39" s="250"/>
      <c r="L39" s="249">
        <f>SUM(L36:L38)</f>
        <v>3636449</v>
      </c>
      <c r="M39" s="262"/>
      <c r="N39" s="263">
        <f>SUM(N36:N38)</f>
        <v>3900765</v>
      </c>
      <c r="O39" s="250"/>
      <c r="P39" s="263">
        <f>SUM(P36:P38)</f>
        <v>3921135</v>
      </c>
      <c r="Q39" s="250"/>
      <c r="R39" s="263">
        <f>SUM(R36:R38)</f>
        <v>3986829</v>
      </c>
      <c r="S39" s="250"/>
      <c r="T39" s="263">
        <f>SUM(T36:T38)</f>
        <v>4165955</v>
      </c>
      <c r="U39" s="250"/>
      <c r="V39" s="263">
        <f>SUM(V36:V38)</f>
        <v>4327805</v>
      </c>
      <c r="W39" s="250"/>
      <c r="X39" s="263">
        <f>SUM(X36:X38)</f>
        <v>4703346</v>
      </c>
      <c r="Y39" s="250"/>
      <c r="Z39" s="149">
        <f>SUM(Z36:Z38)</f>
        <v>4885343</v>
      </c>
      <c r="AA39" s="955"/>
      <c r="AB39" s="31"/>
      <c r="AC39" s="1008">
        <f t="shared" si="4"/>
        <v>4413855.5999999996</v>
      </c>
    </row>
    <row r="40" spans="1:29" x14ac:dyDescent="0.2">
      <c r="A40" s="2"/>
      <c r="B40" s="330" t="s">
        <v>73</v>
      </c>
      <c r="C40" s="184"/>
      <c r="D40" s="206"/>
      <c r="E40" s="9"/>
      <c r="F40" s="206"/>
      <c r="G40" s="239"/>
      <c r="H40" s="369"/>
      <c r="I40" s="139"/>
      <c r="J40" s="369"/>
      <c r="K40" s="139"/>
      <c r="L40" s="347"/>
      <c r="M40" s="239"/>
      <c r="N40" s="369"/>
      <c r="O40" s="139"/>
      <c r="P40" s="369"/>
      <c r="Q40" s="139"/>
      <c r="R40" s="369"/>
      <c r="S40" s="139"/>
      <c r="T40" s="369"/>
      <c r="U40" s="139"/>
      <c r="V40" s="369"/>
      <c r="W40" s="139"/>
      <c r="X40" s="369"/>
      <c r="Y40" s="139"/>
      <c r="Z40" s="282"/>
      <c r="AA40" s="955"/>
      <c r="AB40" s="31"/>
      <c r="AC40" s="947"/>
    </row>
    <row r="41" spans="1:29" x14ac:dyDescent="0.2">
      <c r="A41" s="2"/>
      <c r="B41" s="331" t="s">
        <v>71</v>
      </c>
      <c r="C41" s="184"/>
      <c r="D41" s="206"/>
      <c r="E41" s="9"/>
      <c r="F41" s="206"/>
      <c r="G41" s="239"/>
      <c r="H41" s="369"/>
      <c r="I41" s="139"/>
      <c r="J41" s="369"/>
      <c r="K41" s="139"/>
      <c r="L41" s="347"/>
      <c r="M41" s="239"/>
      <c r="N41" s="369"/>
      <c r="O41" s="139"/>
      <c r="P41" s="369"/>
      <c r="Q41" s="139"/>
      <c r="R41" s="369"/>
      <c r="S41" s="139"/>
      <c r="T41" s="369"/>
      <c r="U41" s="139"/>
      <c r="V41" s="369"/>
      <c r="W41" s="139"/>
      <c r="X41" s="369"/>
      <c r="Y41" s="139"/>
      <c r="Z41" s="282"/>
      <c r="AA41" s="955"/>
      <c r="AB41" s="31"/>
      <c r="AC41" s="947"/>
    </row>
    <row r="42" spans="1:29" x14ac:dyDescent="0.2">
      <c r="A42" s="2"/>
      <c r="B42" s="331" t="s">
        <v>247</v>
      </c>
      <c r="C42" s="184"/>
      <c r="D42" s="206"/>
      <c r="E42" s="9"/>
      <c r="F42" s="206"/>
      <c r="G42" s="239"/>
      <c r="H42" s="369"/>
      <c r="I42" s="139"/>
      <c r="J42" s="369"/>
      <c r="K42" s="139"/>
      <c r="L42" s="347"/>
      <c r="M42" s="239"/>
      <c r="N42" s="369"/>
      <c r="O42" s="139"/>
      <c r="P42" s="369"/>
      <c r="Q42" s="139"/>
      <c r="R42" s="369"/>
      <c r="S42" s="139"/>
      <c r="T42" s="369"/>
      <c r="U42" s="139"/>
      <c r="V42" s="369"/>
      <c r="W42" s="139"/>
      <c r="X42" s="369"/>
      <c r="Y42" s="139"/>
      <c r="Z42" s="282"/>
      <c r="AA42" s="955"/>
      <c r="AB42" s="31"/>
      <c r="AC42" s="947"/>
    </row>
    <row r="43" spans="1:29" ht="36" x14ac:dyDescent="0.2">
      <c r="A43" s="2"/>
      <c r="B43" s="332" t="s">
        <v>248</v>
      </c>
      <c r="C43" s="184"/>
      <c r="D43" s="206"/>
      <c r="E43" s="9"/>
      <c r="F43" s="206"/>
      <c r="G43" s="239"/>
      <c r="H43" s="369"/>
      <c r="I43" s="139"/>
      <c r="J43" s="369"/>
      <c r="K43" s="139"/>
      <c r="L43" s="347"/>
      <c r="M43" s="239"/>
      <c r="N43" s="369"/>
      <c r="O43" s="139"/>
      <c r="P43" s="369"/>
      <c r="Q43" s="139"/>
      <c r="R43" s="369"/>
      <c r="S43" s="139"/>
      <c r="T43" s="369"/>
      <c r="U43" s="139"/>
      <c r="V43" s="369"/>
      <c r="W43" s="139"/>
      <c r="X43" s="369"/>
      <c r="Y43" s="139"/>
      <c r="Z43" s="282"/>
      <c r="AA43" s="955"/>
      <c r="AB43" s="31"/>
      <c r="AC43" s="947"/>
    </row>
    <row r="44" spans="1:29" x14ac:dyDescent="0.2">
      <c r="A44" s="2"/>
      <c r="B44" s="851" t="s">
        <v>74</v>
      </c>
      <c r="C44" s="262"/>
      <c r="D44" s="249">
        <f>SUM(D41:D43)</f>
        <v>0</v>
      </c>
      <c r="E44" s="1315"/>
      <c r="F44" s="207">
        <f>SUM(F41:F43)</f>
        <v>0</v>
      </c>
      <c r="G44" s="262"/>
      <c r="H44" s="263">
        <f>SUM(H41:H43)</f>
        <v>0</v>
      </c>
      <c r="I44" s="250"/>
      <c r="J44" s="263">
        <f>SUM(J41:J43)</f>
        <v>0</v>
      </c>
      <c r="K44" s="250"/>
      <c r="L44" s="249">
        <f>SUM(L41:L43)</f>
        <v>0</v>
      </c>
      <c r="M44" s="262"/>
      <c r="N44" s="263">
        <f>SUM(N41:N43)</f>
        <v>0</v>
      </c>
      <c r="O44" s="250"/>
      <c r="P44" s="263">
        <f>SUM(P41:P43)</f>
        <v>0</v>
      </c>
      <c r="Q44" s="250"/>
      <c r="R44" s="263">
        <f>SUM(R41:R43)</f>
        <v>0</v>
      </c>
      <c r="S44" s="250"/>
      <c r="T44" s="263">
        <f>SUM(T41:T43)</f>
        <v>0</v>
      </c>
      <c r="U44" s="250"/>
      <c r="V44" s="263">
        <f>SUM(V41:V43)</f>
        <v>0</v>
      </c>
      <c r="W44" s="250"/>
      <c r="X44" s="263">
        <f>SUM(X41:X43)</f>
        <v>0</v>
      </c>
      <c r="Y44" s="250"/>
      <c r="Z44" s="149">
        <f>SUM(Z41:Z43)</f>
        <v>0</v>
      </c>
      <c r="AA44" s="955"/>
      <c r="AB44" s="31"/>
      <c r="AC44" s="1008">
        <f t="shared" ref="AC44:AC45" si="5">AVERAGE(X44,V44,R44,T44,Z44)</f>
        <v>0</v>
      </c>
    </row>
    <row r="45" spans="1:29" ht="13.5" thickBot="1" x14ac:dyDescent="0.25">
      <c r="A45" s="2"/>
      <c r="B45" s="1328" t="s">
        <v>75</v>
      </c>
      <c r="C45" s="239"/>
      <c r="D45" s="249">
        <f>SUM(D39,D44)</f>
        <v>2717960</v>
      </c>
      <c r="E45" s="9"/>
      <c r="F45" s="207">
        <f>SUM(F39,F44)</f>
        <v>3011268</v>
      </c>
      <c r="G45" s="239"/>
      <c r="H45" s="263">
        <f>SUM(H39,H44)</f>
        <v>3292049</v>
      </c>
      <c r="I45" s="139"/>
      <c r="J45" s="263">
        <f>SUM(J39,J44)</f>
        <v>3374781</v>
      </c>
      <c r="K45" s="139"/>
      <c r="L45" s="249">
        <f>SUM(L39,L44)</f>
        <v>3636449</v>
      </c>
      <c r="M45" s="239"/>
      <c r="N45" s="263">
        <f>SUM(N39,N44)</f>
        <v>3900765</v>
      </c>
      <c r="O45" s="139"/>
      <c r="P45" s="263">
        <f>SUM(P39,P44)</f>
        <v>3921135</v>
      </c>
      <c r="Q45" s="139"/>
      <c r="R45" s="263">
        <f>SUM(R39,R44)</f>
        <v>3986829</v>
      </c>
      <c r="S45" s="139"/>
      <c r="T45" s="263">
        <f>SUM(T39,T44)</f>
        <v>4165955</v>
      </c>
      <c r="U45" s="139"/>
      <c r="V45" s="263">
        <f>SUM(V39,V44)</f>
        <v>4327805</v>
      </c>
      <c r="W45" s="139"/>
      <c r="X45" s="263">
        <f>SUM(X39,X44)</f>
        <v>4703346</v>
      </c>
      <c r="Y45" s="139"/>
      <c r="Z45" s="149">
        <f>SUM(Z39,Z44)</f>
        <v>4885343</v>
      </c>
      <c r="AA45" s="955"/>
      <c r="AB45" s="327"/>
      <c r="AC45" s="1008">
        <f t="shared" si="5"/>
        <v>4413855.5999999996</v>
      </c>
    </row>
    <row r="46" spans="1:29" ht="12" x14ac:dyDescent="0.2">
      <c r="B46" s="586" t="s">
        <v>259</v>
      </c>
      <c r="C46" s="265"/>
      <c r="D46" s="151"/>
      <c r="E46" s="13"/>
      <c r="F46" s="36"/>
      <c r="G46" s="265"/>
      <c r="H46" s="248"/>
      <c r="I46" s="151"/>
      <c r="J46" s="248"/>
      <c r="K46" s="151"/>
      <c r="L46" s="151"/>
      <c r="M46" s="265"/>
      <c r="N46" s="248"/>
      <c r="O46" s="151"/>
      <c r="P46" s="248"/>
      <c r="Q46" s="151"/>
      <c r="R46" s="248"/>
      <c r="S46" s="151"/>
      <c r="T46" s="248"/>
      <c r="U46" s="151"/>
      <c r="V46" s="248"/>
      <c r="W46" s="151"/>
      <c r="X46" s="248"/>
      <c r="Y46" s="151"/>
      <c r="Z46" s="152"/>
      <c r="AA46" s="955"/>
      <c r="AB46" s="28"/>
      <c r="AC46" s="978"/>
    </row>
    <row r="47" spans="1:29" ht="12" x14ac:dyDescent="0.2">
      <c r="B47" s="161" t="s">
        <v>14</v>
      </c>
      <c r="C47" s="266"/>
      <c r="D47" s="461">
        <f>1003073+2080856</f>
        <v>3083929</v>
      </c>
      <c r="E47" s="1319"/>
      <c r="F47" s="597">
        <v>3372351</v>
      </c>
      <c r="G47" s="598"/>
      <c r="H47" s="433">
        <v>3666613.18</v>
      </c>
      <c r="I47" s="463"/>
      <c r="J47" s="433">
        <v>3843696.81</v>
      </c>
      <c r="K47" s="463"/>
      <c r="L47" s="826">
        <f>3777041</f>
        <v>3777041</v>
      </c>
      <c r="M47" s="432"/>
      <c r="N47" s="510">
        <v>4279892</v>
      </c>
      <c r="O47" s="463"/>
      <c r="P47" s="510">
        <v>3921991</v>
      </c>
      <c r="Q47" s="252"/>
      <c r="R47" s="510">
        <v>4080535</v>
      </c>
      <c r="S47" s="252"/>
      <c r="T47" s="510">
        <v>4766895</v>
      </c>
      <c r="U47" s="252"/>
      <c r="V47" s="510">
        <v>5089720</v>
      </c>
      <c r="W47" s="252"/>
      <c r="X47" s="510">
        <v>5117151.21</v>
      </c>
      <c r="Y47" s="252"/>
      <c r="Z47" s="1584"/>
      <c r="AA47" s="955"/>
      <c r="AB47" s="30"/>
      <c r="AC47" s="949">
        <f>AVERAGE(X47,V47,R47,T47,P47)</f>
        <v>4595258.4419999998</v>
      </c>
    </row>
    <row r="48" spans="1:29" thickBot="1" x14ac:dyDescent="0.25">
      <c r="B48" s="1265" t="s">
        <v>15</v>
      </c>
      <c r="C48" s="268"/>
      <c r="D48" s="1316">
        <v>47858</v>
      </c>
      <c r="E48" s="1320"/>
      <c r="F48" s="601">
        <v>52901</v>
      </c>
      <c r="G48" s="602"/>
      <c r="H48" s="603">
        <v>152089</v>
      </c>
      <c r="I48" s="604"/>
      <c r="J48" s="517">
        <v>123309</v>
      </c>
      <c r="K48" s="237"/>
      <c r="L48" s="827">
        <f>57170+64114</f>
        <v>121284</v>
      </c>
      <c r="M48" s="596"/>
      <c r="N48" s="509">
        <v>65854</v>
      </c>
      <c r="O48" s="237"/>
      <c r="P48" s="509">
        <f>49344</f>
        <v>49344</v>
      </c>
      <c r="Q48" s="253"/>
      <c r="R48" s="509">
        <v>56377.7</v>
      </c>
      <c r="S48" s="253"/>
      <c r="T48" s="509">
        <f>59912.59</f>
        <v>59912.59</v>
      </c>
      <c r="U48" s="253"/>
      <c r="V48" s="509">
        <v>72706</v>
      </c>
      <c r="W48" s="253"/>
      <c r="X48" s="509">
        <v>70066.92</v>
      </c>
      <c r="Y48" s="253"/>
      <c r="Z48" s="1580"/>
      <c r="AA48" s="955"/>
      <c r="AB48" s="113"/>
      <c r="AC48" s="949">
        <f>AVERAGE(X48,V48,R48,T48,P48)</f>
        <v>61681.441999999995</v>
      </c>
    </row>
    <row r="49" spans="1:29" ht="12" x14ac:dyDescent="0.2">
      <c r="B49" s="122"/>
      <c r="C49" s="308" t="s">
        <v>133</v>
      </c>
      <c r="D49" s="352" t="s">
        <v>139</v>
      </c>
      <c r="E49" s="1321" t="s">
        <v>133</v>
      </c>
      <c r="F49" s="84" t="s">
        <v>139</v>
      </c>
      <c r="G49" s="308" t="s">
        <v>133</v>
      </c>
      <c r="H49" s="417" t="s">
        <v>139</v>
      </c>
      <c r="I49" s="414" t="s">
        <v>133</v>
      </c>
      <c r="J49" s="417" t="s">
        <v>139</v>
      </c>
      <c r="K49" s="414" t="s">
        <v>133</v>
      </c>
      <c r="L49" s="352" t="s">
        <v>139</v>
      </c>
      <c r="M49" s="308" t="s">
        <v>133</v>
      </c>
      <c r="N49" s="417" t="s">
        <v>139</v>
      </c>
      <c r="O49" s="414" t="s">
        <v>133</v>
      </c>
      <c r="P49" s="417" t="s">
        <v>139</v>
      </c>
      <c r="Q49" s="414" t="s">
        <v>133</v>
      </c>
      <c r="R49" s="417" t="s">
        <v>139</v>
      </c>
      <c r="S49" s="414" t="s">
        <v>133</v>
      </c>
      <c r="T49" s="417" t="s">
        <v>139</v>
      </c>
      <c r="U49" s="414" t="s">
        <v>133</v>
      </c>
      <c r="V49" s="417" t="s">
        <v>139</v>
      </c>
      <c r="W49" s="414" t="s">
        <v>133</v>
      </c>
      <c r="X49" s="417" t="s">
        <v>139</v>
      </c>
      <c r="Y49" s="414" t="s">
        <v>133</v>
      </c>
      <c r="Z49" s="295" t="s">
        <v>139</v>
      </c>
      <c r="AA49" s="955"/>
      <c r="AB49" s="323" t="s">
        <v>133</v>
      </c>
      <c r="AC49" s="295" t="s">
        <v>139</v>
      </c>
    </row>
    <row r="50" spans="1:29" ht="11.45" customHeight="1" x14ac:dyDescent="0.2">
      <c r="B50" s="1329" t="s">
        <v>67</v>
      </c>
      <c r="C50" s="476">
        <v>20</v>
      </c>
      <c r="D50" s="1123">
        <v>1208766</v>
      </c>
      <c r="E50" s="735">
        <v>23</v>
      </c>
      <c r="F50" s="68">
        <v>1277277</v>
      </c>
      <c r="G50" s="476">
        <v>23</v>
      </c>
      <c r="H50" s="510">
        <v>1133497</v>
      </c>
      <c r="I50" s="477">
        <v>25</v>
      </c>
      <c r="J50" s="510">
        <v>1385986</v>
      </c>
      <c r="K50" s="473">
        <v>20</v>
      </c>
      <c r="L50" s="252">
        <v>1099874</v>
      </c>
      <c r="M50" s="476">
        <v>29</v>
      </c>
      <c r="N50" s="510">
        <v>2201600</v>
      </c>
      <c r="O50" s="476">
        <v>20</v>
      </c>
      <c r="P50" s="510">
        <v>1451584</v>
      </c>
      <c r="Q50" s="476">
        <v>17</v>
      </c>
      <c r="R50" s="510">
        <v>850415</v>
      </c>
      <c r="S50" s="476">
        <v>20</v>
      </c>
      <c r="T50" s="510">
        <v>1753299</v>
      </c>
      <c r="U50" s="476">
        <v>18</v>
      </c>
      <c r="V50" s="510">
        <v>1176967</v>
      </c>
      <c r="W50" s="476">
        <v>23</v>
      </c>
      <c r="X50" s="510">
        <v>1301945</v>
      </c>
      <c r="Y50" s="1592"/>
      <c r="Z50" s="1597"/>
      <c r="AA50" s="1124"/>
      <c r="AB50" s="108">
        <f>AVERAGE(W50,U50,Q50,S50,O50)</f>
        <v>19.600000000000001</v>
      </c>
      <c r="AC50" s="1125">
        <f>AVERAGE(X50,V50,R50,T50,P50)</f>
        <v>1306842</v>
      </c>
    </row>
    <row r="51" spans="1:29" ht="11.45" customHeight="1" x14ac:dyDescent="0.2">
      <c r="B51" s="80"/>
      <c r="C51" s="916"/>
      <c r="D51" s="1126"/>
      <c r="E51" s="1322"/>
      <c r="F51" s="1267"/>
      <c r="G51" s="551"/>
      <c r="H51" s="468"/>
      <c r="I51" s="255"/>
      <c r="J51" s="468"/>
      <c r="K51" s="914"/>
      <c r="L51" s="528"/>
      <c r="M51" s="551"/>
      <c r="N51" s="545"/>
      <c r="O51" s="551"/>
      <c r="P51" s="545"/>
      <c r="Q51" s="551"/>
      <c r="R51" s="545"/>
      <c r="S51" s="551"/>
      <c r="T51" s="545"/>
      <c r="U51" s="551"/>
      <c r="V51" s="545"/>
      <c r="W51" s="551"/>
      <c r="X51" s="545"/>
      <c r="Y51" s="1594"/>
      <c r="Z51" s="1598"/>
      <c r="AA51" s="1124"/>
      <c r="AB51" s="1013"/>
      <c r="AC51" s="1120"/>
    </row>
    <row r="52" spans="1:29" thickBot="1" x14ac:dyDescent="0.25">
      <c r="B52" s="167" t="s">
        <v>16</v>
      </c>
      <c r="C52" s="913">
        <v>4</v>
      </c>
      <c r="D52" s="1317">
        <v>121750</v>
      </c>
      <c r="E52" s="1323">
        <v>6</v>
      </c>
      <c r="F52" s="69">
        <v>391249.85</v>
      </c>
      <c r="G52" s="552">
        <v>8</v>
      </c>
      <c r="H52" s="524">
        <v>453567</v>
      </c>
      <c r="I52" s="550">
        <v>7</v>
      </c>
      <c r="J52" s="524">
        <v>320802</v>
      </c>
      <c r="K52" s="550">
        <v>5</v>
      </c>
      <c r="L52" s="253">
        <v>225140</v>
      </c>
      <c r="M52" s="552">
        <v>6</v>
      </c>
      <c r="N52" s="509">
        <v>278372</v>
      </c>
      <c r="O52" s="552">
        <v>6</v>
      </c>
      <c r="P52" s="509">
        <v>1183781</v>
      </c>
      <c r="Q52" s="552">
        <v>6</v>
      </c>
      <c r="R52" s="509">
        <v>387717</v>
      </c>
      <c r="S52" s="552">
        <v>7</v>
      </c>
      <c r="T52" s="509">
        <v>539233</v>
      </c>
      <c r="U52" s="552">
        <v>4</v>
      </c>
      <c r="V52" s="509">
        <v>418469</v>
      </c>
      <c r="W52" s="552">
        <v>9</v>
      </c>
      <c r="X52" s="509">
        <v>861187</v>
      </c>
      <c r="Y52" s="1596"/>
      <c r="Z52" s="1599"/>
      <c r="AA52" s="1124"/>
      <c r="AB52" s="1119">
        <f>AVERAGE(W52,U52,Q52,S52,O52)</f>
        <v>6.4</v>
      </c>
      <c r="AC52" s="1121">
        <f>AVERAGE(X52,V52,R52,T52,P52)</f>
        <v>678077.4</v>
      </c>
    </row>
    <row r="53" spans="1:29" ht="12" x14ac:dyDescent="0.2">
      <c r="B53" s="81" t="s">
        <v>84</v>
      </c>
      <c r="C53" s="199"/>
      <c r="D53" s="805"/>
      <c r="E53" s="1324"/>
      <c r="F53" s="323"/>
      <c r="G53" s="269"/>
      <c r="H53" s="419"/>
      <c r="I53" s="156"/>
      <c r="J53" s="419"/>
      <c r="K53" s="156"/>
      <c r="L53" s="307"/>
      <c r="M53" s="269"/>
      <c r="N53" s="419"/>
      <c r="O53" s="156"/>
      <c r="P53" s="419"/>
      <c r="Q53" s="156"/>
      <c r="R53" s="419"/>
      <c r="S53" s="156"/>
      <c r="T53" s="419"/>
      <c r="U53" s="156"/>
      <c r="V53" s="419"/>
      <c r="W53" s="156"/>
      <c r="X53" s="419"/>
      <c r="Y53" s="156"/>
      <c r="Z53" s="158"/>
      <c r="AA53" s="955"/>
      <c r="AB53" s="21"/>
      <c r="AC53" s="922"/>
    </row>
    <row r="54" spans="1:29" ht="12" x14ac:dyDescent="0.2">
      <c r="B54" s="337" t="s">
        <v>35</v>
      </c>
      <c r="C54" s="201"/>
      <c r="D54" s="98"/>
      <c r="E54" s="1325"/>
      <c r="F54" s="34"/>
      <c r="G54" s="271"/>
      <c r="H54" s="420"/>
      <c r="I54" s="157"/>
      <c r="J54" s="420"/>
      <c r="K54" s="157"/>
      <c r="L54" s="135"/>
      <c r="M54" s="271"/>
      <c r="N54" s="420"/>
      <c r="O54" s="157"/>
      <c r="P54" s="420"/>
      <c r="Q54" s="157"/>
      <c r="R54" s="420"/>
      <c r="S54" s="157"/>
      <c r="T54" s="420"/>
      <c r="U54" s="157"/>
      <c r="V54" s="420"/>
      <c r="W54" s="157"/>
      <c r="X54" s="1488"/>
      <c r="Y54" s="157"/>
      <c r="Z54" s="287"/>
      <c r="AA54" s="955"/>
      <c r="AB54" s="720"/>
      <c r="AC54" s="1011"/>
    </row>
    <row r="55" spans="1:29" ht="12" x14ac:dyDescent="0.2">
      <c r="B55" s="338" t="s">
        <v>85</v>
      </c>
      <c r="C55" s="202"/>
      <c r="D55" s="345">
        <v>9632.68</v>
      </c>
      <c r="E55" s="1326"/>
      <c r="F55" s="351">
        <v>16184.58</v>
      </c>
      <c r="G55" s="272"/>
      <c r="H55" s="534">
        <v>15163.58</v>
      </c>
      <c r="I55" s="254"/>
      <c r="J55" s="548">
        <v>26743</v>
      </c>
      <c r="K55" s="254"/>
      <c r="L55" s="811">
        <v>18317.5</v>
      </c>
      <c r="M55" s="272"/>
      <c r="N55" s="548">
        <v>11284</v>
      </c>
      <c r="O55" s="254"/>
      <c r="P55" s="548">
        <v>22562</v>
      </c>
      <c r="Q55" s="254"/>
      <c r="R55" s="548">
        <v>52818</v>
      </c>
      <c r="S55" s="254"/>
      <c r="T55" s="548">
        <v>44704.07</v>
      </c>
      <c r="U55" s="254"/>
      <c r="V55" s="548">
        <v>38877.269999999997</v>
      </c>
      <c r="W55" s="254"/>
      <c r="X55" s="548">
        <v>49626</v>
      </c>
      <c r="Y55" s="254"/>
      <c r="Z55" s="1581"/>
      <c r="AA55" s="955"/>
      <c r="AB55" s="1013"/>
      <c r="AC55" s="949">
        <f t="shared" ref="AC55:AC56" si="6">AVERAGE(X55,V55,R55,T55,P55)</f>
        <v>41717.468000000001</v>
      </c>
    </row>
    <row r="56" spans="1:29" thickBot="1" x14ac:dyDescent="0.25">
      <c r="B56" s="339" t="s">
        <v>86</v>
      </c>
      <c r="C56" s="204"/>
      <c r="D56" s="1318">
        <v>0</v>
      </c>
      <c r="E56" s="1327"/>
      <c r="F56" s="324">
        <v>0</v>
      </c>
      <c r="G56" s="274"/>
      <c r="H56" s="485">
        <v>0</v>
      </c>
      <c r="I56" s="260"/>
      <c r="J56" s="536">
        <v>0</v>
      </c>
      <c r="K56" s="507"/>
      <c r="L56" s="536">
        <v>0</v>
      </c>
      <c r="M56" s="507"/>
      <c r="N56" s="1236">
        <v>0</v>
      </c>
      <c r="O56" s="1246"/>
      <c r="P56" s="1236">
        <v>0</v>
      </c>
      <c r="Q56" s="1246"/>
      <c r="R56" s="1236">
        <v>0</v>
      </c>
      <c r="S56" s="1246"/>
      <c r="T56" s="1236">
        <v>0</v>
      </c>
      <c r="U56" s="1246"/>
      <c r="V56" s="1236">
        <v>0</v>
      </c>
      <c r="W56" s="1246"/>
      <c r="X56" s="1236">
        <v>0</v>
      </c>
      <c r="Y56" s="1246"/>
      <c r="Z56" s="1582"/>
      <c r="AB56" s="1015"/>
      <c r="AC56" s="1024">
        <f t="shared" si="6"/>
        <v>0</v>
      </c>
    </row>
    <row r="57" spans="1:29" ht="9.75" customHeight="1" thickTop="1" x14ac:dyDescent="0.2">
      <c r="B57" s="96"/>
      <c r="C57" s="97"/>
      <c r="D57" s="98"/>
      <c r="E57" s="97"/>
      <c r="F57" s="34"/>
      <c r="G57" s="157"/>
      <c r="H57" s="135"/>
      <c r="I57" s="157"/>
      <c r="J57" s="557"/>
      <c r="K57" s="558"/>
      <c r="L57" s="557"/>
      <c r="M57" s="558"/>
      <c r="N57" s="557"/>
      <c r="O57" s="558"/>
      <c r="P57" s="557"/>
      <c r="Q57" s="558"/>
      <c r="R57" s="557"/>
      <c r="S57" s="558"/>
      <c r="T57" s="557"/>
      <c r="U57" s="558"/>
      <c r="V57" s="557"/>
      <c r="W57" s="558"/>
      <c r="X57" s="557"/>
      <c r="Y57" s="558"/>
      <c r="Z57" s="557"/>
    </row>
    <row r="58" spans="1:29" x14ac:dyDescent="0.2">
      <c r="A58" s="2" t="s">
        <v>76</v>
      </c>
      <c r="B58" s="96"/>
      <c r="C58" s="97"/>
      <c r="D58" s="98"/>
      <c r="E58" s="97"/>
      <c r="F58" s="34"/>
      <c r="G58" s="157"/>
      <c r="H58" s="135"/>
      <c r="I58" s="157"/>
      <c r="J58" s="135"/>
      <c r="K58" s="157"/>
      <c r="L58" s="135"/>
      <c r="M58" s="157"/>
      <c r="N58" s="135"/>
      <c r="O58" s="157"/>
      <c r="P58" s="135"/>
      <c r="Q58" s="157"/>
      <c r="R58" s="135"/>
      <c r="S58" s="157"/>
      <c r="T58" s="135"/>
      <c r="U58" s="157"/>
      <c r="V58" s="135"/>
      <c r="W58" s="157"/>
      <c r="X58" s="135"/>
      <c r="Y58" s="157"/>
      <c r="Z58" s="135"/>
    </row>
    <row r="59" spans="1:29" ht="8.25" customHeight="1" thickBot="1" x14ac:dyDescent="0.25">
      <c r="B59" s="96"/>
      <c r="C59" s="97"/>
      <c r="D59" s="98"/>
      <c r="E59" s="97"/>
      <c r="F59" s="34"/>
      <c r="G59" s="157"/>
      <c r="H59" s="135"/>
      <c r="I59" s="157"/>
      <c r="J59" s="135"/>
      <c r="K59" s="157"/>
      <c r="L59" s="135"/>
      <c r="M59" s="157"/>
      <c r="N59" s="135"/>
      <c r="O59" s="157"/>
      <c r="P59" s="135"/>
      <c r="Q59" s="157"/>
      <c r="R59" s="135"/>
      <c r="S59" s="157"/>
      <c r="T59" s="135"/>
      <c r="U59" s="157"/>
      <c r="V59" s="135"/>
      <c r="W59" s="157"/>
      <c r="X59" s="135"/>
      <c r="Y59" s="157"/>
      <c r="Z59" s="135"/>
    </row>
    <row r="60" spans="1:29" ht="14.25" customHeight="1" thickTop="1" thickBot="1" x14ac:dyDescent="0.25">
      <c r="B60" s="340"/>
      <c r="C60" s="2013" t="s">
        <v>49</v>
      </c>
      <c r="D60" s="2014"/>
      <c r="E60" s="2015" t="s">
        <v>50</v>
      </c>
      <c r="F60" s="2015"/>
      <c r="G60" s="2002" t="s">
        <v>141</v>
      </c>
      <c r="H60" s="1982"/>
      <c r="I60" s="1974" t="s">
        <v>152</v>
      </c>
      <c r="J60" s="1982"/>
      <c r="K60" s="1974" t="s">
        <v>154</v>
      </c>
      <c r="L60" s="1974"/>
      <c r="M60" s="2002" t="s">
        <v>171</v>
      </c>
      <c r="N60" s="1982"/>
      <c r="O60" s="1974" t="s">
        <v>227</v>
      </c>
      <c r="P60" s="1982"/>
      <c r="Q60" s="1974" t="s">
        <v>237</v>
      </c>
      <c r="R60" s="1982"/>
      <c r="S60" s="1974" t="s">
        <v>272</v>
      </c>
      <c r="T60" s="1982"/>
      <c r="U60" s="1974" t="s">
        <v>274</v>
      </c>
      <c r="V60" s="1974"/>
      <c r="W60" s="2002" t="s">
        <v>280</v>
      </c>
      <c r="X60" s="1982"/>
      <c r="Y60" s="1974" t="s">
        <v>290</v>
      </c>
      <c r="Z60" s="1975"/>
      <c r="AB60" s="2003" t="s">
        <v>213</v>
      </c>
      <c r="AC60" s="2004"/>
    </row>
    <row r="61" spans="1:29" ht="12" x14ac:dyDescent="0.2">
      <c r="B61" s="73" t="s">
        <v>53</v>
      </c>
      <c r="C61" s="54"/>
      <c r="D61" s="92"/>
      <c r="E61" s="30"/>
      <c r="F61" s="30"/>
      <c r="G61" s="243"/>
      <c r="H61" s="244"/>
      <c r="I61" s="138"/>
      <c r="J61" s="244"/>
      <c r="K61" s="138"/>
      <c r="L61" s="138"/>
      <c r="M61" s="243"/>
      <c r="N61" s="244"/>
      <c r="O61" s="138"/>
      <c r="P61" s="244"/>
      <c r="Q61" s="138"/>
      <c r="R61" s="244"/>
      <c r="S61" s="138"/>
      <c r="T61" s="244"/>
      <c r="U61" s="138"/>
      <c r="V61" s="244"/>
      <c r="W61" s="138"/>
      <c r="X61" s="244"/>
      <c r="Y61" s="138"/>
      <c r="Z61" s="140"/>
      <c r="AB61" s="831"/>
      <c r="AC61" s="930"/>
    </row>
    <row r="62" spans="1:29" ht="12" x14ac:dyDescent="0.2">
      <c r="B62" s="74" t="s">
        <v>54</v>
      </c>
      <c r="C62" s="184"/>
      <c r="D62" s="165"/>
      <c r="E62" s="31"/>
      <c r="F62" s="171"/>
      <c r="G62" s="239"/>
      <c r="H62" s="261"/>
      <c r="I62" s="139"/>
      <c r="J62" s="261"/>
      <c r="K62" s="139"/>
      <c r="L62" s="183"/>
      <c r="M62" s="239"/>
      <c r="N62" s="261"/>
      <c r="O62" s="139"/>
      <c r="P62" s="261"/>
      <c r="Q62" s="139"/>
      <c r="R62" s="261"/>
      <c r="S62" s="139"/>
      <c r="T62" s="261"/>
      <c r="U62" s="139"/>
      <c r="V62" s="261"/>
      <c r="W62" s="139"/>
      <c r="X62" s="261"/>
      <c r="Y62" s="139"/>
      <c r="Z62" s="142"/>
      <c r="AB62" s="24"/>
      <c r="AC62" s="579"/>
    </row>
    <row r="63" spans="1:29" ht="12" x14ac:dyDescent="0.2">
      <c r="B63" s="75" t="s">
        <v>55</v>
      </c>
      <c r="C63" s="184"/>
      <c r="D63" s="165">
        <v>28</v>
      </c>
      <c r="E63" s="31"/>
      <c r="F63" s="171">
        <v>29</v>
      </c>
      <c r="G63" s="239"/>
      <c r="H63" s="261">
        <v>29</v>
      </c>
      <c r="I63" s="139"/>
      <c r="J63" s="261">
        <v>33</v>
      </c>
      <c r="K63" s="139"/>
      <c r="L63" s="183">
        <v>30</v>
      </c>
      <c r="M63" s="239"/>
      <c r="N63" s="261">
        <v>34</v>
      </c>
      <c r="O63" s="139"/>
      <c r="P63" s="261">
        <v>33</v>
      </c>
      <c r="Q63" s="139"/>
      <c r="R63" s="261">
        <v>35</v>
      </c>
      <c r="S63" s="139"/>
      <c r="T63" s="261">
        <v>35</v>
      </c>
      <c r="U63" s="139"/>
      <c r="V63" s="261">
        <v>37</v>
      </c>
      <c r="W63" s="139"/>
      <c r="X63" s="261">
        <v>34</v>
      </c>
      <c r="Y63" s="139"/>
      <c r="Z63" s="142">
        <v>39</v>
      </c>
      <c r="AB63" s="12"/>
      <c r="AC63" s="1113">
        <f>AVERAGE(X63,V63,R63,T63,Z63)</f>
        <v>36</v>
      </c>
    </row>
    <row r="64" spans="1:29" ht="12" x14ac:dyDescent="0.2">
      <c r="B64" s="75" t="s">
        <v>181</v>
      </c>
      <c r="C64" s="184"/>
      <c r="D64" s="165">
        <v>3</v>
      </c>
      <c r="E64" s="31"/>
      <c r="F64" s="171">
        <v>5</v>
      </c>
      <c r="G64" s="239"/>
      <c r="H64" s="261">
        <v>4</v>
      </c>
      <c r="I64" s="139"/>
      <c r="J64" s="261">
        <v>4</v>
      </c>
      <c r="K64" s="139"/>
      <c r="L64" s="183">
        <v>3</v>
      </c>
      <c r="M64" s="239"/>
      <c r="N64" s="261">
        <v>1</v>
      </c>
      <c r="O64" s="139"/>
      <c r="P64" s="261">
        <v>3</v>
      </c>
      <c r="Q64" s="139"/>
      <c r="R64" s="261">
        <v>3</v>
      </c>
      <c r="S64" s="139"/>
      <c r="T64" s="261">
        <v>3</v>
      </c>
      <c r="U64" s="139"/>
      <c r="V64" s="261">
        <v>4</v>
      </c>
      <c r="W64" s="139"/>
      <c r="X64" s="261">
        <v>6</v>
      </c>
      <c r="Y64" s="139"/>
      <c r="Z64" s="142">
        <v>8</v>
      </c>
      <c r="AB64" s="12"/>
      <c r="AC64" s="1113">
        <f t="shared" ref="AC64:AC68" si="7">AVERAGE(X64,V64,R64,T64,Z64)</f>
        <v>4.8</v>
      </c>
    </row>
    <row r="65" spans="2:29" ht="12" x14ac:dyDescent="0.2">
      <c r="B65" s="74" t="s">
        <v>57</v>
      </c>
      <c r="C65" s="184"/>
      <c r="D65" s="94"/>
      <c r="E65" s="31"/>
      <c r="F65" s="39"/>
      <c r="G65" s="239"/>
      <c r="H65" s="240"/>
      <c r="I65" s="139"/>
      <c r="J65" s="240"/>
      <c r="K65" s="139"/>
      <c r="L65" s="241"/>
      <c r="M65" s="239"/>
      <c r="N65" s="240"/>
      <c r="O65" s="139"/>
      <c r="P65" s="240"/>
      <c r="Q65" s="139"/>
      <c r="R65" s="240"/>
      <c r="S65" s="139"/>
      <c r="T65" s="240"/>
      <c r="U65" s="139"/>
      <c r="V65" s="240"/>
      <c r="W65" s="139"/>
      <c r="X65" s="240"/>
      <c r="Y65" s="139"/>
      <c r="Z65" s="143"/>
      <c r="AB65" s="12"/>
      <c r="AC65" s="1113"/>
    </row>
    <row r="66" spans="2:29" ht="12" x14ac:dyDescent="0.2">
      <c r="B66" s="75" t="s">
        <v>55</v>
      </c>
      <c r="C66" s="184"/>
      <c r="D66" s="94">
        <v>0</v>
      </c>
      <c r="E66" s="31"/>
      <c r="F66" s="39">
        <v>0</v>
      </c>
      <c r="G66" s="239"/>
      <c r="H66" s="240">
        <v>1</v>
      </c>
      <c r="I66" s="139"/>
      <c r="J66" s="240">
        <v>1</v>
      </c>
      <c r="K66" s="139"/>
      <c r="L66" s="241">
        <v>1</v>
      </c>
      <c r="M66" s="239"/>
      <c r="N66" s="240">
        <v>0</v>
      </c>
      <c r="O66" s="139"/>
      <c r="P66" s="240">
        <v>0</v>
      </c>
      <c r="Q66" s="139"/>
      <c r="R66" s="240">
        <v>0</v>
      </c>
      <c r="S66" s="139"/>
      <c r="T66" s="240">
        <v>0</v>
      </c>
      <c r="U66" s="139"/>
      <c r="V66" s="240">
        <v>0</v>
      </c>
      <c r="W66" s="139"/>
      <c r="X66" s="240">
        <v>0</v>
      </c>
      <c r="Y66" s="139"/>
      <c r="Z66" s="143">
        <v>0</v>
      </c>
      <c r="AB66" s="12"/>
      <c r="AC66" s="1113">
        <f t="shared" si="7"/>
        <v>0</v>
      </c>
    </row>
    <row r="67" spans="2:29" ht="12" x14ac:dyDescent="0.2">
      <c r="B67" s="341" t="s">
        <v>181</v>
      </c>
      <c r="C67" s="184"/>
      <c r="D67" s="94">
        <v>0</v>
      </c>
      <c r="E67" s="31"/>
      <c r="F67" s="39">
        <v>0</v>
      </c>
      <c r="G67" s="239"/>
      <c r="H67" s="240">
        <v>0</v>
      </c>
      <c r="I67" s="139"/>
      <c r="J67" s="240">
        <v>0</v>
      </c>
      <c r="K67" s="139"/>
      <c r="L67" s="241">
        <v>0</v>
      </c>
      <c r="M67" s="239"/>
      <c r="N67" s="240">
        <v>0</v>
      </c>
      <c r="O67" s="139"/>
      <c r="P67" s="240">
        <v>0</v>
      </c>
      <c r="Q67" s="139"/>
      <c r="R67" s="240">
        <v>0</v>
      </c>
      <c r="S67" s="139"/>
      <c r="T67" s="240">
        <v>0</v>
      </c>
      <c r="U67" s="139"/>
      <c r="V67" s="240">
        <v>0</v>
      </c>
      <c r="W67" s="139"/>
      <c r="X67" s="240">
        <v>0</v>
      </c>
      <c r="Y67" s="139"/>
      <c r="Z67" s="143">
        <v>0</v>
      </c>
      <c r="AB67" s="12"/>
      <c r="AC67" s="1113">
        <f t="shared" si="7"/>
        <v>0</v>
      </c>
    </row>
    <row r="68" spans="2:29" thickBot="1" x14ac:dyDescent="0.25">
      <c r="B68" s="79" t="s">
        <v>13</v>
      </c>
      <c r="C68" s="233"/>
      <c r="D68" s="234">
        <f>SUM(D63:D67)</f>
        <v>31</v>
      </c>
      <c r="E68" s="107"/>
      <c r="F68" s="106">
        <f>SUM(F63:F67)</f>
        <v>34</v>
      </c>
      <c r="G68" s="297"/>
      <c r="H68" s="427">
        <v>34</v>
      </c>
      <c r="I68" s="426"/>
      <c r="J68" s="427">
        <f>SUM(J63:J67)</f>
        <v>38</v>
      </c>
      <c r="K68" s="426"/>
      <c r="L68" s="454">
        <f>SUM(L63:L67)</f>
        <v>34</v>
      </c>
      <c r="M68" s="297"/>
      <c r="N68" s="427">
        <f>SUM(N63:N67)</f>
        <v>35</v>
      </c>
      <c r="O68" s="426"/>
      <c r="P68" s="427">
        <f>SUM(P63:P67)</f>
        <v>36</v>
      </c>
      <c r="Q68" s="426"/>
      <c r="R68" s="427">
        <f>SUM(R63:R67)</f>
        <v>38</v>
      </c>
      <c r="S68" s="426"/>
      <c r="T68" s="427">
        <f>SUM(T63:T67)</f>
        <v>38</v>
      </c>
      <c r="U68" s="426"/>
      <c r="V68" s="427">
        <f>SUM(V63:V67)</f>
        <v>41</v>
      </c>
      <c r="W68" s="426"/>
      <c r="X68" s="427">
        <f>SUM(X63:X67)</f>
        <v>40</v>
      </c>
      <c r="Y68" s="426"/>
      <c r="Z68" s="374">
        <f>SUM(Z63:Z67)</f>
        <v>47</v>
      </c>
      <c r="AB68" s="831"/>
      <c r="AC68" s="1114">
        <f t="shared" si="7"/>
        <v>40.799999999999997</v>
      </c>
    </row>
    <row r="69" spans="2:29" thickTop="1" x14ac:dyDescent="0.2">
      <c r="B69" s="342" t="s">
        <v>135</v>
      </c>
      <c r="C69" s="392"/>
      <c r="D69" s="393"/>
      <c r="E69" s="43" t="s">
        <v>133</v>
      </c>
      <c r="F69" s="41" t="s">
        <v>134</v>
      </c>
      <c r="G69" s="317" t="s">
        <v>133</v>
      </c>
      <c r="H69" s="412" t="s">
        <v>134</v>
      </c>
      <c r="I69" s="411" t="s">
        <v>133</v>
      </c>
      <c r="J69" s="449" t="s">
        <v>134</v>
      </c>
      <c r="K69" s="317" t="s">
        <v>133</v>
      </c>
      <c r="L69" s="449" t="s">
        <v>134</v>
      </c>
      <c r="M69" s="317" t="s">
        <v>133</v>
      </c>
      <c r="N69" s="441" t="s">
        <v>134</v>
      </c>
      <c r="O69" s="411" t="s">
        <v>133</v>
      </c>
      <c r="P69" s="412" t="s">
        <v>134</v>
      </c>
      <c r="Q69" s="411" t="s">
        <v>133</v>
      </c>
      <c r="R69" s="412" t="s">
        <v>134</v>
      </c>
      <c r="S69" s="411" t="s">
        <v>133</v>
      </c>
      <c r="T69" s="412" t="s">
        <v>134</v>
      </c>
      <c r="U69" s="411" t="s">
        <v>133</v>
      </c>
      <c r="V69" s="412" t="s">
        <v>134</v>
      </c>
      <c r="W69" s="411" t="s">
        <v>133</v>
      </c>
      <c r="X69" s="412" t="s">
        <v>134</v>
      </c>
      <c r="Y69" s="411" t="s">
        <v>133</v>
      </c>
      <c r="Z69" s="289" t="s">
        <v>134</v>
      </c>
      <c r="AB69" s="952" t="s">
        <v>133</v>
      </c>
      <c r="AC69" s="862" t="s">
        <v>134</v>
      </c>
    </row>
    <row r="70" spans="2:29" ht="12" x14ac:dyDescent="0.2">
      <c r="B70" s="75" t="s">
        <v>87</v>
      </c>
      <c r="C70" s="319">
        <v>21</v>
      </c>
      <c r="D70" s="216">
        <f>C70/D$68</f>
        <v>0.67741935483870963</v>
      </c>
      <c r="E70" s="173">
        <v>22</v>
      </c>
      <c r="F70" s="221">
        <f t="shared" ref="F70:H77" si="8">E70/F$68</f>
        <v>0.6470588235294118</v>
      </c>
      <c r="G70" s="215">
        <v>25</v>
      </c>
      <c r="H70" s="216">
        <f t="shared" si="8"/>
        <v>0.73529411764705888</v>
      </c>
      <c r="I70" s="173">
        <v>27</v>
      </c>
      <c r="J70" s="216">
        <f t="shared" ref="J70:L77" si="9">I70/J$68</f>
        <v>0.71052631578947367</v>
      </c>
      <c r="K70" s="173">
        <f>19+1+2</f>
        <v>22</v>
      </c>
      <c r="L70" s="221">
        <f t="shared" si="9"/>
        <v>0.6470588235294118</v>
      </c>
      <c r="M70" s="215">
        <f>25+1</f>
        <v>26</v>
      </c>
      <c r="N70" s="216">
        <f t="shared" ref="N70:T77" si="10">M70/N$68</f>
        <v>0.74285714285714288</v>
      </c>
      <c r="O70" s="173">
        <v>29</v>
      </c>
      <c r="P70" s="216">
        <f t="shared" si="10"/>
        <v>0.80555555555555558</v>
      </c>
      <c r="Q70" s="173">
        <v>29</v>
      </c>
      <c r="R70" s="216">
        <f t="shared" si="10"/>
        <v>0.76315789473684215</v>
      </c>
      <c r="S70" s="173">
        <f>25+3</f>
        <v>28</v>
      </c>
      <c r="T70" s="216">
        <f t="shared" si="10"/>
        <v>0.73684210526315785</v>
      </c>
      <c r="U70" s="173">
        <v>30</v>
      </c>
      <c r="V70" s="216">
        <f t="shared" ref="V70:V77" si="11">U70/V$68</f>
        <v>0.73170731707317072</v>
      </c>
      <c r="W70" s="173">
        <f>6+24</f>
        <v>30</v>
      </c>
      <c r="X70" s="216">
        <f t="shared" ref="X70:Z77" si="12">W70/X$68</f>
        <v>0.75</v>
      </c>
      <c r="Y70" s="173">
        <v>31</v>
      </c>
      <c r="Z70" s="1494">
        <f t="shared" si="12"/>
        <v>0.65957446808510634</v>
      </c>
      <c r="AA70" s="955"/>
      <c r="AB70" s="1016">
        <f t="shared" ref="AB70:AB89" si="13">AVERAGE(W70,U70,Q70,S70,Y70)</f>
        <v>29.6</v>
      </c>
      <c r="AC70" s="863">
        <f t="shared" ref="AC70:AC89" si="14">AVERAGE(X70,V70,R70,T70,Z70)</f>
        <v>0.72825635703165548</v>
      </c>
    </row>
    <row r="71" spans="2:29" ht="12" x14ac:dyDescent="0.2">
      <c r="B71" s="85" t="s">
        <v>88</v>
      </c>
      <c r="C71" s="319">
        <v>0</v>
      </c>
      <c r="D71" s="216">
        <f t="shared" ref="D71:D89" si="15">C71/$D$68</f>
        <v>0</v>
      </c>
      <c r="E71" s="173">
        <v>0</v>
      </c>
      <c r="F71" s="221">
        <f t="shared" si="8"/>
        <v>0</v>
      </c>
      <c r="G71" s="215">
        <v>0</v>
      </c>
      <c r="H71" s="216">
        <f t="shared" si="8"/>
        <v>0</v>
      </c>
      <c r="I71" s="173">
        <v>0</v>
      </c>
      <c r="J71" s="216">
        <f t="shared" si="9"/>
        <v>0</v>
      </c>
      <c r="K71" s="173">
        <v>0</v>
      </c>
      <c r="L71" s="221">
        <f t="shared" si="9"/>
        <v>0</v>
      </c>
      <c r="M71" s="215">
        <v>0</v>
      </c>
      <c r="N71" s="216">
        <f t="shared" si="10"/>
        <v>0</v>
      </c>
      <c r="O71" s="173">
        <v>0</v>
      </c>
      <c r="P71" s="216">
        <f t="shared" si="10"/>
        <v>0</v>
      </c>
      <c r="Q71" s="173">
        <v>0</v>
      </c>
      <c r="R71" s="216">
        <f t="shared" si="10"/>
        <v>0</v>
      </c>
      <c r="S71" s="173">
        <f>0</f>
        <v>0</v>
      </c>
      <c r="T71" s="216">
        <f t="shared" si="10"/>
        <v>0</v>
      </c>
      <c r="U71" s="173"/>
      <c r="V71" s="216">
        <f t="shared" si="11"/>
        <v>0</v>
      </c>
      <c r="W71" s="173">
        <v>0</v>
      </c>
      <c r="X71" s="216">
        <f t="shared" si="12"/>
        <v>0</v>
      </c>
      <c r="Y71" s="173">
        <v>0</v>
      </c>
      <c r="Z71" s="1494">
        <f t="shared" si="12"/>
        <v>0</v>
      </c>
      <c r="AA71" s="955"/>
      <c r="AB71" s="1016">
        <f t="shared" si="13"/>
        <v>0</v>
      </c>
      <c r="AC71" s="863">
        <f t="shared" si="14"/>
        <v>0</v>
      </c>
    </row>
    <row r="72" spans="2:29" ht="12" x14ac:dyDescent="0.2">
      <c r="B72" s="85" t="s">
        <v>89</v>
      </c>
      <c r="C72" s="319">
        <v>0</v>
      </c>
      <c r="D72" s="216">
        <f t="shared" si="15"/>
        <v>0</v>
      </c>
      <c r="E72" s="173">
        <v>0</v>
      </c>
      <c r="F72" s="221">
        <f t="shared" si="8"/>
        <v>0</v>
      </c>
      <c r="G72" s="215">
        <v>1</v>
      </c>
      <c r="H72" s="216">
        <f t="shared" si="8"/>
        <v>2.9411764705882353E-2</v>
      </c>
      <c r="I72" s="173">
        <v>4</v>
      </c>
      <c r="J72" s="216">
        <f t="shared" si="9"/>
        <v>0.10526315789473684</v>
      </c>
      <c r="K72" s="173">
        <v>3</v>
      </c>
      <c r="L72" s="221">
        <f t="shared" si="9"/>
        <v>8.8235294117647065E-2</v>
      </c>
      <c r="M72" s="215">
        <v>4</v>
      </c>
      <c r="N72" s="216">
        <f t="shared" si="10"/>
        <v>0.11428571428571428</v>
      </c>
      <c r="O72" s="173">
        <v>4</v>
      </c>
      <c r="P72" s="216">
        <f t="shared" si="10"/>
        <v>0.1111111111111111</v>
      </c>
      <c r="Q72" s="173">
        <v>4</v>
      </c>
      <c r="R72" s="216">
        <f t="shared" si="10"/>
        <v>0.10526315789473684</v>
      </c>
      <c r="S72" s="173">
        <f>5</f>
        <v>5</v>
      </c>
      <c r="T72" s="216">
        <f t="shared" si="10"/>
        <v>0.13157894736842105</v>
      </c>
      <c r="U72" s="173">
        <v>5</v>
      </c>
      <c r="V72" s="216">
        <f t="shared" si="11"/>
        <v>0.12195121951219512</v>
      </c>
      <c r="W72" s="173">
        <v>3</v>
      </c>
      <c r="X72" s="216">
        <f t="shared" si="12"/>
        <v>7.4999999999999997E-2</v>
      </c>
      <c r="Y72" s="173">
        <v>3</v>
      </c>
      <c r="Z72" s="1494">
        <f t="shared" si="12"/>
        <v>6.3829787234042548E-2</v>
      </c>
      <c r="AA72" s="955"/>
      <c r="AB72" s="1016">
        <f t="shared" si="13"/>
        <v>4</v>
      </c>
      <c r="AC72" s="863">
        <f t="shared" si="14"/>
        <v>9.952462240187912E-2</v>
      </c>
    </row>
    <row r="73" spans="2:29" ht="12" x14ac:dyDescent="0.2">
      <c r="B73" s="85" t="s">
        <v>90</v>
      </c>
      <c r="C73" s="319">
        <v>0</v>
      </c>
      <c r="D73" s="216">
        <f t="shared" si="15"/>
        <v>0</v>
      </c>
      <c r="E73" s="173">
        <v>0</v>
      </c>
      <c r="F73" s="221">
        <f t="shared" si="8"/>
        <v>0</v>
      </c>
      <c r="G73" s="215">
        <v>0</v>
      </c>
      <c r="H73" s="216">
        <f t="shared" si="8"/>
        <v>0</v>
      </c>
      <c r="I73" s="173">
        <v>0</v>
      </c>
      <c r="J73" s="216">
        <f t="shared" si="9"/>
        <v>0</v>
      </c>
      <c r="K73" s="173">
        <v>0</v>
      </c>
      <c r="L73" s="221">
        <f t="shared" si="9"/>
        <v>0</v>
      </c>
      <c r="M73" s="215">
        <v>0</v>
      </c>
      <c r="N73" s="216">
        <f t="shared" si="10"/>
        <v>0</v>
      </c>
      <c r="O73" s="173">
        <v>0</v>
      </c>
      <c r="P73" s="216">
        <f t="shared" si="10"/>
        <v>0</v>
      </c>
      <c r="Q73" s="173">
        <v>0</v>
      </c>
      <c r="R73" s="216">
        <f t="shared" si="10"/>
        <v>0</v>
      </c>
      <c r="S73" s="173">
        <f>0</f>
        <v>0</v>
      </c>
      <c r="T73" s="216">
        <f t="shared" si="10"/>
        <v>0</v>
      </c>
      <c r="U73" s="173"/>
      <c r="V73" s="216">
        <f t="shared" si="11"/>
        <v>0</v>
      </c>
      <c r="W73" s="173">
        <v>0</v>
      </c>
      <c r="X73" s="216">
        <f t="shared" si="12"/>
        <v>0</v>
      </c>
      <c r="Y73" s="173">
        <v>0</v>
      </c>
      <c r="Z73" s="1494">
        <f t="shared" si="12"/>
        <v>0</v>
      </c>
      <c r="AA73" s="955"/>
      <c r="AB73" s="1016">
        <f t="shared" si="13"/>
        <v>0</v>
      </c>
      <c r="AC73" s="863">
        <f t="shared" si="14"/>
        <v>0</v>
      </c>
    </row>
    <row r="74" spans="2:29" ht="12" x14ac:dyDescent="0.2">
      <c r="B74" s="85" t="s">
        <v>91</v>
      </c>
      <c r="C74" s="319">
        <v>5</v>
      </c>
      <c r="D74" s="216">
        <f t="shared" si="15"/>
        <v>0.16129032258064516</v>
      </c>
      <c r="E74" s="173">
        <v>5</v>
      </c>
      <c r="F74" s="221">
        <f t="shared" si="8"/>
        <v>0.14705882352941177</v>
      </c>
      <c r="G74" s="215">
        <v>3</v>
      </c>
      <c r="H74" s="216">
        <f t="shared" si="8"/>
        <v>8.8235294117647065E-2</v>
      </c>
      <c r="I74" s="173">
        <v>4</v>
      </c>
      <c r="J74" s="216">
        <f t="shared" si="9"/>
        <v>0.10526315789473684</v>
      </c>
      <c r="K74" s="173">
        <v>3</v>
      </c>
      <c r="L74" s="221">
        <f t="shared" si="9"/>
        <v>8.8235294117647065E-2</v>
      </c>
      <c r="M74" s="215">
        <v>1</v>
      </c>
      <c r="N74" s="216">
        <f t="shared" si="10"/>
        <v>2.8571428571428571E-2</v>
      </c>
      <c r="O74" s="173">
        <v>1</v>
      </c>
      <c r="P74" s="216">
        <f t="shared" si="10"/>
        <v>2.7777777777777776E-2</v>
      </c>
      <c r="Q74" s="173">
        <v>3</v>
      </c>
      <c r="R74" s="216">
        <f t="shared" si="10"/>
        <v>7.8947368421052627E-2</v>
      </c>
      <c r="S74" s="173">
        <f>1</f>
        <v>1</v>
      </c>
      <c r="T74" s="216">
        <f t="shared" si="10"/>
        <v>2.6315789473684209E-2</v>
      </c>
      <c r="U74" s="173">
        <v>2</v>
      </c>
      <c r="V74" s="216">
        <f t="shared" si="11"/>
        <v>4.878048780487805E-2</v>
      </c>
      <c r="W74" s="173">
        <v>1</v>
      </c>
      <c r="X74" s="216">
        <f t="shared" si="12"/>
        <v>2.5000000000000001E-2</v>
      </c>
      <c r="Y74" s="173">
        <v>2</v>
      </c>
      <c r="Z74" s="1494">
        <f t="shared" si="12"/>
        <v>4.2553191489361701E-2</v>
      </c>
      <c r="AA74" s="955"/>
      <c r="AB74" s="1016">
        <f t="shared" si="13"/>
        <v>1.8</v>
      </c>
      <c r="AC74" s="863">
        <f t="shared" si="14"/>
        <v>4.4319367437795319E-2</v>
      </c>
    </row>
    <row r="75" spans="2:29" ht="12" x14ac:dyDescent="0.2">
      <c r="B75" s="85" t="s">
        <v>92</v>
      </c>
      <c r="C75" s="319">
        <v>5</v>
      </c>
      <c r="D75" s="216">
        <f t="shared" si="15"/>
        <v>0.16129032258064516</v>
      </c>
      <c r="E75" s="173">
        <v>7</v>
      </c>
      <c r="F75" s="221">
        <f t="shared" si="8"/>
        <v>0.20588235294117646</v>
      </c>
      <c r="G75" s="215">
        <v>5</v>
      </c>
      <c r="H75" s="216">
        <f t="shared" si="8"/>
        <v>0.14705882352941177</v>
      </c>
      <c r="I75" s="173">
        <v>3</v>
      </c>
      <c r="J75" s="216">
        <f t="shared" si="9"/>
        <v>7.8947368421052627E-2</v>
      </c>
      <c r="K75" s="173">
        <v>5</v>
      </c>
      <c r="L75" s="221">
        <f t="shared" si="9"/>
        <v>0.14705882352941177</v>
      </c>
      <c r="M75" s="215">
        <v>4</v>
      </c>
      <c r="N75" s="216">
        <f t="shared" si="10"/>
        <v>0.11428571428571428</v>
      </c>
      <c r="O75" s="173">
        <v>2</v>
      </c>
      <c r="P75" s="216">
        <f t="shared" si="10"/>
        <v>5.5555555555555552E-2</v>
      </c>
      <c r="Q75" s="173">
        <v>2</v>
      </c>
      <c r="R75" s="216">
        <f t="shared" si="10"/>
        <v>5.2631578947368418E-2</v>
      </c>
      <c r="S75" s="173">
        <f>4</f>
        <v>4</v>
      </c>
      <c r="T75" s="216">
        <f t="shared" si="10"/>
        <v>0.10526315789473684</v>
      </c>
      <c r="U75" s="173">
        <v>4</v>
      </c>
      <c r="V75" s="216">
        <f t="shared" si="11"/>
        <v>9.7560975609756101E-2</v>
      </c>
      <c r="W75" s="173">
        <v>5</v>
      </c>
      <c r="X75" s="216">
        <f t="shared" si="12"/>
        <v>0.125</v>
      </c>
      <c r="Y75" s="173">
        <v>8</v>
      </c>
      <c r="Z75" s="1494">
        <f t="shared" si="12"/>
        <v>0.1702127659574468</v>
      </c>
      <c r="AA75" s="955"/>
      <c r="AB75" s="1016">
        <f t="shared" si="13"/>
        <v>4.5999999999999996</v>
      </c>
      <c r="AC75" s="863">
        <f t="shared" si="14"/>
        <v>0.11013369568186164</v>
      </c>
    </row>
    <row r="76" spans="2:29" ht="12" x14ac:dyDescent="0.2">
      <c r="B76" s="85" t="s">
        <v>257</v>
      </c>
      <c r="C76" s="346"/>
      <c r="D76" s="216"/>
      <c r="E76" s="174"/>
      <c r="F76" s="221"/>
      <c r="G76" s="1510"/>
      <c r="H76" s="1511"/>
      <c r="I76" s="1512"/>
      <c r="J76" s="1511"/>
      <c r="K76" s="1512"/>
      <c r="L76" s="1513"/>
      <c r="M76" s="1510"/>
      <c r="N76" s="1511"/>
      <c r="O76" s="1512"/>
      <c r="P76" s="1511"/>
      <c r="Q76" s="174">
        <v>0</v>
      </c>
      <c r="R76" s="216">
        <f t="shared" si="10"/>
        <v>0</v>
      </c>
      <c r="S76" s="174">
        <f>0</f>
        <v>0</v>
      </c>
      <c r="T76" s="216">
        <f t="shared" si="10"/>
        <v>0</v>
      </c>
      <c r="U76" s="174"/>
      <c r="V76" s="216">
        <f t="shared" si="11"/>
        <v>0</v>
      </c>
      <c r="W76" s="174">
        <v>0</v>
      </c>
      <c r="X76" s="216">
        <f t="shared" si="12"/>
        <v>0</v>
      </c>
      <c r="Y76" s="174">
        <v>0</v>
      </c>
      <c r="Z76" s="1494">
        <f t="shared" si="12"/>
        <v>0</v>
      </c>
      <c r="AA76" s="955"/>
      <c r="AB76" s="1016">
        <f t="shared" si="13"/>
        <v>0</v>
      </c>
      <c r="AC76" s="863">
        <f t="shared" si="14"/>
        <v>0</v>
      </c>
    </row>
    <row r="77" spans="2:29" ht="12" x14ac:dyDescent="0.2">
      <c r="B77" s="85" t="s">
        <v>93</v>
      </c>
      <c r="C77" s="346">
        <v>0</v>
      </c>
      <c r="D77" s="216">
        <f t="shared" si="15"/>
        <v>0</v>
      </c>
      <c r="E77" s="174">
        <v>0</v>
      </c>
      <c r="F77" s="221">
        <f t="shared" si="8"/>
        <v>0</v>
      </c>
      <c r="G77" s="217">
        <v>0</v>
      </c>
      <c r="H77" s="216">
        <f t="shared" si="8"/>
        <v>0</v>
      </c>
      <c r="I77" s="174">
        <v>0</v>
      </c>
      <c r="J77" s="216">
        <f t="shared" si="9"/>
        <v>0</v>
      </c>
      <c r="K77" s="174">
        <v>0</v>
      </c>
      <c r="L77" s="221">
        <f t="shared" si="9"/>
        <v>0</v>
      </c>
      <c r="M77" s="217">
        <v>0</v>
      </c>
      <c r="N77" s="216">
        <f t="shared" si="10"/>
        <v>0</v>
      </c>
      <c r="O77" s="174"/>
      <c r="P77" s="216">
        <f t="shared" si="10"/>
        <v>0</v>
      </c>
      <c r="Q77" s="174">
        <v>0</v>
      </c>
      <c r="R77" s="216">
        <f t="shared" si="10"/>
        <v>0</v>
      </c>
      <c r="S77" s="174">
        <f>0</f>
        <v>0</v>
      </c>
      <c r="T77" s="216">
        <f t="shared" si="10"/>
        <v>0</v>
      </c>
      <c r="U77" s="174"/>
      <c r="V77" s="216">
        <f t="shared" si="11"/>
        <v>0</v>
      </c>
      <c r="W77" s="174">
        <v>1</v>
      </c>
      <c r="X77" s="216">
        <f t="shared" si="12"/>
        <v>2.5000000000000001E-2</v>
      </c>
      <c r="Y77" s="174">
        <v>3</v>
      </c>
      <c r="Z77" s="1494">
        <f t="shared" si="12"/>
        <v>6.3829787234042548E-2</v>
      </c>
      <c r="AA77" s="955"/>
      <c r="AB77" s="1016">
        <f t="shared" si="13"/>
        <v>1</v>
      </c>
      <c r="AC77" s="863">
        <f t="shared" si="14"/>
        <v>1.7765957446808513E-2</v>
      </c>
    </row>
    <row r="78" spans="2:29" ht="12" x14ac:dyDescent="0.2">
      <c r="B78" s="343" t="s">
        <v>136</v>
      </c>
      <c r="C78" s="218"/>
      <c r="D78" s="216"/>
      <c r="E78" s="226"/>
      <c r="F78" s="310"/>
      <c r="G78" s="326"/>
      <c r="H78" s="394"/>
      <c r="I78" s="226"/>
      <c r="J78" s="394"/>
      <c r="K78" s="226"/>
      <c r="L78" s="310"/>
      <c r="M78" s="326"/>
      <c r="N78" s="394"/>
      <c r="O78" s="226"/>
      <c r="P78" s="394"/>
      <c r="Q78" s="226"/>
      <c r="R78" s="394"/>
      <c r="S78" s="226"/>
      <c r="T78" s="394"/>
      <c r="U78" s="226"/>
      <c r="V78" s="394"/>
      <c r="W78" s="226"/>
      <c r="X78" s="394"/>
      <c r="Y78" s="226"/>
      <c r="Z78" s="1500"/>
      <c r="AA78" s="955"/>
      <c r="AB78" s="1016"/>
      <c r="AC78" s="863"/>
    </row>
    <row r="79" spans="2:29" ht="12" x14ac:dyDescent="0.2">
      <c r="B79" s="75" t="s">
        <v>124</v>
      </c>
      <c r="C79" s="230">
        <v>29</v>
      </c>
      <c r="D79" s="216">
        <f t="shared" si="15"/>
        <v>0.93548387096774188</v>
      </c>
      <c r="E79" s="171">
        <v>30</v>
      </c>
      <c r="F79" s="311">
        <f>E79/F$68</f>
        <v>0.88235294117647056</v>
      </c>
      <c r="G79" s="229">
        <v>29</v>
      </c>
      <c r="H79" s="395">
        <f>G79/H$68</f>
        <v>0.8529411764705882</v>
      </c>
      <c r="I79" s="183">
        <v>32</v>
      </c>
      <c r="J79" s="216">
        <f>I79/J$68</f>
        <v>0.84210526315789469</v>
      </c>
      <c r="K79" s="183">
        <v>28</v>
      </c>
      <c r="L79" s="221">
        <f>K79/L$68</f>
        <v>0.82352941176470584</v>
      </c>
      <c r="M79" s="229">
        <f>29+1</f>
        <v>30</v>
      </c>
      <c r="N79" s="216">
        <f>M79/N$68</f>
        <v>0.8571428571428571</v>
      </c>
      <c r="O79" s="183">
        <v>30</v>
      </c>
      <c r="P79" s="216">
        <f>O79/P$68</f>
        <v>0.83333333333333337</v>
      </c>
      <c r="Q79" s="183">
        <v>32</v>
      </c>
      <c r="R79" s="216">
        <f>Q79/R$68</f>
        <v>0.84210526315789469</v>
      </c>
      <c r="S79" s="183">
        <f>3+31</f>
        <v>34</v>
      </c>
      <c r="T79" s="216">
        <f>S79/T$68</f>
        <v>0.89473684210526316</v>
      </c>
      <c r="U79" s="183">
        <v>37</v>
      </c>
      <c r="V79" s="216">
        <f>U79/V$68</f>
        <v>0.90243902439024393</v>
      </c>
      <c r="W79" s="183">
        <f>6+28</f>
        <v>34</v>
      </c>
      <c r="X79" s="216">
        <f>W79/X$68</f>
        <v>0.85</v>
      </c>
      <c r="Y79" s="183">
        <v>38</v>
      </c>
      <c r="Z79" s="1494">
        <f>Y79/Z$68</f>
        <v>0.80851063829787229</v>
      </c>
      <c r="AA79" s="955"/>
      <c r="AB79" s="1016">
        <f t="shared" si="13"/>
        <v>35</v>
      </c>
      <c r="AC79" s="863">
        <f t="shared" si="14"/>
        <v>0.8595583535902549</v>
      </c>
    </row>
    <row r="80" spans="2:29" ht="12" x14ac:dyDescent="0.2">
      <c r="B80" s="75" t="s">
        <v>125</v>
      </c>
      <c r="C80" s="230">
        <v>2</v>
      </c>
      <c r="D80" s="216">
        <f t="shared" si="15"/>
        <v>6.4516129032258063E-2</v>
      </c>
      <c r="E80" s="223">
        <v>4</v>
      </c>
      <c r="F80" s="311">
        <f>E80/F$68</f>
        <v>0.11764705882352941</v>
      </c>
      <c r="G80" s="230">
        <v>5</v>
      </c>
      <c r="H80" s="395">
        <f>G80/H$68</f>
        <v>0.14705882352941177</v>
      </c>
      <c r="I80" s="283">
        <v>6</v>
      </c>
      <c r="J80" s="216">
        <f>I80/J$68</f>
        <v>0.15789473684210525</v>
      </c>
      <c r="K80" s="283">
        <v>6</v>
      </c>
      <c r="L80" s="221">
        <f>K80/L$68</f>
        <v>0.17647058823529413</v>
      </c>
      <c r="M80" s="230">
        <v>5</v>
      </c>
      <c r="N80" s="216">
        <f>M80/N$68</f>
        <v>0.14285714285714285</v>
      </c>
      <c r="O80" s="283">
        <v>6</v>
      </c>
      <c r="P80" s="216">
        <f>O80/P$68</f>
        <v>0.16666666666666666</v>
      </c>
      <c r="Q80" s="283">
        <v>6</v>
      </c>
      <c r="R80" s="216">
        <f>Q80/R$68</f>
        <v>0.15789473684210525</v>
      </c>
      <c r="S80" s="283">
        <f>4</f>
        <v>4</v>
      </c>
      <c r="T80" s="216">
        <f>S80/T$68</f>
        <v>0.10526315789473684</v>
      </c>
      <c r="U80" s="283">
        <v>4</v>
      </c>
      <c r="V80" s="216">
        <f>U80/V$68</f>
        <v>9.7560975609756101E-2</v>
      </c>
      <c r="W80" s="283">
        <v>6</v>
      </c>
      <c r="X80" s="216">
        <f>W80/X$68</f>
        <v>0.15</v>
      </c>
      <c r="Y80" s="283">
        <v>9</v>
      </c>
      <c r="Z80" s="1494">
        <f>Y80/Z$68</f>
        <v>0.19148936170212766</v>
      </c>
      <c r="AA80" s="955"/>
      <c r="AB80" s="1016">
        <f t="shared" si="13"/>
        <v>5.8</v>
      </c>
      <c r="AC80" s="863">
        <f t="shared" si="14"/>
        <v>0.14044164640974516</v>
      </c>
    </row>
    <row r="81" spans="1:31" ht="12" x14ac:dyDescent="0.2">
      <c r="B81" s="343" t="s">
        <v>137</v>
      </c>
      <c r="C81" s="219"/>
      <c r="D81" s="216"/>
      <c r="E81" s="227"/>
      <c r="F81" s="311"/>
      <c r="G81" s="315"/>
      <c r="H81" s="395"/>
      <c r="I81" s="285"/>
      <c r="J81" s="216"/>
      <c r="K81" s="285"/>
      <c r="L81" s="221"/>
      <c r="M81" s="315"/>
      <c r="N81" s="216"/>
      <c r="O81" s="285"/>
      <c r="P81" s="216"/>
      <c r="Q81" s="285"/>
      <c r="R81" s="216"/>
      <c r="S81" s="285"/>
      <c r="T81" s="216"/>
      <c r="U81" s="285"/>
      <c r="V81" s="216"/>
      <c r="W81" s="285"/>
      <c r="X81" s="216"/>
      <c r="Y81" s="285"/>
      <c r="Z81" s="1494"/>
      <c r="AA81" s="955"/>
      <c r="AB81" s="1016"/>
      <c r="AC81" s="863"/>
    </row>
    <row r="82" spans="1:31" ht="12" x14ac:dyDescent="0.2">
      <c r="B82" s="75" t="s">
        <v>126</v>
      </c>
      <c r="C82" s="224">
        <v>23</v>
      </c>
      <c r="D82" s="216">
        <f t="shared" si="15"/>
        <v>0.74193548387096775</v>
      </c>
      <c r="E82" s="223">
        <v>22</v>
      </c>
      <c r="F82" s="311">
        <f>E82/F$68</f>
        <v>0.6470588235294118</v>
      </c>
      <c r="G82" s="230">
        <v>22</v>
      </c>
      <c r="H82" s="395">
        <f>G82/H$68</f>
        <v>0.6470588235294118</v>
      </c>
      <c r="I82" s="283">
        <v>22</v>
      </c>
      <c r="J82" s="216">
        <f>I82/J$68</f>
        <v>0.57894736842105265</v>
      </c>
      <c r="K82" s="283">
        <v>20</v>
      </c>
      <c r="L82" s="221">
        <f>K82/L$68</f>
        <v>0.58823529411764708</v>
      </c>
      <c r="M82" s="230">
        <v>19</v>
      </c>
      <c r="N82" s="216">
        <f>M82/N$68</f>
        <v>0.54285714285714282</v>
      </c>
      <c r="O82" s="283">
        <v>18</v>
      </c>
      <c r="P82" s="216">
        <f>O82/P$68</f>
        <v>0.5</v>
      </c>
      <c r="Q82" s="283">
        <v>20</v>
      </c>
      <c r="R82" s="216">
        <f>Q82/R$68</f>
        <v>0.52631578947368418</v>
      </c>
      <c r="S82" s="283">
        <f>2+17</f>
        <v>19</v>
      </c>
      <c r="T82" s="216">
        <f>S82/T$68</f>
        <v>0.5</v>
      </c>
      <c r="U82" s="283">
        <v>25</v>
      </c>
      <c r="V82" s="216">
        <f>U82/V$68</f>
        <v>0.6097560975609756</v>
      </c>
      <c r="W82" s="283">
        <f>4+19</f>
        <v>23</v>
      </c>
      <c r="X82" s="216">
        <f>W82/X$68</f>
        <v>0.57499999999999996</v>
      </c>
      <c r="Y82" s="283">
        <v>25</v>
      </c>
      <c r="Z82" s="1494">
        <f>Y82/Z$68</f>
        <v>0.53191489361702127</v>
      </c>
      <c r="AA82" s="955"/>
      <c r="AB82" s="1016">
        <f t="shared" si="13"/>
        <v>22.4</v>
      </c>
      <c r="AC82" s="863">
        <f t="shared" si="14"/>
        <v>0.54859735613033611</v>
      </c>
    </row>
    <row r="83" spans="1:31" ht="12" x14ac:dyDescent="0.2">
      <c r="B83" s="75" t="s">
        <v>127</v>
      </c>
      <c r="C83" s="224">
        <v>4</v>
      </c>
      <c r="D83" s="216">
        <f t="shared" si="15"/>
        <v>0.12903225806451613</v>
      </c>
      <c r="E83" s="223">
        <v>6</v>
      </c>
      <c r="F83" s="311">
        <f>E83/F$68</f>
        <v>0.17647058823529413</v>
      </c>
      <c r="G83" s="230">
        <v>7</v>
      </c>
      <c r="H83" s="395">
        <f>G83/H$68</f>
        <v>0.20588235294117646</v>
      </c>
      <c r="I83" s="283">
        <v>7</v>
      </c>
      <c r="J83" s="216">
        <f>I83/J$68</f>
        <v>0.18421052631578946</v>
      </c>
      <c r="K83" s="283">
        <v>6</v>
      </c>
      <c r="L83" s="221">
        <f>K83/L$68</f>
        <v>0.17647058823529413</v>
      </c>
      <c r="M83" s="230">
        <v>10</v>
      </c>
      <c r="N83" s="216">
        <f>M83/N$68</f>
        <v>0.2857142857142857</v>
      </c>
      <c r="O83" s="283">
        <v>12</v>
      </c>
      <c r="P83" s="216">
        <f>O83/P$68</f>
        <v>0.33333333333333331</v>
      </c>
      <c r="Q83" s="283">
        <v>11</v>
      </c>
      <c r="R83" s="216">
        <f>Q83/R$68</f>
        <v>0.28947368421052633</v>
      </c>
      <c r="S83" s="283">
        <f>0+13</f>
        <v>13</v>
      </c>
      <c r="T83" s="216">
        <f>S83/T$68</f>
        <v>0.34210526315789475</v>
      </c>
      <c r="U83" s="283">
        <v>9</v>
      </c>
      <c r="V83" s="216">
        <f>U83/V$68</f>
        <v>0.21951219512195122</v>
      </c>
      <c r="W83" s="283">
        <v>9</v>
      </c>
      <c r="X83" s="216">
        <f>W83/X$68</f>
        <v>0.22500000000000001</v>
      </c>
      <c r="Y83" s="283">
        <v>8</v>
      </c>
      <c r="Z83" s="1494">
        <f>Y83/Z$68</f>
        <v>0.1702127659574468</v>
      </c>
      <c r="AA83" s="955"/>
      <c r="AB83" s="1016">
        <f t="shared" si="13"/>
        <v>10</v>
      </c>
      <c r="AC83" s="863">
        <f t="shared" si="14"/>
        <v>0.24926078168956384</v>
      </c>
    </row>
    <row r="84" spans="1:31" ht="12" x14ac:dyDescent="0.2">
      <c r="B84" s="75" t="s">
        <v>128</v>
      </c>
      <c r="C84" s="224">
        <v>4</v>
      </c>
      <c r="D84" s="216">
        <f t="shared" si="15"/>
        <v>0.12903225806451613</v>
      </c>
      <c r="E84" s="223">
        <v>6</v>
      </c>
      <c r="F84" s="311">
        <f>E84/F$68</f>
        <v>0.17647058823529413</v>
      </c>
      <c r="G84" s="230">
        <v>5</v>
      </c>
      <c r="H84" s="395">
        <f>G84/H$68</f>
        <v>0.14705882352941177</v>
      </c>
      <c r="I84" s="283">
        <v>9</v>
      </c>
      <c r="J84" s="216">
        <f>I84/J$68</f>
        <v>0.23684210526315788</v>
      </c>
      <c r="K84" s="283">
        <v>8</v>
      </c>
      <c r="L84" s="221">
        <f>K84/L$68</f>
        <v>0.23529411764705882</v>
      </c>
      <c r="M84" s="230">
        <f>5+1</f>
        <v>6</v>
      </c>
      <c r="N84" s="216">
        <f>M84/N$68</f>
        <v>0.17142857142857143</v>
      </c>
      <c r="O84" s="283">
        <v>6</v>
      </c>
      <c r="P84" s="216">
        <f>O84/P$68</f>
        <v>0.16666666666666666</v>
      </c>
      <c r="Q84" s="283">
        <v>7</v>
      </c>
      <c r="R84" s="216">
        <f>Q84/R$68</f>
        <v>0.18421052631578946</v>
      </c>
      <c r="S84" s="283">
        <f>1+5</f>
        <v>6</v>
      </c>
      <c r="T84" s="216">
        <f>S84/T$68</f>
        <v>0.15789473684210525</v>
      </c>
      <c r="U84" s="283">
        <v>7</v>
      </c>
      <c r="V84" s="216">
        <f>U84/V$68</f>
        <v>0.17073170731707318</v>
      </c>
      <c r="W84" s="283">
        <f>2+6</f>
        <v>8</v>
      </c>
      <c r="X84" s="216">
        <f>W84/X$68</f>
        <v>0.2</v>
      </c>
      <c r="Y84" s="283">
        <v>14</v>
      </c>
      <c r="Z84" s="1494">
        <f>Y84/Z$68</f>
        <v>0.2978723404255319</v>
      </c>
      <c r="AA84" s="955"/>
      <c r="AB84" s="1016">
        <f t="shared" si="13"/>
        <v>8.4</v>
      </c>
      <c r="AC84" s="863">
        <f t="shared" si="14"/>
        <v>0.20214186218009997</v>
      </c>
    </row>
    <row r="85" spans="1:31" ht="12" x14ac:dyDescent="0.2">
      <c r="B85" s="343" t="s">
        <v>138</v>
      </c>
      <c r="C85" s="219"/>
      <c r="D85" s="216"/>
      <c r="E85" s="227"/>
      <c r="F85" s="311"/>
      <c r="G85" s="315"/>
      <c r="H85" s="395"/>
      <c r="I85" s="285"/>
      <c r="J85" s="216"/>
      <c r="K85" s="285"/>
      <c r="L85" s="221"/>
      <c r="M85" s="315"/>
      <c r="N85" s="216"/>
      <c r="O85" s="285"/>
      <c r="P85" s="216"/>
      <c r="Q85" s="285"/>
      <c r="R85" s="216"/>
      <c r="S85" s="285"/>
      <c r="T85" s="216"/>
      <c r="U85" s="285"/>
      <c r="V85" s="216"/>
      <c r="W85" s="285"/>
      <c r="X85" s="216"/>
      <c r="Y85" s="285"/>
      <c r="Z85" s="1494"/>
      <c r="AB85" s="1016"/>
      <c r="AC85" s="863"/>
    </row>
    <row r="86" spans="1:31" ht="12" x14ac:dyDescent="0.2">
      <c r="B86" s="75" t="s">
        <v>129</v>
      </c>
      <c r="C86" s="224">
        <v>30</v>
      </c>
      <c r="D86" s="216">
        <f t="shared" si="15"/>
        <v>0.967741935483871</v>
      </c>
      <c r="E86" s="223">
        <v>32</v>
      </c>
      <c r="F86" s="311">
        <f>E86/F$68</f>
        <v>0.94117647058823528</v>
      </c>
      <c r="G86" s="230">
        <v>32</v>
      </c>
      <c r="H86" s="395">
        <f>G86/H$68</f>
        <v>0.94117647058823528</v>
      </c>
      <c r="I86" s="283">
        <v>36</v>
      </c>
      <c r="J86" s="216">
        <f>I86/J$68</f>
        <v>0.94736842105263153</v>
      </c>
      <c r="K86" s="283">
        <v>33</v>
      </c>
      <c r="L86" s="221">
        <f>K86/L$68</f>
        <v>0.97058823529411764</v>
      </c>
      <c r="M86" s="230">
        <v>34</v>
      </c>
      <c r="N86" s="216">
        <f>M86/N$68</f>
        <v>0.97142857142857142</v>
      </c>
      <c r="O86" s="283">
        <v>35</v>
      </c>
      <c r="P86" s="216">
        <f>O86/P$68</f>
        <v>0.97222222222222221</v>
      </c>
      <c r="Q86" s="283">
        <v>37</v>
      </c>
      <c r="R86" s="216">
        <f>Q86/R$68</f>
        <v>0.97368421052631582</v>
      </c>
      <c r="S86" s="283">
        <f>2+35</f>
        <v>37</v>
      </c>
      <c r="T86" s="216">
        <f>S86/T$68</f>
        <v>0.97368421052631582</v>
      </c>
      <c r="U86" s="283">
        <v>40</v>
      </c>
      <c r="V86" s="216">
        <f>U86/V$68</f>
        <v>0.97560975609756095</v>
      </c>
      <c r="W86" s="283">
        <f>5+34</f>
        <v>39</v>
      </c>
      <c r="X86" s="216">
        <f>W86/X$68</f>
        <v>0.97499999999999998</v>
      </c>
      <c r="Y86" s="283">
        <v>45</v>
      </c>
      <c r="Z86" s="1494">
        <f>Y86/Z$68</f>
        <v>0.95744680851063835</v>
      </c>
      <c r="AB86" s="1016">
        <f t="shared" si="13"/>
        <v>39.6</v>
      </c>
      <c r="AC86" s="863">
        <f t="shared" si="14"/>
        <v>0.97108499713216623</v>
      </c>
    </row>
    <row r="87" spans="1:31" ht="12" x14ac:dyDescent="0.2">
      <c r="B87" s="75" t="s">
        <v>130</v>
      </c>
      <c r="C87" s="224">
        <v>1</v>
      </c>
      <c r="D87" s="216">
        <f t="shared" si="15"/>
        <v>3.2258064516129031E-2</v>
      </c>
      <c r="E87" s="223">
        <v>2</v>
      </c>
      <c r="F87" s="311">
        <f>E87/F$68</f>
        <v>5.8823529411764705E-2</v>
      </c>
      <c r="G87" s="230">
        <v>2</v>
      </c>
      <c r="H87" s="395">
        <f>G87/H$68</f>
        <v>5.8823529411764705E-2</v>
      </c>
      <c r="I87" s="283">
        <v>2</v>
      </c>
      <c r="J87" s="216">
        <f>I87/J$68</f>
        <v>5.2631578947368418E-2</v>
      </c>
      <c r="K87" s="283">
        <v>1</v>
      </c>
      <c r="L87" s="221">
        <f>K87/L$68</f>
        <v>2.9411764705882353E-2</v>
      </c>
      <c r="M87" s="230">
        <v>1</v>
      </c>
      <c r="N87" s="216">
        <f>M87/N$68</f>
        <v>2.8571428571428571E-2</v>
      </c>
      <c r="O87" s="283">
        <v>1</v>
      </c>
      <c r="P87" s="216">
        <f>O87/P$68</f>
        <v>2.7777777777777776E-2</v>
      </c>
      <c r="Q87" s="283">
        <v>1</v>
      </c>
      <c r="R87" s="216">
        <f>Q87/R$68</f>
        <v>2.6315789473684209E-2</v>
      </c>
      <c r="S87" s="283">
        <f>1</f>
        <v>1</v>
      </c>
      <c r="T87" s="216">
        <f>S87/T$68</f>
        <v>2.6315789473684209E-2</v>
      </c>
      <c r="U87" s="283">
        <v>1</v>
      </c>
      <c r="V87" s="216">
        <f>U87/V$68</f>
        <v>2.4390243902439025E-2</v>
      </c>
      <c r="W87" s="283">
        <v>1</v>
      </c>
      <c r="X87" s="216">
        <f>W87/X$68</f>
        <v>2.5000000000000001E-2</v>
      </c>
      <c r="Y87" s="283">
        <v>2</v>
      </c>
      <c r="Z87" s="1494">
        <f>Y87/Z$68</f>
        <v>4.2553191489361701E-2</v>
      </c>
      <c r="AB87" s="1016">
        <f t="shared" si="13"/>
        <v>1.2</v>
      </c>
      <c r="AC87" s="863">
        <f t="shared" si="14"/>
        <v>2.8915002867833828E-2</v>
      </c>
    </row>
    <row r="88" spans="1:31" ht="12" x14ac:dyDescent="0.2">
      <c r="B88" s="75" t="s">
        <v>131</v>
      </c>
      <c r="C88" s="224">
        <v>0</v>
      </c>
      <c r="D88" s="216">
        <f t="shared" si="15"/>
        <v>0</v>
      </c>
      <c r="E88" s="223">
        <v>0</v>
      </c>
      <c r="F88" s="311">
        <f>E88/F$68</f>
        <v>0</v>
      </c>
      <c r="G88" s="230">
        <v>0</v>
      </c>
      <c r="H88" s="395">
        <f>G88/H$68</f>
        <v>0</v>
      </c>
      <c r="I88" s="283">
        <v>0</v>
      </c>
      <c r="J88" s="216">
        <f>I88/J$68</f>
        <v>0</v>
      </c>
      <c r="K88" s="283">
        <v>0</v>
      </c>
      <c r="L88" s="221">
        <f>K88/L$68</f>
        <v>0</v>
      </c>
      <c r="M88" s="230">
        <v>0</v>
      </c>
      <c r="N88" s="216">
        <f>M88/N$68</f>
        <v>0</v>
      </c>
      <c r="O88" s="283">
        <v>0</v>
      </c>
      <c r="P88" s="216">
        <f>O88/P$68</f>
        <v>0</v>
      </c>
      <c r="Q88" s="283">
        <v>0</v>
      </c>
      <c r="R88" s="216">
        <f>Q88/R$68</f>
        <v>0</v>
      </c>
      <c r="S88" s="283">
        <v>0</v>
      </c>
      <c r="T88" s="216">
        <f>S88/T$68</f>
        <v>0</v>
      </c>
      <c r="U88" s="283">
        <v>0</v>
      </c>
      <c r="V88" s="216">
        <f>U88/V$68</f>
        <v>0</v>
      </c>
      <c r="W88" s="283">
        <v>0</v>
      </c>
      <c r="X88" s="216">
        <f>W88/X$68</f>
        <v>0</v>
      </c>
      <c r="Y88" s="283">
        <v>0</v>
      </c>
      <c r="Z88" s="1494">
        <f>Y88/Z$68</f>
        <v>0</v>
      </c>
      <c r="AB88" s="1016">
        <f t="shared" si="13"/>
        <v>0</v>
      </c>
      <c r="AC88" s="863">
        <f t="shared" si="14"/>
        <v>0</v>
      </c>
    </row>
    <row r="89" spans="1:31" thickBot="1" x14ac:dyDescent="0.25">
      <c r="B89" s="344" t="s">
        <v>132</v>
      </c>
      <c r="C89" s="61">
        <v>0</v>
      </c>
      <c r="D89" s="220">
        <f t="shared" si="15"/>
        <v>0</v>
      </c>
      <c r="E89" s="228">
        <v>0</v>
      </c>
      <c r="F89" s="312">
        <f>E89/F$68</f>
        <v>0</v>
      </c>
      <c r="G89" s="375">
        <v>0</v>
      </c>
      <c r="H89" s="397">
        <f>G89/H$68</f>
        <v>0</v>
      </c>
      <c r="I89" s="284">
        <v>0</v>
      </c>
      <c r="J89" s="220">
        <f>I89/J$68</f>
        <v>0</v>
      </c>
      <c r="K89" s="284">
        <v>0</v>
      </c>
      <c r="L89" s="222">
        <f>K89/L$68</f>
        <v>0</v>
      </c>
      <c r="M89" s="375">
        <v>0</v>
      </c>
      <c r="N89" s="220">
        <f>M89/N$68</f>
        <v>0</v>
      </c>
      <c r="O89" s="284">
        <v>0</v>
      </c>
      <c r="P89" s="220">
        <f>O89/P$68</f>
        <v>0</v>
      </c>
      <c r="Q89" s="284">
        <v>0</v>
      </c>
      <c r="R89" s="220">
        <f>Q89/R$68</f>
        <v>0</v>
      </c>
      <c r="S89" s="284">
        <v>0</v>
      </c>
      <c r="T89" s="220">
        <f>S89/T$68</f>
        <v>0</v>
      </c>
      <c r="U89" s="284">
        <v>0</v>
      </c>
      <c r="V89" s="220">
        <f>U89/V$68</f>
        <v>0</v>
      </c>
      <c r="W89" s="284">
        <v>0</v>
      </c>
      <c r="X89" s="220">
        <f>W89/X$68</f>
        <v>0</v>
      </c>
      <c r="Y89" s="284">
        <v>0</v>
      </c>
      <c r="Z89" s="1495">
        <f>Y89/Z$68</f>
        <v>0</v>
      </c>
      <c r="AB89" s="1016">
        <f t="shared" si="13"/>
        <v>0</v>
      </c>
      <c r="AC89" s="863">
        <f t="shared" si="14"/>
        <v>0</v>
      </c>
    </row>
    <row r="90" spans="1:31" customFormat="1" ht="14.25" thickTop="1" thickBot="1" x14ac:dyDescent="0.25">
      <c r="A90" s="1"/>
      <c r="B90" s="956" t="s">
        <v>186</v>
      </c>
      <c r="C90" s="1992" t="s">
        <v>51</v>
      </c>
      <c r="D90" s="1993"/>
      <c r="E90" s="1992" t="s">
        <v>52</v>
      </c>
      <c r="F90" s="1993"/>
      <c r="G90" s="1989" t="s">
        <v>184</v>
      </c>
      <c r="H90" s="1990"/>
      <c r="I90" s="1989" t="s">
        <v>185</v>
      </c>
      <c r="J90" s="1990"/>
      <c r="K90" s="1989" t="s">
        <v>202</v>
      </c>
      <c r="L90" s="1990"/>
      <c r="M90" s="1991" t="s">
        <v>203</v>
      </c>
      <c r="N90" s="1979"/>
      <c r="O90" s="1970" t="s">
        <v>228</v>
      </c>
      <c r="P90" s="1979"/>
      <c r="Q90" s="1970" t="s">
        <v>238</v>
      </c>
      <c r="R90" s="1979"/>
      <c r="S90" s="1970" t="s">
        <v>273</v>
      </c>
      <c r="T90" s="1979"/>
      <c r="U90" s="1970" t="s">
        <v>275</v>
      </c>
      <c r="V90" s="1979"/>
      <c r="W90" s="1970" t="s">
        <v>281</v>
      </c>
      <c r="X90" s="1979"/>
      <c r="Y90" s="1970" t="s">
        <v>291</v>
      </c>
      <c r="Z90" s="1976"/>
      <c r="AB90" s="2003" t="s">
        <v>213</v>
      </c>
      <c r="AC90" s="2004"/>
    </row>
    <row r="91" spans="1:31" customFormat="1" x14ac:dyDescent="0.2">
      <c r="A91" s="1"/>
      <c r="B91" s="957"/>
      <c r="C91" s="958"/>
      <c r="D91" s="959"/>
      <c r="E91" s="1273" t="s">
        <v>133</v>
      </c>
      <c r="F91" s="1180" t="s">
        <v>17</v>
      </c>
      <c r="G91" s="958" t="s">
        <v>133</v>
      </c>
      <c r="H91" s="1242" t="s">
        <v>17</v>
      </c>
      <c r="I91" s="1273" t="s">
        <v>133</v>
      </c>
      <c r="J91" s="1242" t="s">
        <v>17</v>
      </c>
      <c r="K91" s="1273" t="s">
        <v>133</v>
      </c>
      <c r="L91" s="1242" t="s">
        <v>17</v>
      </c>
      <c r="M91" s="1273" t="s">
        <v>133</v>
      </c>
      <c r="N91" s="1242" t="s">
        <v>17</v>
      </c>
      <c r="O91" s="1448" t="s">
        <v>133</v>
      </c>
      <c r="P91" s="1450" t="s">
        <v>17</v>
      </c>
      <c r="Q91" s="1451" t="s">
        <v>133</v>
      </c>
      <c r="R91" s="1450" t="s">
        <v>17</v>
      </c>
      <c r="S91" s="1451" t="s">
        <v>133</v>
      </c>
      <c r="T91" s="1450" t="s">
        <v>17</v>
      </c>
      <c r="U91" s="1768" t="s">
        <v>133</v>
      </c>
      <c r="V91" s="1450" t="s">
        <v>17</v>
      </c>
      <c r="W91" s="1768" t="s">
        <v>133</v>
      </c>
      <c r="X91" s="1450" t="s">
        <v>17</v>
      </c>
      <c r="Y91" s="1768" t="s">
        <v>133</v>
      </c>
      <c r="Z91" s="1452" t="s">
        <v>17</v>
      </c>
      <c r="AB91" s="953" t="s">
        <v>133</v>
      </c>
      <c r="AC91" s="954" t="s">
        <v>17</v>
      </c>
    </row>
    <row r="92" spans="1:31" customFormat="1" x14ac:dyDescent="0.2">
      <c r="A92" s="1"/>
      <c r="B92" s="341" t="s">
        <v>187</v>
      </c>
      <c r="C92" s="960">
        <v>1</v>
      </c>
      <c r="D92" s="961">
        <v>0.5</v>
      </c>
      <c r="E92" s="960">
        <v>1</v>
      </c>
      <c r="F92" s="961">
        <v>0.5</v>
      </c>
      <c r="G92" s="960">
        <v>0</v>
      </c>
      <c r="H92" s="961">
        <v>0</v>
      </c>
      <c r="I92" s="960">
        <v>0</v>
      </c>
      <c r="J92" s="961">
        <v>0</v>
      </c>
      <c r="K92" s="960">
        <v>0</v>
      </c>
      <c r="L92" s="961">
        <v>0</v>
      </c>
      <c r="M92" s="960">
        <v>0</v>
      </c>
      <c r="N92" s="961">
        <v>0</v>
      </c>
      <c r="O92" s="960">
        <v>0</v>
      </c>
      <c r="P92" s="961">
        <v>0</v>
      </c>
      <c r="Q92" s="960">
        <v>0</v>
      </c>
      <c r="R92" s="961">
        <v>0</v>
      </c>
      <c r="S92" s="960">
        <v>0</v>
      </c>
      <c r="T92" s="961">
        <v>0</v>
      </c>
      <c r="U92" s="960">
        <v>1</v>
      </c>
      <c r="V92" s="961">
        <v>0.5</v>
      </c>
      <c r="W92" s="960">
        <v>0</v>
      </c>
      <c r="X92" s="961">
        <v>0</v>
      </c>
      <c r="Y92" s="960">
        <v>0</v>
      </c>
      <c r="Z92" s="1517">
        <v>0</v>
      </c>
      <c r="AB92" s="1115">
        <f t="shared" ref="AB92:AB94" si="16">AVERAGE(W92,U92,Q92,S92,Y92)</f>
        <v>0.2</v>
      </c>
      <c r="AC92" s="1116">
        <f t="shared" ref="AC92:AC94" si="17">AVERAGE(X92,V92,R92,T92,Z92)</f>
        <v>0.1</v>
      </c>
    </row>
    <row r="93" spans="1:31" customFormat="1" x14ac:dyDescent="0.2">
      <c r="A93" s="1"/>
      <c r="B93" s="341" t="s">
        <v>188</v>
      </c>
      <c r="C93" s="960">
        <v>35</v>
      </c>
      <c r="D93" s="961">
        <v>18</v>
      </c>
      <c r="E93" s="960">
        <v>38</v>
      </c>
      <c r="F93" s="961">
        <v>19</v>
      </c>
      <c r="G93" s="960">
        <v>44</v>
      </c>
      <c r="H93" s="961">
        <v>21.8</v>
      </c>
      <c r="I93" s="960">
        <v>41</v>
      </c>
      <c r="J93" s="961">
        <v>20.399999999999999</v>
      </c>
      <c r="K93" s="960">
        <v>42</v>
      </c>
      <c r="L93" s="961">
        <v>20.9</v>
      </c>
      <c r="M93" s="960">
        <v>43</v>
      </c>
      <c r="N93" s="961">
        <v>21.5</v>
      </c>
      <c r="O93" s="960">
        <v>38</v>
      </c>
      <c r="P93" s="961">
        <v>19</v>
      </c>
      <c r="Q93" s="960">
        <v>37</v>
      </c>
      <c r="R93" s="961">
        <v>18.5</v>
      </c>
      <c r="S93" s="960">
        <v>38</v>
      </c>
      <c r="T93" s="961">
        <v>19</v>
      </c>
      <c r="U93" s="960">
        <v>41</v>
      </c>
      <c r="V93" s="961">
        <v>20.5</v>
      </c>
      <c r="W93" s="960">
        <v>44</v>
      </c>
      <c r="X93" s="961">
        <v>22</v>
      </c>
      <c r="Y93" s="960">
        <v>41</v>
      </c>
      <c r="Z93" s="1517">
        <v>20.5</v>
      </c>
      <c r="AB93" s="1115">
        <f t="shared" si="16"/>
        <v>40.200000000000003</v>
      </c>
      <c r="AC93" s="1116">
        <f t="shared" si="17"/>
        <v>20.100000000000001</v>
      </c>
    </row>
    <row r="94" spans="1:31" customFormat="1" ht="13.5" thickBot="1" x14ac:dyDescent="0.25">
      <c r="A94" s="1"/>
      <c r="B94" s="344" t="s">
        <v>211</v>
      </c>
      <c r="C94" s="962">
        <v>0</v>
      </c>
      <c r="D94" s="963">
        <v>0</v>
      </c>
      <c r="E94" s="964">
        <v>0</v>
      </c>
      <c r="F94" s="963">
        <v>0</v>
      </c>
      <c r="G94" s="964">
        <v>0</v>
      </c>
      <c r="H94" s="963">
        <v>0</v>
      </c>
      <c r="I94" s="964">
        <v>0</v>
      </c>
      <c r="J94" s="963">
        <v>0</v>
      </c>
      <c r="K94" s="964">
        <v>0</v>
      </c>
      <c r="L94" s="963">
        <v>0</v>
      </c>
      <c r="M94" s="964">
        <v>0</v>
      </c>
      <c r="N94" s="963">
        <v>0</v>
      </c>
      <c r="O94" s="964">
        <v>0</v>
      </c>
      <c r="P94" s="963">
        <v>0</v>
      </c>
      <c r="Q94" s="964">
        <v>0</v>
      </c>
      <c r="R94" s="963">
        <v>0</v>
      </c>
      <c r="S94" s="964">
        <v>0</v>
      </c>
      <c r="T94" s="963">
        <v>0</v>
      </c>
      <c r="U94" s="964">
        <v>0</v>
      </c>
      <c r="V94" s="963">
        <v>0</v>
      </c>
      <c r="W94" s="964">
        <v>0</v>
      </c>
      <c r="X94" s="963">
        <v>0</v>
      </c>
      <c r="Y94" s="964">
        <v>0</v>
      </c>
      <c r="Z94" s="1518">
        <v>0</v>
      </c>
      <c r="AB94" s="1115">
        <f t="shared" si="16"/>
        <v>0</v>
      </c>
      <c r="AC94" s="1116">
        <f t="shared" si="17"/>
        <v>0</v>
      </c>
    </row>
    <row r="95" spans="1:31" customFormat="1" ht="17.25" thickTop="1" thickBot="1" x14ac:dyDescent="0.3">
      <c r="A95" s="966"/>
      <c r="B95" s="967"/>
      <c r="C95" s="1992" t="s">
        <v>51</v>
      </c>
      <c r="D95" s="1993"/>
      <c r="E95" s="1992" t="s">
        <v>52</v>
      </c>
      <c r="F95" s="1993"/>
      <c r="G95" s="1989" t="s">
        <v>184</v>
      </c>
      <c r="H95" s="1990"/>
      <c r="I95" s="1989" t="s">
        <v>185</v>
      </c>
      <c r="J95" s="1990"/>
      <c r="K95" s="1989" t="s">
        <v>202</v>
      </c>
      <c r="L95" s="1990"/>
      <c r="M95" s="1991" t="s">
        <v>203</v>
      </c>
      <c r="N95" s="1979"/>
      <c r="O95" s="1970" t="s">
        <v>254</v>
      </c>
      <c r="P95" s="1979"/>
      <c r="Q95" s="1970" t="s">
        <v>238</v>
      </c>
      <c r="R95" s="1979"/>
      <c r="S95" s="1970" t="s">
        <v>273</v>
      </c>
      <c r="T95" s="1979"/>
      <c r="U95" s="1970" t="s">
        <v>275</v>
      </c>
      <c r="V95" s="1979"/>
      <c r="W95" s="1970" t="s">
        <v>281</v>
      </c>
      <c r="X95" s="1979"/>
      <c r="Y95" s="1970" t="s">
        <v>291</v>
      </c>
      <c r="Z95" s="1976"/>
      <c r="AA95" s="968"/>
      <c r="AB95" s="1987"/>
      <c r="AC95" s="1988"/>
      <c r="AD95" s="28"/>
      <c r="AE95" s="3"/>
    </row>
    <row r="96" spans="1:31" customFormat="1" x14ac:dyDescent="0.2">
      <c r="A96" s="3"/>
      <c r="B96" s="342" t="s">
        <v>210</v>
      </c>
      <c r="C96" s="3"/>
      <c r="D96" s="969"/>
      <c r="E96" s="970"/>
      <c r="F96" s="971"/>
      <c r="G96" s="972"/>
      <c r="H96" s="973"/>
      <c r="I96" s="974"/>
      <c r="J96" s="593"/>
      <c r="K96" s="975"/>
      <c r="L96" s="976"/>
      <c r="M96" s="975"/>
      <c r="N96" s="991"/>
      <c r="O96" s="117"/>
      <c r="P96" s="1422"/>
      <c r="Q96" s="975"/>
      <c r="R96" s="991"/>
      <c r="S96" s="975"/>
      <c r="T96" s="991"/>
      <c r="U96" s="117"/>
      <c r="V96" s="1422"/>
      <c r="W96" s="975"/>
      <c r="X96" s="991"/>
      <c r="Y96" s="975"/>
      <c r="Z96" s="977"/>
      <c r="AA96" s="28"/>
      <c r="AB96" s="28"/>
      <c r="AC96" s="28"/>
      <c r="AD96" s="3"/>
      <c r="AE96" s="3"/>
    </row>
    <row r="97" spans="1:31" customFormat="1" x14ac:dyDescent="0.2">
      <c r="A97" s="930"/>
      <c r="B97" s="1331" t="s">
        <v>192</v>
      </c>
      <c r="C97" s="1983">
        <v>10.574999999999999</v>
      </c>
      <c r="D97" s="1984"/>
      <c r="E97" s="980"/>
      <c r="F97" s="981"/>
      <c r="G97" s="982"/>
      <c r="H97" s="983"/>
      <c r="I97" s="1983">
        <v>8.7100000000000009</v>
      </c>
      <c r="J97" s="1984"/>
      <c r="K97" s="984"/>
      <c r="L97" s="985"/>
      <c r="M97" s="984"/>
      <c r="N97" s="991"/>
      <c r="O97" s="136"/>
      <c r="P97" s="1401">
        <v>28.2</v>
      </c>
      <c r="Q97" s="984"/>
      <c r="R97" s="991"/>
      <c r="S97" s="984"/>
      <c r="T97" s="991"/>
      <c r="U97" s="136"/>
      <c r="V97" s="1401">
        <v>30.95</v>
      </c>
      <c r="W97" s="984"/>
      <c r="X97" s="991"/>
      <c r="Y97" s="984"/>
      <c r="Z97" s="977"/>
      <c r="AA97" s="28"/>
      <c r="AB97" s="28"/>
      <c r="AC97" s="1106"/>
      <c r="AD97" s="3"/>
      <c r="AE97" s="3"/>
    </row>
    <row r="98" spans="1:31" customFormat="1" x14ac:dyDescent="0.2">
      <c r="A98" s="930"/>
      <c r="B98" s="1332" t="s">
        <v>193</v>
      </c>
      <c r="C98" s="1983"/>
      <c r="D98" s="1984"/>
      <c r="E98" s="980"/>
      <c r="F98" s="981"/>
      <c r="G98" s="982"/>
      <c r="H98" s="983"/>
      <c r="I98" s="1983"/>
      <c r="J98" s="1984"/>
      <c r="K98" s="984"/>
      <c r="L98" s="985"/>
      <c r="M98" s="984"/>
      <c r="N98" s="991"/>
      <c r="O98" s="136"/>
      <c r="P98" s="1401"/>
      <c r="Q98" s="984"/>
      <c r="R98" s="991"/>
      <c r="S98" s="984"/>
      <c r="T98" s="991"/>
      <c r="U98" s="136"/>
      <c r="V98" s="1401"/>
      <c r="W98" s="984"/>
      <c r="X98" s="991"/>
      <c r="Y98" s="984"/>
      <c r="Z98" s="977"/>
      <c r="AA98" s="28"/>
      <c r="AB98" s="28"/>
      <c r="AC98" s="1106"/>
      <c r="AD98" s="3"/>
      <c r="AE98" s="3"/>
    </row>
    <row r="99" spans="1:31" customFormat="1" x14ac:dyDescent="0.2">
      <c r="A99" s="930"/>
      <c r="B99" s="1332" t="s">
        <v>194</v>
      </c>
      <c r="C99" s="1983">
        <v>16</v>
      </c>
      <c r="D99" s="1984"/>
      <c r="E99" s="980"/>
      <c r="F99" s="981"/>
      <c r="G99" s="982"/>
      <c r="H99" s="983"/>
      <c r="I99" s="1983">
        <v>20</v>
      </c>
      <c r="J99" s="1984"/>
      <c r="K99" s="984"/>
      <c r="L99" s="985"/>
      <c r="M99" s="984"/>
      <c r="N99" s="991"/>
      <c r="O99" s="136"/>
      <c r="P99" s="1401">
        <v>18</v>
      </c>
      <c r="Q99" s="984"/>
      <c r="R99" s="991"/>
      <c r="S99" s="984"/>
      <c r="T99" s="991"/>
      <c r="U99" s="136"/>
      <c r="V99" s="1401">
        <v>20</v>
      </c>
      <c r="W99" s="984"/>
      <c r="X99" s="991"/>
      <c r="Y99" s="984"/>
      <c r="Z99" s="977"/>
      <c r="AA99" s="28"/>
      <c r="AB99" s="28"/>
      <c r="AC99" s="1106"/>
      <c r="AD99" s="3"/>
      <c r="AE99" s="3"/>
    </row>
    <row r="100" spans="1:31" customFormat="1" x14ac:dyDescent="0.2">
      <c r="A100" s="930"/>
      <c r="B100" s="1331" t="s">
        <v>195</v>
      </c>
      <c r="C100" s="1983">
        <v>2</v>
      </c>
      <c r="D100" s="1984"/>
      <c r="E100" s="980"/>
      <c r="F100" s="981"/>
      <c r="G100" s="982"/>
      <c r="H100" s="983"/>
      <c r="I100" s="1983">
        <v>1</v>
      </c>
      <c r="J100" s="1984"/>
      <c r="K100" s="984"/>
      <c r="L100" s="985"/>
      <c r="M100" s="984"/>
      <c r="N100" s="991"/>
      <c r="O100" s="136"/>
      <c r="P100" s="1401">
        <v>0.5</v>
      </c>
      <c r="Q100" s="984"/>
      <c r="R100" s="991"/>
      <c r="S100" s="984"/>
      <c r="T100" s="991"/>
      <c r="U100" s="136"/>
      <c r="V100" s="1401">
        <v>0.5</v>
      </c>
      <c r="W100" s="984"/>
      <c r="X100" s="991"/>
      <c r="Y100" s="984"/>
      <c r="Z100" s="977"/>
      <c r="AA100" s="28"/>
      <c r="AB100" s="28"/>
      <c r="AC100" s="1106"/>
      <c r="AD100" s="3"/>
      <c r="AE100" s="3"/>
    </row>
    <row r="101" spans="1:31" customFormat="1" x14ac:dyDescent="0.2">
      <c r="A101" s="930"/>
      <c r="B101" s="1333" t="s">
        <v>196</v>
      </c>
      <c r="C101" s="1983">
        <v>5.75</v>
      </c>
      <c r="D101" s="1984"/>
      <c r="E101" s="980"/>
      <c r="F101" s="981"/>
      <c r="G101" s="982"/>
      <c r="H101" s="983"/>
      <c r="I101" s="1983">
        <v>5.83</v>
      </c>
      <c r="J101" s="1984"/>
      <c r="K101" s="984"/>
      <c r="L101" s="985"/>
      <c r="M101" s="984"/>
      <c r="N101" s="991"/>
      <c r="O101" s="136"/>
      <c r="P101" s="1401">
        <v>5.6</v>
      </c>
      <c r="Q101" s="984"/>
      <c r="R101" s="991"/>
      <c r="S101" s="984"/>
      <c r="T101" s="991"/>
      <c r="U101" s="136"/>
      <c r="V101" s="1401">
        <f>1.75+3.9</f>
        <v>5.65</v>
      </c>
      <c r="W101" s="984"/>
      <c r="X101" s="991"/>
      <c r="Y101" s="984"/>
      <c r="Z101" s="977"/>
      <c r="AA101" s="28"/>
      <c r="AB101" s="28"/>
      <c r="AC101" s="1106"/>
      <c r="AD101" s="3"/>
      <c r="AE101" s="3"/>
    </row>
    <row r="102" spans="1:31" customFormat="1" x14ac:dyDescent="0.2">
      <c r="A102" s="930"/>
      <c r="B102" s="1333" t="s">
        <v>197</v>
      </c>
      <c r="C102" s="1983">
        <f>SUM(C97:D101)</f>
        <v>34.325000000000003</v>
      </c>
      <c r="D102" s="1984"/>
      <c r="E102" s="980"/>
      <c r="F102" s="981"/>
      <c r="G102" s="982"/>
      <c r="H102" s="983"/>
      <c r="I102" s="1983">
        <f>SUM(I97:J101)</f>
        <v>35.54</v>
      </c>
      <c r="J102" s="1984"/>
      <c r="K102" s="984"/>
      <c r="L102" s="985"/>
      <c r="M102" s="984"/>
      <c r="N102" s="991"/>
      <c r="O102" s="136"/>
      <c r="P102" s="1401">
        <f>SUM(P97:P101)</f>
        <v>52.300000000000004</v>
      </c>
      <c r="Q102" s="984"/>
      <c r="R102" s="991"/>
      <c r="S102" s="984"/>
      <c r="T102" s="991"/>
      <c r="U102" s="136"/>
      <c r="V102" s="1401">
        <f>SUM(V97:V101)</f>
        <v>57.1</v>
      </c>
      <c r="W102" s="984"/>
      <c r="X102" s="991"/>
      <c r="Y102" s="984"/>
      <c r="Z102" s="977"/>
      <c r="AA102" s="28"/>
      <c r="AB102" s="28"/>
      <c r="AC102" s="1106"/>
      <c r="AD102" s="3"/>
      <c r="AE102" s="3"/>
    </row>
    <row r="103" spans="1:31" customFormat="1" ht="13.5" thickBot="1" x14ac:dyDescent="0.25">
      <c r="A103" s="930"/>
      <c r="B103" s="1334" t="s">
        <v>204</v>
      </c>
      <c r="C103" s="2056"/>
      <c r="D103" s="2055"/>
      <c r="E103" s="989"/>
      <c r="F103" s="990"/>
      <c r="G103" s="975"/>
      <c r="H103" s="991"/>
      <c r="I103" s="2056"/>
      <c r="J103" s="2055"/>
      <c r="K103" s="984"/>
      <c r="L103" s="985"/>
      <c r="M103" s="984"/>
      <c r="N103" s="991"/>
      <c r="O103" s="136"/>
      <c r="P103" s="1422"/>
      <c r="Q103" s="984"/>
      <c r="R103" s="991"/>
      <c r="S103" s="984"/>
      <c r="T103" s="991"/>
      <c r="U103" s="136"/>
      <c r="V103" s="1422"/>
      <c r="W103" s="984"/>
      <c r="X103" s="991"/>
      <c r="Y103" s="984"/>
      <c r="Z103" s="977"/>
      <c r="AA103" s="28"/>
      <c r="AB103" s="28"/>
      <c r="AC103" s="1106"/>
      <c r="AD103" s="3"/>
      <c r="AE103" s="3"/>
    </row>
    <row r="104" spans="1:31" customFormat="1" x14ac:dyDescent="0.2">
      <c r="A104" s="930"/>
      <c r="B104" s="1331" t="s">
        <v>198</v>
      </c>
      <c r="C104" s="2043">
        <v>3852</v>
      </c>
      <c r="D104" s="2044"/>
      <c r="E104" s="992"/>
      <c r="F104" s="993"/>
      <c r="G104" s="994"/>
      <c r="H104" s="995"/>
      <c r="I104" s="2043">
        <v>2591</v>
      </c>
      <c r="J104" s="2044"/>
      <c r="K104" s="984"/>
      <c r="L104" s="985"/>
      <c r="M104" s="984"/>
      <c r="N104" s="991"/>
      <c r="O104" s="136"/>
      <c r="P104" s="1462">
        <v>3572</v>
      </c>
      <c r="Q104" s="984"/>
      <c r="R104" s="991"/>
      <c r="S104" s="984"/>
      <c r="T104" s="991"/>
      <c r="U104" s="136"/>
      <c r="V104" s="1462">
        <v>3112</v>
      </c>
      <c r="W104" s="984"/>
      <c r="X104" s="991"/>
      <c r="Y104" s="984"/>
      <c r="Z104" s="977"/>
      <c r="AA104" s="28"/>
      <c r="AB104" s="28"/>
      <c r="AC104" s="1473"/>
      <c r="AD104" s="3"/>
      <c r="AE104" s="3"/>
    </row>
    <row r="105" spans="1:31" customFormat="1" x14ac:dyDescent="0.2">
      <c r="A105" s="930"/>
      <c r="B105" s="1333" t="s">
        <v>199</v>
      </c>
      <c r="C105" s="2043">
        <v>7811</v>
      </c>
      <c r="D105" s="2044"/>
      <c r="E105" s="992"/>
      <c r="F105" s="993"/>
      <c r="G105" s="994"/>
      <c r="H105" s="995"/>
      <c r="I105" s="2043">
        <v>8462</v>
      </c>
      <c r="J105" s="2044"/>
      <c r="K105" s="984"/>
      <c r="L105" s="985"/>
      <c r="M105" s="984"/>
      <c r="N105" s="991"/>
      <c r="O105" s="136"/>
      <c r="P105" s="1462">
        <v>7723</v>
      </c>
      <c r="Q105" s="984"/>
      <c r="R105" s="991"/>
      <c r="S105" s="984"/>
      <c r="T105" s="991"/>
      <c r="U105" s="136"/>
      <c r="V105" s="1462">
        <v>9456</v>
      </c>
      <c r="W105" s="984"/>
      <c r="X105" s="991"/>
      <c r="Y105" s="984"/>
      <c r="Z105" s="977"/>
      <c r="AA105" s="28"/>
      <c r="AB105" s="28"/>
      <c r="AC105" s="1473"/>
      <c r="AD105" s="3"/>
      <c r="AE105" s="3"/>
    </row>
    <row r="106" spans="1:31" customFormat="1" x14ac:dyDescent="0.2">
      <c r="A106" s="930"/>
      <c r="B106" s="1333" t="s">
        <v>200</v>
      </c>
      <c r="C106" s="2043">
        <v>2169</v>
      </c>
      <c r="D106" s="2044"/>
      <c r="E106" s="992"/>
      <c r="F106" s="993"/>
      <c r="G106" s="994"/>
      <c r="H106" s="995"/>
      <c r="I106" s="2043">
        <v>1695</v>
      </c>
      <c r="J106" s="2044"/>
      <c r="K106" s="984"/>
      <c r="L106" s="985"/>
      <c r="M106" s="984"/>
      <c r="N106" s="991"/>
      <c r="O106" s="136"/>
      <c r="P106" s="1462">
        <f>1107+504</f>
        <v>1611</v>
      </c>
      <c r="Q106" s="984"/>
      <c r="R106" s="991"/>
      <c r="S106" s="984"/>
      <c r="T106" s="991"/>
      <c r="U106" s="136"/>
      <c r="V106" s="1462">
        <f>786+779</f>
        <v>1565</v>
      </c>
      <c r="W106" s="984"/>
      <c r="X106" s="991"/>
      <c r="Y106" s="984"/>
      <c r="Z106" s="977"/>
      <c r="AA106" s="28"/>
      <c r="AB106" s="28"/>
      <c r="AC106" s="1473"/>
      <c r="AD106" s="3"/>
      <c r="AE106" s="3"/>
    </row>
    <row r="107" spans="1:31" customFormat="1" x14ac:dyDescent="0.2">
      <c r="A107" s="930"/>
      <c r="B107" s="1333" t="s">
        <v>209</v>
      </c>
      <c r="C107" s="2043">
        <f>SUM(C104:D106)</f>
        <v>13832</v>
      </c>
      <c r="D107" s="2044"/>
      <c r="E107" s="992"/>
      <c r="F107" s="993"/>
      <c r="G107" s="994"/>
      <c r="H107" s="995"/>
      <c r="I107" s="2043">
        <f>SUM(I104:J106)</f>
        <v>12748</v>
      </c>
      <c r="J107" s="2044"/>
      <c r="K107" s="984"/>
      <c r="L107" s="985"/>
      <c r="M107" s="984"/>
      <c r="N107" s="991"/>
      <c r="O107" s="136"/>
      <c r="P107" s="1462">
        <f>SUM(P104:P106)</f>
        <v>12906</v>
      </c>
      <c r="Q107" s="984"/>
      <c r="R107" s="991"/>
      <c r="S107" s="984"/>
      <c r="T107" s="991"/>
      <c r="U107" s="136"/>
      <c r="V107" s="1462">
        <f>SUM(V104:V106)</f>
        <v>14133</v>
      </c>
      <c r="W107" s="984"/>
      <c r="X107" s="991"/>
      <c r="Y107" s="984"/>
      <c r="Z107" s="977"/>
      <c r="AA107" s="28"/>
      <c r="AB107" s="28"/>
      <c r="AC107" s="1473"/>
      <c r="AD107" s="3"/>
      <c r="AE107" s="3"/>
    </row>
    <row r="108" spans="1:31" customFormat="1" ht="13.5" thickBot="1" x14ac:dyDescent="0.25">
      <c r="A108" s="930"/>
      <c r="B108" s="1334" t="s">
        <v>205</v>
      </c>
      <c r="C108" s="2056"/>
      <c r="D108" s="2055"/>
      <c r="E108" s="989"/>
      <c r="F108" s="990"/>
      <c r="G108" s="975"/>
      <c r="H108" s="991"/>
      <c r="I108" s="2056"/>
      <c r="J108" s="2055"/>
      <c r="K108" s="984"/>
      <c r="L108" s="985"/>
      <c r="M108" s="984"/>
      <c r="N108" s="991"/>
      <c r="O108" s="136"/>
      <c r="P108" s="1422"/>
      <c r="Q108" s="984"/>
      <c r="R108" s="991"/>
      <c r="S108" s="984"/>
      <c r="T108" s="991"/>
      <c r="U108" s="136"/>
      <c r="V108" s="1422"/>
      <c r="W108" s="984"/>
      <c r="X108" s="991"/>
      <c r="Y108" s="984"/>
      <c r="Z108" s="977"/>
      <c r="AA108" s="28"/>
      <c r="AB108" s="28"/>
      <c r="AC108" s="1106"/>
      <c r="AD108" s="28"/>
      <c r="AE108" s="28"/>
    </row>
    <row r="109" spans="1:31" customFormat="1" x14ac:dyDescent="0.2">
      <c r="A109" s="930"/>
      <c r="B109" s="1331" t="s">
        <v>206</v>
      </c>
      <c r="C109" s="1985">
        <f>C104/C97</f>
        <v>364.25531914893617</v>
      </c>
      <c r="D109" s="1986"/>
      <c r="E109" s="996"/>
      <c r="F109" s="997"/>
      <c r="G109" s="998"/>
      <c r="H109" s="999"/>
      <c r="I109" s="1985">
        <f>I104/I97</f>
        <v>297.47416762342135</v>
      </c>
      <c r="J109" s="1986"/>
      <c r="K109" s="1000"/>
      <c r="L109" s="1001"/>
      <c r="M109" s="1000"/>
      <c r="N109" s="999"/>
      <c r="O109" s="494"/>
      <c r="P109" s="1402">
        <f>P104/P97</f>
        <v>126.66666666666667</v>
      </c>
      <c r="Q109" s="1000"/>
      <c r="R109" s="999"/>
      <c r="S109" s="1000"/>
      <c r="T109" s="999"/>
      <c r="U109" s="494"/>
      <c r="V109" s="1402">
        <f>V104/V97</f>
        <v>100.54927302100162</v>
      </c>
      <c r="W109" s="1000"/>
      <c r="X109" s="999"/>
      <c r="Y109" s="1000"/>
      <c r="Z109" s="1460"/>
      <c r="AA109" s="668"/>
      <c r="AB109" s="668"/>
      <c r="AC109" s="1106"/>
      <c r="AD109" s="21"/>
      <c r="AE109" s="21"/>
    </row>
    <row r="110" spans="1:31" customFormat="1" x14ac:dyDescent="0.2">
      <c r="A110" s="930"/>
      <c r="B110" s="1333" t="s">
        <v>207</v>
      </c>
      <c r="C110" s="1985">
        <f>C105/C99</f>
        <v>488.1875</v>
      </c>
      <c r="D110" s="1986"/>
      <c r="E110" s="996"/>
      <c r="F110" s="997"/>
      <c r="G110" s="998"/>
      <c r="H110" s="999"/>
      <c r="I110" s="1985">
        <f>I105/I99</f>
        <v>423.1</v>
      </c>
      <c r="J110" s="1986"/>
      <c r="K110" s="1000"/>
      <c r="L110" s="1001"/>
      <c r="M110" s="1000"/>
      <c r="N110" s="999"/>
      <c r="O110" s="494"/>
      <c r="P110" s="1402">
        <f>P105/P99</f>
        <v>429.05555555555554</v>
      </c>
      <c r="Q110" s="1000"/>
      <c r="R110" s="999"/>
      <c r="S110" s="1000"/>
      <c r="T110" s="999"/>
      <c r="U110" s="494"/>
      <c r="V110" s="1402">
        <f>V105/(V99+V100)</f>
        <v>461.26829268292681</v>
      </c>
      <c r="W110" s="1000"/>
      <c r="X110" s="999"/>
      <c r="Y110" s="1000"/>
      <c r="Z110" s="1460"/>
      <c r="AA110" s="668"/>
      <c r="AB110" s="668"/>
      <c r="AC110" s="1106"/>
      <c r="AD110" s="21"/>
      <c r="AE110" s="21"/>
    </row>
    <row r="111" spans="1:31" customFormat="1" x14ac:dyDescent="0.2">
      <c r="A111" s="930"/>
      <c r="B111" s="1333" t="s">
        <v>208</v>
      </c>
      <c r="C111" s="1985">
        <f>C106/C101</f>
        <v>377.21739130434781</v>
      </c>
      <c r="D111" s="1986"/>
      <c r="E111" s="996"/>
      <c r="F111" s="997"/>
      <c r="G111" s="998"/>
      <c r="H111" s="999"/>
      <c r="I111" s="1985">
        <f>I106/I101</f>
        <v>290.73756432247001</v>
      </c>
      <c r="J111" s="1986"/>
      <c r="K111" s="1000"/>
      <c r="L111" s="1001"/>
      <c r="M111" s="1000"/>
      <c r="N111" s="999"/>
      <c r="O111" s="494"/>
      <c r="P111" s="1402">
        <f>P106/P101</f>
        <v>287.67857142857144</v>
      </c>
      <c r="Q111" s="1000"/>
      <c r="R111" s="999"/>
      <c r="S111" s="1000"/>
      <c r="T111" s="999"/>
      <c r="U111" s="494"/>
      <c r="V111" s="1402">
        <f>V106/V101</f>
        <v>276.99115044247787</v>
      </c>
      <c r="W111" s="1000"/>
      <c r="X111" s="999"/>
      <c r="Y111" s="1000"/>
      <c r="Z111" s="1460"/>
      <c r="AA111" s="668"/>
      <c r="AB111" s="668"/>
      <c r="AC111" s="1106"/>
      <c r="AD111" s="21"/>
      <c r="AE111" s="21"/>
    </row>
    <row r="112" spans="1:31" customFormat="1" ht="13.5" thickBot="1" x14ac:dyDescent="0.25">
      <c r="A112" s="930"/>
      <c r="B112" s="1335" t="s">
        <v>201</v>
      </c>
      <c r="C112" s="2045">
        <f>C107/C102</f>
        <v>402.97159504734157</v>
      </c>
      <c r="D112" s="2046"/>
      <c r="E112" s="1003"/>
      <c r="F112" s="1004"/>
      <c r="G112" s="1005"/>
      <c r="H112" s="1006"/>
      <c r="I112" s="2045">
        <f>I107/I102</f>
        <v>358.69442881260551</v>
      </c>
      <c r="J112" s="2046"/>
      <c r="K112" s="1005"/>
      <c r="L112" s="1006"/>
      <c r="M112" s="1005"/>
      <c r="N112" s="1006"/>
      <c r="O112" s="1233"/>
      <c r="P112" s="1423">
        <f>P107/P102</f>
        <v>246.76864244741873</v>
      </c>
      <c r="Q112" s="1005"/>
      <c r="R112" s="1006"/>
      <c r="S112" s="1005"/>
      <c r="T112" s="1006"/>
      <c r="U112" s="1233"/>
      <c r="V112" s="1423">
        <f>V107/V102</f>
        <v>247.51313485113835</v>
      </c>
      <c r="W112" s="1005"/>
      <c r="X112" s="1006"/>
      <c r="Y112" s="1005"/>
      <c r="Z112" s="1461"/>
      <c r="AA112" s="668"/>
      <c r="AB112" s="668"/>
      <c r="AC112" s="1106"/>
      <c r="AD112" s="21"/>
      <c r="AE112" s="21"/>
    </row>
    <row r="113" spans="2:29" ht="13.5" thickTop="1" x14ac:dyDescent="0.2">
      <c r="B113" s="3" t="str">
        <f>Dean_AS!B169</f>
        <v>*Note: Beginning with the 2009 collection cycle, Instructional FTE was defined according to the national Delaware Study of Instructional Costs and Productivity</v>
      </c>
      <c r="P113" s="117"/>
      <c r="AB113" s="28"/>
      <c r="AC113" s="28"/>
    </row>
  </sheetData>
  <mergeCells count="141">
    <mergeCell ref="W7:X7"/>
    <mergeCell ref="W19:X19"/>
    <mergeCell ref="W27:X27"/>
    <mergeCell ref="W30:X30"/>
    <mergeCell ref="W34:X34"/>
    <mergeCell ref="W60:X60"/>
    <mergeCell ref="AB7:AC7"/>
    <mergeCell ref="AB19:AC19"/>
    <mergeCell ref="AB34:AC34"/>
    <mergeCell ref="AB60:AC60"/>
    <mergeCell ref="AB30:AC30"/>
    <mergeCell ref="AB27:AC27"/>
    <mergeCell ref="Y7:Z7"/>
    <mergeCell ref="Y19:Z19"/>
    <mergeCell ref="Y27:Z27"/>
    <mergeCell ref="Y30:Z30"/>
    <mergeCell ref="Y34:Z34"/>
    <mergeCell ref="Y60:Z60"/>
    <mergeCell ref="G34:H34"/>
    <mergeCell ref="M60:N60"/>
    <mergeCell ref="M27:N27"/>
    <mergeCell ref="M30:N30"/>
    <mergeCell ref="C27:D27"/>
    <mergeCell ref="E27:F27"/>
    <mergeCell ref="G27:H27"/>
    <mergeCell ref="G29:H29"/>
    <mergeCell ref="C30:D30"/>
    <mergeCell ref="E30:F30"/>
    <mergeCell ref="G30:H30"/>
    <mergeCell ref="I30:J30"/>
    <mergeCell ref="E34:F34"/>
    <mergeCell ref="C60:D60"/>
    <mergeCell ref="E60:F60"/>
    <mergeCell ref="C34:D34"/>
    <mergeCell ref="G60:H60"/>
    <mergeCell ref="I34:J34"/>
    <mergeCell ref="I29:J29"/>
    <mergeCell ref="U7:V7"/>
    <mergeCell ref="U19:V19"/>
    <mergeCell ref="U27:V27"/>
    <mergeCell ref="U30:V30"/>
    <mergeCell ref="U34:V34"/>
    <mergeCell ref="U60:V60"/>
    <mergeCell ref="C111:D111"/>
    <mergeCell ref="I111:J111"/>
    <mergeCell ref="C106:D106"/>
    <mergeCell ref="I106:J106"/>
    <mergeCell ref="C107:D107"/>
    <mergeCell ref="I107:J107"/>
    <mergeCell ref="C108:D108"/>
    <mergeCell ref="I108:J108"/>
    <mergeCell ref="C97:D97"/>
    <mergeCell ref="I97:J97"/>
    <mergeCell ref="C98:D98"/>
    <mergeCell ref="I98:J98"/>
    <mergeCell ref="C90:D90"/>
    <mergeCell ref="E90:F90"/>
    <mergeCell ref="K90:L90"/>
    <mergeCell ref="M90:N90"/>
    <mergeCell ref="C109:D109"/>
    <mergeCell ref="I109:J109"/>
    <mergeCell ref="C112:D112"/>
    <mergeCell ref="I112:J112"/>
    <mergeCell ref="C102:D102"/>
    <mergeCell ref="I102:J102"/>
    <mergeCell ref="C99:D99"/>
    <mergeCell ref="I99:J99"/>
    <mergeCell ref="C100:D100"/>
    <mergeCell ref="I100:J100"/>
    <mergeCell ref="C105:D105"/>
    <mergeCell ref="I105:J105"/>
    <mergeCell ref="C110:D110"/>
    <mergeCell ref="I110:J110"/>
    <mergeCell ref="C103:D103"/>
    <mergeCell ref="I103:J103"/>
    <mergeCell ref="C104:D104"/>
    <mergeCell ref="I104:J104"/>
    <mergeCell ref="C101:D101"/>
    <mergeCell ref="I101:J101"/>
    <mergeCell ref="AB90:AC90"/>
    <mergeCell ref="C95:D95"/>
    <mergeCell ref="E95:F95"/>
    <mergeCell ref="G95:H95"/>
    <mergeCell ref="I95:J95"/>
    <mergeCell ref="K95:L95"/>
    <mergeCell ref="M95:N95"/>
    <mergeCell ref="AB95:AC95"/>
    <mergeCell ref="O90:P90"/>
    <mergeCell ref="G90:H90"/>
    <mergeCell ref="I90:J90"/>
    <mergeCell ref="W90:X90"/>
    <mergeCell ref="W95:X95"/>
    <mergeCell ref="O95:P95"/>
    <mergeCell ref="S90:T90"/>
    <mergeCell ref="S95:T95"/>
    <mergeCell ref="U90:V90"/>
    <mergeCell ref="U95:V95"/>
    <mergeCell ref="Q90:R90"/>
    <mergeCell ref="Q95:R95"/>
    <mergeCell ref="Y90:Z90"/>
    <mergeCell ref="Y95:Z95"/>
    <mergeCell ref="Q27:R27"/>
    <mergeCell ref="Q30:R30"/>
    <mergeCell ref="K7:L7"/>
    <mergeCell ref="K19:L19"/>
    <mergeCell ref="O7:P7"/>
    <mergeCell ref="O19:P19"/>
    <mergeCell ref="O27:P27"/>
    <mergeCell ref="K27:L27"/>
    <mergeCell ref="C28:D28"/>
    <mergeCell ref="E28:F28"/>
    <mergeCell ref="G28:H28"/>
    <mergeCell ref="C19:D19"/>
    <mergeCell ref="E19:F19"/>
    <mergeCell ref="G19:H19"/>
    <mergeCell ref="I7:J7"/>
    <mergeCell ref="I19:J19"/>
    <mergeCell ref="Q34:R34"/>
    <mergeCell ref="Q60:R60"/>
    <mergeCell ref="O30:P30"/>
    <mergeCell ref="C29:D29"/>
    <mergeCell ref="E29:F29"/>
    <mergeCell ref="S7:T7"/>
    <mergeCell ref="S19:T19"/>
    <mergeCell ref="S27:T27"/>
    <mergeCell ref="S30:T30"/>
    <mergeCell ref="I60:J60"/>
    <mergeCell ref="O34:P34"/>
    <mergeCell ref="O60:P60"/>
    <mergeCell ref="K34:L34"/>
    <mergeCell ref="K60:L60"/>
    <mergeCell ref="M34:N34"/>
    <mergeCell ref="S34:T34"/>
    <mergeCell ref="S60:T60"/>
    <mergeCell ref="M7:N7"/>
    <mergeCell ref="M19:N19"/>
    <mergeCell ref="K30:L30"/>
    <mergeCell ref="I28:J28"/>
    <mergeCell ref="I27:J27"/>
    <mergeCell ref="Q7:R7"/>
    <mergeCell ref="Q19:R19"/>
  </mergeCells>
  <phoneticPr fontId="3" type="noConversion"/>
  <printOptions horizontalCentered="1"/>
  <pageMargins left="0.5" right="0.5" top="0.5" bottom="0.5" header="0.5" footer="0.5"/>
  <pageSetup scale="72" orientation="landscape" r:id="rId1"/>
  <headerFooter alignWithMargins="0">
    <oddFooter>&amp;R&amp;P of &amp;N
&amp;D</oddFooter>
  </headerFooter>
  <rowBreaks count="1" manualBreakCount="1">
    <brk id="56" max="27" man="1"/>
  </rowBreaks>
  <ignoredErrors>
    <ignoredError sqref="M79 S70:S87 W70:W8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1"/>
  <sheetViews>
    <sheetView view="pageBreakPreview" zoomScaleNormal="100" workbookViewId="0">
      <pane xSplit="2" ySplit="1" topLeftCell="O2" activePane="bottomRight" state="frozen"/>
      <selection activeCell="AF81" sqref="AF81"/>
      <selection pane="topRight" activeCell="AF81" sqref="AF81"/>
      <selection pane="bottomLeft" activeCell="AF81" sqref="AF81"/>
      <selection pane="bottomRight" activeCell="AF81" sqref="AF81"/>
    </sheetView>
  </sheetViews>
  <sheetFormatPr defaultColWidth="10.28515625" defaultRowHeight="12.75" x14ac:dyDescent="0.2"/>
  <cols>
    <col min="1" max="1" width="2" style="3" customWidth="1"/>
    <col min="2" max="2" width="29.7109375" style="3" customWidth="1"/>
    <col min="3" max="3" width="7.7109375" hidden="1" customWidth="1"/>
    <col min="4" max="4" width="10.140625" hidden="1" customWidth="1"/>
    <col min="5" max="5" width="7.7109375" hidden="1" customWidth="1"/>
    <col min="6" max="6" width="10.28515625" hidden="1" customWidth="1"/>
    <col min="7" max="7" width="7.7109375" style="115" hidden="1" customWidth="1"/>
    <col min="8" max="8" width="10.28515625" style="115" hidden="1" customWidth="1"/>
    <col min="9" max="9" width="7.7109375" style="115" hidden="1" customWidth="1"/>
    <col min="10" max="10" width="10.28515625" style="115" hidden="1" customWidth="1"/>
    <col min="11" max="11" width="7.7109375" style="3" hidden="1" customWidth="1"/>
    <col min="12" max="12" width="11" style="3" hidden="1" customWidth="1"/>
    <col min="13" max="13" width="7.7109375" style="3" hidden="1" customWidth="1"/>
    <col min="14" max="14" width="11" style="3" hidden="1" customWidth="1"/>
    <col min="15" max="15" width="7.7109375" style="3" customWidth="1"/>
    <col min="16" max="16" width="11" style="3" customWidth="1"/>
    <col min="17" max="17" width="7.7109375" style="3" customWidth="1"/>
    <col min="18" max="18" width="11" style="3" customWidth="1"/>
    <col min="19" max="19" width="7.7109375" style="3" customWidth="1"/>
    <col min="20" max="20" width="11" style="3" customWidth="1"/>
    <col min="21" max="21" width="7.7109375" style="3" customWidth="1"/>
    <col min="22" max="22" width="11" style="3" customWidth="1"/>
    <col min="23" max="23" width="7.7109375" style="3" customWidth="1"/>
    <col min="24" max="24" width="11" style="3" customWidth="1"/>
    <col min="25" max="25" width="7.7109375" style="3" customWidth="1"/>
    <col min="26" max="26" width="11" style="3" customWidth="1"/>
    <col min="27" max="27" width="2.140625" style="3" customWidth="1"/>
    <col min="28" max="28" width="7.7109375" style="3" customWidth="1"/>
    <col min="29" max="29" width="10.7109375" style="3" customWidth="1"/>
    <col min="30" max="30" width="1" style="3" customWidth="1"/>
    <col min="31" max="16384" width="10.28515625" style="3"/>
  </cols>
  <sheetData>
    <row r="1" spans="1:31" ht="18" x14ac:dyDescent="0.25">
      <c r="A1" s="1183" t="str">
        <f>Dean_AS!A1</f>
        <v>Department Profile Report - FY 2015</v>
      </c>
      <c r="B1" s="1183"/>
      <c r="C1" s="1183"/>
      <c r="D1" s="1183"/>
      <c r="E1" s="1183"/>
      <c r="F1" s="1183"/>
      <c r="G1" s="1183"/>
      <c r="H1" s="1183"/>
      <c r="I1" s="1239"/>
      <c r="J1" s="1239"/>
      <c r="K1" s="1228"/>
      <c r="L1" s="1228"/>
      <c r="M1" s="1228"/>
      <c r="N1" s="1228"/>
      <c r="O1" s="1228"/>
      <c r="P1" s="1228"/>
      <c r="Q1" s="1228"/>
      <c r="R1" s="1228"/>
      <c r="S1" s="1228"/>
      <c r="T1" s="1228"/>
      <c r="U1" s="1228"/>
      <c r="V1" s="1228"/>
      <c r="W1" s="1228"/>
      <c r="X1" s="1228"/>
      <c r="Y1" s="1228"/>
      <c r="Z1" s="1228"/>
      <c r="AA1" s="1228"/>
      <c r="AB1" s="1228"/>
      <c r="AC1" s="1228"/>
    </row>
    <row r="2" spans="1:31" ht="12" x14ac:dyDescent="0.2">
      <c r="C2" s="3"/>
      <c r="D2" s="3"/>
      <c r="E2" s="3"/>
      <c r="F2" s="3"/>
      <c r="G2" s="117"/>
      <c r="H2" s="117"/>
      <c r="I2" s="117"/>
      <c r="J2" s="117"/>
    </row>
    <row r="3" spans="1:31" x14ac:dyDescent="0.2">
      <c r="A3" s="2" t="s">
        <v>101</v>
      </c>
      <c r="B3" s="117"/>
      <c r="C3" s="3"/>
      <c r="D3" s="3"/>
      <c r="E3" s="3"/>
      <c r="F3" s="3"/>
      <c r="G3" s="117"/>
      <c r="H3" s="117"/>
      <c r="I3" s="117"/>
      <c r="J3" s="117"/>
    </row>
    <row r="4" spans="1:31" ht="12" x14ac:dyDescent="0.2">
      <c r="C4" s="3"/>
      <c r="D4" s="3"/>
      <c r="E4" s="3"/>
      <c r="F4" s="3"/>
      <c r="G4" s="117"/>
      <c r="H4" s="117"/>
      <c r="I4" s="117"/>
      <c r="J4" s="117"/>
    </row>
    <row r="5" spans="1:31" x14ac:dyDescent="0.2">
      <c r="A5" s="2" t="s">
        <v>77</v>
      </c>
      <c r="C5" s="3"/>
      <c r="D5" s="3"/>
      <c r="E5" s="3"/>
      <c r="F5" s="3"/>
      <c r="G5" s="117"/>
      <c r="H5" s="117"/>
      <c r="I5" s="117"/>
      <c r="J5" s="117"/>
    </row>
    <row r="6" spans="1:31" thickBot="1" x14ac:dyDescent="0.25">
      <c r="A6" s="4"/>
      <c r="C6" s="3"/>
      <c r="D6" s="3"/>
      <c r="E6" s="3"/>
      <c r="F6" s="3"/>
      <c r="G6" s="117"/>
      <c r="H6" s="117"/>
      <c r="I6" s="117"/>
      <c r="J6" s="117"/>
    </row>
    <row r="7" spans="1:31" ht="13.5" customHeight="1" thickTop="1" thickBot="1" x14ac:dyDescent="0.25">
      <c r="B7" s="22"/>
      <c r="C7" s="29" t="s">
        <v>49</v>
      </c>
      <c r="D7" s="51"/>
      <c r="E7" s="29" t="s">
        <v>50</v>
      </c>
      <c r="F7" s="7"/>
      <c r="G7" s="302" t="s">
        <v>141</v>
      </c>
      <c r="H7" s="121"/>
      <c r="I7" s="1968" t="s">
        <v>152</v>
      </c>
      <c r="J7" s="1968"/>
      <c r="K7" s="1994" t="s">
        <v>154</v>
      </c>
      <c r="L7" s="1968"/>
      <c r="M7" s="1994" t="s">
        <v>171</v>
      </c>
      <c r="N7" s="1980"/>
      <c r="O7" s="1968" t="s">
        <v>227</v>
      </c>
      <c r="P7" s="1980"/>
      <c r="Q7" s="1968" t="s">
        <v>237</v>
      </c>
      <c r="R7" s="1980"/>
      <c r="S7" s="1968" t="s">
        <v>272</v>
      </c>
      <c r="T7" s="1980"/>
      <c r="U7" s="1968" t="s">
        <v>274</v>
      </c>
      <c r="V7" s="1980"/>
      <c r="W7" s="1968" t="s">
        <v>280</v>
      </c>
      <c r="X7" s="1980"/>
      <c r="Y7" s="1968" t="s">
        <v>290</v>
      </c>
      <c r="Z7" s="1969"/>
      <c r="AB7" s="2003" t="s">
        <v>213</v>
      </c>
      <c r="AC7" s="2004"/>
    </row>
    <row r="8" spans="1:31" ht="12" x14ac:dyDescent="0.2">
      <c r="B8" s="71"/>
      <c r="C8" s="42" t="s">
        <v>1</v>
      </c>
      <c r="D8" s="47" t="s">
        <v>2</v>
      </c>
      <c r="E8" s="42" t="s">
        <v>1</v>
      </c>
      <c r="F8" s="8" t="s">
        <v>2</v>
      </c>
      <c r="G8" s="303" t="s">
        <v>1</v>
      </c>
      <c r="H8" s="125" t="s">
        <v>2</v>
      </c>
      <c r="I8" s="124" t="s">
        <v>1</v>
      </c>
      <c r="J8" s="300" t="s">
        <v>2</v>
      </c>
      <c r="K8" s="303" t="s">
        <v>1</v>
      </c>
      <c r="L8" s="300" t="s">
        <v>2</v>
      </c>
      <c r="M8" s="303" t="s">
        <v>1</v>
      </c>
      <c r="N8" s="125" t="s">
        <v>2</v>
      </c>
      <c r="O8" s="124" t="s">
        <v>1</v>
      </c>
      <c r="P8" s="125" t="s">
        <v>2</v>
      </c>
      <c r="Q8" s="124" t="s">
        <v>1</v>
      </c>
      <c r="R8" s="125" t="s">
        <v>2</v>
      </c>
      <c r="S8" s="124" t="s">
        <v>1</v>
      </c>
      <c r="T8" s="125" t="s">
        <v>2</v>
      </c>
      <c r="U8" s="124" t="s">
        <v>1</v>
      </c>
      <c r="V8" s="125" t="s">
        <v>2</v>
      </c>
      <c r="W8" s="124" t="s">
        <v>1</v>
      </c>
      <c r="X8" s="125" t="s">
        <v>2</v>
      </c>
      <c r="Y8" s="124" t="s">
        <v>1</v>
      </c>
      <c r="Z8" s="126" t="s">
        <v>2</v>
      </c>
      <c r="AB8" s="921" t="s">
        <v>214</v>
      </c>
      <c r="AC8" s="922" t="s">
        <v>215</v>
      </c>
    </row>
    <row r="9" spans="1:31" thickBot="1" x14ac:dyDescent="0.25">
      <c r="B9" s="72"/>
      <c r="C9" s="46" t="s">
        <v>3</v>
      </c>
      <c r="D9" s="48" t="s">
        <v>4</v>
      </c>
      <c r="E9" s="46" t="s">
        <v>3</v>
      </c>
      <c r="F9" s="26" t="s">
        <v>4</v>
      </c>
      <c r="G9" s="304" t="s">
        <v>3</v>
      </c>
      <c r="H9" s="123" t="s">
        <v>4</v>
      </c>
      <c r="I9" s="127" t="s">
        <v>3</v>
      </c>
      <c r="J9" s="301" t="s">
        <v>4</v>
      </c>
      <c r="K9" s="304" t="s">
        <v>3</v>
      </c>
      <c r="L9" s="301" t="s">
        <v>4</v>
      </c>
      <c r="M9" s="304" t="s">
        <v>3</v>
      </c>
      <c r="N9" s="123" t="s">
        <v>4</v>
      </c>
      <c r="O9" s="127" t="s">
        <v>3</v>
      </c>
      <c r="P9" s="123" t="s">
        <v>4</v>
      </c>
      <c r="Q9" s="127" t="s">
        <v>3</v>
      </c>
      <c r="R9" s="123" t="s">
        <v>4</v>
      </c>
      <c r="S9" s="127" t="s">
        <v>3</v>
      </c>
      <c r="T9" s="123" t="s">
        <v>4</v>
      </c>
      <c r="U9" s="127" t="s">
        <v>3</v>
      </c>
      <c r="V9" s="123" t="s">
        <v>4</v>
      </c>
      <c r="W9" s="127" t="s">
        <v>3</v>
      </c>
      <c r="X9" s="123" t="s">
        <v>4</v>
      </c>
      <c r="Y9" s="127" t="s">
        <v>3</v>
      </c>
      <c r="Z9" s="128" t="s">
        <v>4</v>
      </c>
      <c r="AB9" s="923" t="s">
        <v>3</v>
      </c>
      <c r="AC9" s="924" t="s">
        <v>4</v>
      </c>
    </row>
    <row r="10" spans="1:31" ht="12" x14ac:dyDescent="0.2">
      <c r="B10" s="73" t="s">
        <v>5</v>
      </c>
      <c r="C10" s="15"/>
      <c r="D10" s="49"/>
      <c r="E10" s="15"/>
      <c r="F10" s="13"/>
      <c r="G10" s="305"/>
      <c r="H10" s="131"/>
      <c r="I10" s="130"/>
      <c r="J10" s="150"/>
      <c r="K10" s="305"/>
      <c r="L10" s="150"/>
      <c r="M10" s="305"/>
      <c r="N10" s="131"/>
      <c r="O10" s="130"/>
      <c r="P10" s="131"/>
      <c r="Q10" s="130"/>
      <c r="R10" s="131"/>
      <c r="S10" s="130"/>
      <c r="T10" s="131"/>
      <c r="U10" s="130"/>
      <c r="V10" s="131"/>
      <c r="W10" s="130"/>
      <c r="X10" s="131"/>
      <c r="Y10" s="130"/>
      <c r="Z10" s="296"/>
      <c r="AB10" s="925"/>
      <c r="AC10" s="581"/>
    </row>
    <row r="11" spans="1:31" ht="12" x14ac:dyDescent="0.2">
      <c r="B11" s="74" t="s">
        <v>102</v>
      </c>
      <c r="C11" s="14"/>
      <c r="D11" s="50"/>
      <c r="E11" s="14"/>
      <c r="F11" s="9"/>
      <c r="G11" s="318"/>
      <c r="H11" s="405"/>
      <c r="I11" s="404"/>
      <c r="J11" s="129"/>
      <c r="K11" s="318"/>
      <c r="L11" s="129"/>
      <c r="M11" s="318"/>
      <c r="N11" s="405"/>
      <c r="O11" s="404"/>
      <c r="P11" s="405"/>
      <c r="Q11" s="404"/>
      <c r="R11" s="405"/>
      <c r="S11" s="404"/>
      <c r="T11" s="405"/>
      <c r="U11" s="404"/>
      <c r="V11" s="405"/>
      <c r="W11" s="404"/>
      <c r="X11" s="405"/>
      <c r="Y11" s="404"/>
      <c r="Z11" s="291"/>
      <c r="AB11" s="926"/>
      <c r="AC11" s="927"/>
    </row>
    <row r="12" spans="1:31" s="618" customFormat="1" ht="12" x14ac:dyDescent="0.2">
      <c r="B12" s="654" t="s">
        <v>221</v>
      </c>
      <c r="C12" s="672">
        <v>152</v>
      </c>
      <c r="D12" s="700">
        <f>19+11</f>
        <v>30</v>
      </c>
      <c r="E12" s="672">
        <f>84+80</f>
        <v>164</v>
      </c>
      <c r="F12" s="701">
        <f>20+16</f>
        <v>36</v>
      </c>
      <c r="G12" s="662">
        <v>180</v>
      </c>
      <c r="H12" s="663">
        <f>22+15</f>
        <v>37</v>
      </c>
      <c r="I12" s="664">
        <f>38+65+76</f>
        <v>179</v>
      </c>
      <c r="J12" s="665">
        <f>40+11</f>
        <v>51</v>
      </c>
      <c r="K12" s="662">
        <v>151</v>
      </c>
      <c r="L12" s="665">
        <f>24+14</f>
        <v>38</v>
      </c>
      <c r="M12" s="662">
        <f>64+80</f>
        <v>144</v>
      </c>
      <c r="N12" s="663">
        <v>37</v>
      </c>
      <c r="O12" s="664">
        <v>137</v>
      </c>
      <c r="P12" s="663">
        <f>24+6</f>
        <v>30</v>
      </c>
      <c r="Q12" s="664">
        <f>129+1</f>
        <v>130</v>
      </c>
      <c r="R12" s="663">
        <v>35</v>
      </c>
      <c r="S12" s="664">
        <v>115</v>
      </c>
      <c r="T12" s="663">
        <v>29</v>
      </c>
      <c r="U12" s="664">
        <f>104+1</f>
        <v>105</v>
      </c>
      <c r="V12" s="663">
        <v>24</v>
      </c>
      <c r="W12" s="664">
        <v>121</v>
      </c>
      <c r="X12" s="663">
        <v>30</v>
      </c>
      <c r="Y12" s="664">
        <v>105</v>
      </c>
      <c r="Z12" s="1646"/>
      <c r="AB12" s="926">
        <f>AVERAGE(W12,U12,Q12,S12,Y12)</f>
        <v>115.2</v>
      </c>
      <c r="AC12" s="928">
        <f>AVERAGE(X12,V12,R12,T12,P12)</f>
        <v>29.6</v>
      </c>
    </row>
    <row r="13" spans="1:31" s="618" customFormat="1" ht="12" x14ac:dyDescent="0.2">
      <c r="B13" s="781" t="s">
        <v>224</v>
      </c>
      <c r="C13" s="706"/>
      <c r="D13" s="707"/>
      <c r="E13" s="706"/>
      <c r="F13" s="708"/>
      <c r="G13" s="709"/>
      <c r="H13" s="707"/>
      <c r="I13" s="734"/>
      <c r="J13" s="730">
        <v>2</v>
      </c>
      <c r="K13" s="710">
        <v>2</v>
      </c>
      <c r="L13" s="730">
        <v>3</v>
      </c>
      <c r="M13" s="710">
        <v>7</v>
      </c>
      <c r="N13" s="729">
        <v>7</v>
      </c>
      <c r="O13" s="734">
        <v>7</v>
      </c>
      <c r="P13" s="729">
        <v>4</v>
      </c>
      <c r="Q13" s="734">
        <v>24</v>
      </c>
      <c r="R13" s="729">
        <v>6</v>
      </c>
      <c r="S13" s="734">
        <v>25</v>
      </c>
      <c r="T13" s="729">
        <v>2</v>
      </c>
      <c r="U13" s="734">
        <v>19</v>
      </c>
      <c r="V13" s="729">
        <v>6</v>
      </c>
      <c r="W13" s="734">
        <v>14</v>
      </c>
      <c r="X13" s="729">
        <v>4</v>
      </c>
      <c r="Y13" s="734">
        <v>14</v>
      </c>
      <c r="Z13" s="1647"/>
      <c r="AA13" s="1032"/>
      <c r="AB13" s="926">
        <f t="shared" ref="AB13:AB18" si="0">AVERAGE(W13,U13,Q13,S13,Y13)</f>
        <v>19.2</v>
      </c>
      <c r="AC13" s="928">
        <f t="shared" ref="AC13:AC21" si="1">AVERAGE(X13,V13,R13,T13,P13)</f>
        <v>4.4000000000000004</v>
      </c>
    </row>
    <row r="14" spans="1:31" s="618" customFormat="1" ht="12" x14ac:dyDescent="0.2">
      <c r="B14" s="781" t="s">
        <v>103</v>
      </c>
      <c r="C14" s="734">
        <v>31</v>
      </c>
      <c r="D14" s="703">
        <v>2</v>
      </c>
      <c r="E14" s="705">
        <v>28</v>
      </c>
      <c r="F14" s="704">
        <v>6</v>
      </c>
      <c r="G14" s="710">
        <v>32</v>
      </c>
      <c r="H14" s="729">
        <v>14</v>
      </c>
      <c r="I14" s="734">
        <v>38</v>
      </c>
      <c r="J14" s="730">
        <v>5</v>
      </c>
      <c r="K14" s="710">
        <v>46</v>
      </c>
      <c r="L14" s="730">
        <v>7</v>
      </c>
      <c r="M14" s="710">
        <v>28</v>
      </c>
      <c r="N14" s="729">
        <v>3</v>
      </c>
      <c r="O14" s="734">
        <v>30</v>
      </c>
      <c r="P14" s="729">
        <v>12</v>
      </c>
      <c r="Q14" s="734">
        <v>24</v>
      </c>
      <c r="R14" s="729">
        <v>6</v>
      </c>
      <c r="S14" s="734">
        <v>38</v>
      </c>
      <c r="T14" s="729">
        <v>16</v>
      </c>
      <c r="U14" s="734">
        <f>1+26</f>
        <v>27</v>
      </c>
      <c r="V14" s="729">
        <v>11</v>
      </c>
      <c r="W14" s="734">
        <v>37</v>
      </c>
      <c r="X14" s="729">
        <v>14</v>
      </c>
      <c r="Y14" s="734">
        <v>46</v>
      </c>
      <c r="Z14" s="1647"/>
      <c r="AA14" s="1032"/>
      <c r="AB14" s="926">
        <f t="shared" si="0"/>
        <v>34.4</v>
      </c>
      <c r="AC14" s="928">
        <f t="shared" si="1"/>
        <v>11.8</v>
      </c>
      <c r="AE14" s="618" t="s">
        <v>29</v>
      </c>
    </row>
    <row r="15" spans="1:31" s="618" customFormat="1" ht="12" x14ac:dyDescent="0.2">
      <c r="B15" s="781" t="s">
        <v>104</v>
      </c>
      <c r="C15" s="734">
        <v>25</v>
      </c>
      <c r="D15" s="703">
        <v>6</v>
      </c>
      <c r="E15" s="705">
        <v>20</v>
      </c>
      <c r="F15" s="704">
        <v>2</v>
      </c>
      <c r="G15" s="710">
        <v>15</v>
      </c>
      <c r="H15" s="729">
        <v>4</v>
      </c>
      <c r="I15" s="734">
        <v>19</v>
      </c>
      <c r="J15" s="730">
        <v>7</v>
      </c>
      <c r="K15" s="710">
        <v>22</v>
      </c>
      <c r="L15" s="730">
        <v>6</v>
      </c>
      <c r="M15" s="710">
        <v>15</v>
      </c>
      <c r="N15" s="729">
        <v>6</v>
      </c>
      <c r="O15" s="734">
        <v>12</v>
      </c>
      <c r="P15" s="729">
        <v>6</v>
      </c>
      <c r="Q15" s="734">
        <v>15</v>
      </c>
      <c r="R15" s="729">
        <v>3</v>
      </c>
      <c r="S15" s="734">
        <v>22</v>
      </c>
      <c r="T15" s="729">
        <v>5</v>
      </c>
      <c r="U15" s="734">
        <v>16</v>
      </c>
      <c r="V15" s="729">
        <v>8</v>
      </c>
      <c r="W15" s="734">
        <v>22</v>
      </c>
      <c r="X15" s="729">
        <v>6</v>
      </c>
      <c r="Y15" s="734">
        <v>25</v>
      </c>
      <c r="Z15" s="1647"/>
      <c r="AA15" s="1032"/>
      <c r="AB15" s="926">
        <f t="shared" si="0"/>
        <v>20</v>
      </c>
      <c r="AC15" s="928">
        <f t="shared" si="1"/>
        <v>5.6</v>
      </c>
    </row>
    <row r="16" spans="1:31" s="618" customFormat="1" ht="12" x14ac:dyDescent="0.2">
      <c r="B16" s="781" t="s">
        <v>105</v>
      </c>
      <c r="C16" s="734">
        <v>9</v>
      </c>
      <c r="D16" s="703">
        <v>4</v>
      </c>
      <c r="E16" s="705">
        <v>17</v>
      </c>
      <c r="F16" s="704">
        <v>3</v>
      </c>
      <c r="G16" s="710">
        <v>19</v>
      </c>
      <c r="H16" s="729">
        <v>6</v>
      </c>
      <c r="I16" s="734">
        <v>14</v>
      </c>
      <c r="J16" s="730">
        <v>13</v>
      </c>
      <c r="K16" s="710">
        <v>13</v>
      </c>
      <c r="L16" s="730">
        <v>3</v>
      </c>
      <c r="M16" s="710">
        <v>19</v>
      </c>
      <c r="N16" s="729">
        <v>4</v>
      </c>
      <c r="O16" s="734">
        <v>17</v>
      </c>
      <c r="P16" s="729">
        <v>3</v>
      </c>
      <c r="Q16" s="734">
        <v>22</v>
      </c>
      <c r="R16" s="729">
        <v>1</v>
      </c>
      <c r="S16" s="734">
        <v>27</v>
      </c>
      <c r="T16" s="729">
        <v>9</v>
      </c>
      <c r="U16" s="734">
        <v>25</v>
      </c>
      <c r="V16" s="729">
        <v>4</v>
      </c>
      <c r="W16" s="734">
        <v>22</v>
      </c>
      <c r="X16" s="729">
        <v>7</v>
      </c>
      <c r="Y16" s="734">
        <v>14</v>
      </c>
      <c r="Z16" s="1647"/>
      <c r="AA16" s="1032"/>
      <c r="AB16" s="926">
        <f t="shared" si="0"/>
        <v>22</v>
      </c>
      <c r="AC16" s="928">
        <f t="shared" si="1"/>
        <v>4.8</v>
      </c>
      <c r="AE16" s="618" t="s">
        <v>29</v>
      </c>
    </row>
    <row r="17" spans="1:32" s="617" customFormat="1" ht="12" customHeight="1" x14ac:dyDescent="0.2">
      <c r="A17" s="780"/>
      <c r="B17" s="781" t="s">
        <v>295</v>
      </c>
      <c r="C17" s="664">
        <v>0</v>
      </c>
      <c r="D17" s="663">
        <v>0</v>
      </c>
      <c r="E17" s="664">
        <v>0</v>
      </c>
      <c r="F17" s="663">
        <v>0</v>
      </c>
      <c r="G17" s="664">
        <v>0</v>
      </c>
      <c r="H17" s="663">
        <v>0</v>
      </c>
      <c r="I17" s="664">
        <v>2</v>
      </c>
      <c r="J17" s="665">
        <v>0</v>
      </c>
      <c r="K17" s="662">
        <v>8</v>
      </c>
      <c r="L17" s="665">
        <v>5</v>
      </c>
      <c r="M17" s="662">
        <v>6</v>
      </c>
      <c r="N17" s="663">
        <v>1</v>
      </c>
      <c r="O17" s="664">
        <v>7</v>
      </c>
      <c r="P17" s="663">
        <v>2</v>
      </c>
      <c r="Q17" s="664">
        <v>6</v>
      </c>
      <c r="R17" s="663">
        <v>3</v>
      </c>
      <c r="S17" s="664">
        <v>8</v>
      </c>
      <c r="T17" s="663">
        <v>6</v>
      </c>
      <c r="U17" s="664">
        <v>3</v>
      </c>
      <c r="V17" s="663">
        <v>2</v>
      </c>
      <c r="W17" s="664">
        <v>3</v>
      </c>
      <c r="X17" s="663">
        <v>1</v>
      </c>
      <c r="Y17" s="664">
        <v>4</v>
      </c>
      <c r="Z17" s="1646"/>
      <c r="AB17" s="926">
        <f t="shared" si="0"/>
        <v>4.8</v>
      </c>
      <c r="AC17" s="928">
        <f t="shared" si="1"/>
        <v>2.8</v>
      </c>
    </row>
    <row r="18" spans="1:32" s="618" customFormat="1" ht="12" x14ac:dyDescent="0.2">
      <c r="B18" s="781" t="s">
        <v>106</v>
      </c>
      <c r="C18" s="734">
        <v>3</v>
      </c>
      <c r="D18" s="703"/>
      <c r="E18" s="705">
        <v>3</v>
      </c>
      <c r="F18" s="704">
        <v>2</v>
      </c>
      <c r="G18" s="710">
        <v>3</v>
      </c>
      <c r="H18" s="729">
        <v>0</v>
      </c>
      <c r="I18" s="734">
        <v>2</v>
      </c>
      <c r="J18" s="730">
        <v>1</v>
      </c>
      <c r="K18" s="710">
        <v>0</v>
      </c>
      <c r="L18" s="730">
        <v>0</v>
      </c>
      <c r="M18" s="710">
        <v>1</v>
      </c>
      <c r="N18" s="729">
        <v>1</v>
      </c>
      <c r="O18" s="734">
        <v>2</v>
      </c>
      <c r="P18" s="729">
        <v>0</v>
      </c>
      <c r="Q18" s="734">
        <v>5</v>
      </c>
      <c r="R18" s="729">
        <v>0</v>
      </c>
      <c r="S18" s="734">
        <v>3</v>
      </c>
      <c r="T18" s="729">
        <v>1</v>
      </c>
      <c r="U18" s="734">
        <v>3</v>
      </c>
      <c r="V18" s="729">
        <v>1</v>
      </c>
      <c r="W18" s="734">
        <v>3</v>
      </c>
      <c r="X18" s="729">
        <v>1</v>
      </c>
      <c r="Y18" s="734">
        <v>7</v>
      </c>
      <c r="Z18" s="1647"/>
      <c r="AA18" s="1032"/>
      <c r="AB18" s="926">
        <f t="shared" si="0"/>
        <v>4.2</v>
      </c>
      <c r="AC18" s="928">
        <f t="shared" si="1"/>
        <v>0.6</v>
      </c>
    </row>
    <row r="19" spans="1:32" s="618" customFormat="1" ht="12" x14ac:dyDescent="0.2">
      <c r="B19" s="781" t="s">
        <v>288</v>
      </c>
      <c r="C19" s="734"/>
      <c r="D19" s="703"/>
      <c r="E19" s="705"/>
      <c r="F19" s="704"/>
      <c r="G19" s="710"/>
      <c r="H19" s="729"/>
      <c r="I19" s="734"/>
      <c r="J19" s="730"/>
      <c r="K19" s="710"/>
      <c r="L19" s="730"/>
      <c r="M19" s="1908"/>
      <c r="N19" s="1909"/>
      <c r="O19" s="1910"/>
      <c r="P19" s="1909"/>
      <c r="Q19" s="1910"/>
      <c r="R19" s="1909"/>
      <c r="S19" s="1910"/>
      <c r="T19" s="1909"/>
      <c r="U19" s="1910"/>
      <c r="V19" s="1909"/>
      <c r="W19" s="734">
        <v>1</v>
      </c>
      <c r="X19" s="729">
        <v>0</v>
      </c>
      <c r="Y19" s="734">
        <v>3</v>
      </c>
      <c r="Z19" s="1647"/>
      <c r="AA19" s="1032"/>
      <c r="AB19" s="926">
        <f t="shared" ref="AB19" si="2">AVERAGE(W19,U19,Q19,S19,Y19)</f>
        <v>2</v>
      </c>
      <c r="AC19" s="928">
        <f t="shared" ref="AC19" si="3">AVERAGE(X19,V19,R19,T19,P19)</f>
        <v>0</v>
      </c>
    </row>
    <row r="20" spans="1:32" s="618" customFormat="1" ht="12" x14ac:dyDescent="0.2">
      <c r="B20" s="781" t="s">
        <v>107</v>
      </c>
      <c r="C20" s="734">
        <v>172</v>
      </c>
      <c r="D20" s="703">
        <v>41</v>
      </c>
      <c r="E20" s="705">
        <v>182</v>
      </c>
      <c r="F20" s="704">
        <v>54</v>
      </c>
      <c r="G20" s="710">
        <v>207</v>
      </c>
      <c r="H20" s="729">
        <v>48</v>
      </c>
      <c r="I20" s="734">
        <v>234</v>
      </c>
      <c r="J20" s="730">
        <v>53</v>
      </c>
      <c r="K20" s="710">
        <v>237</v>
      </c>
      <c r="L20" s="730">
        <v>58</v>
      </c>
      <c r="M20" s="710">
        <v>167</v>
      </c>
      <c r="N20" s="729">
        <v>49</v>
      </c>
      <c r="O20" s="734">
        <v>140</v>
      </c>
      <c r="P20" s="729">
        <v>47</v>
      </c>
      <c r="Q20" s="734">
        <f>155+1</f>
        <v>156</v>
      </c>
      <c r="R20" s="729">
        <v>23</v>
      </c>
      <c r="S20" s="734">
        <v>166</v>
      </c>
      <c r="T20" s="729">
        <v>45</v>
      </c>
      <c r="U20" s="734">
        <v>155</v>
      </c>
      <c r="V20" s="729">
        <v>45</v>
      </c>
      <c r="W20" s="734">
        <v>218</v>
      </c>
      <c r="X20" s="729">
        <v>57</v>
      </c>
      <c r="Y20" s="734">
        <v>186</v>
      </c>
      <c r="Z20" s="1647"/>
      <c r="AA20" s="1032"/>
      <c r="AB20" s="926">
        <f t="shared" ref="AB20:AB21" si="4">AVERAGE(W20,U20,Q20,S20,Y20)</f>
        <v>176.2</v>
      </c>
      <c r="AC20" s="928">
        <f t="shared" si="1"/>
        <v>43.4</v>
      </c>
    </row>
    <row r="21" spans="1:32" s="618" customFormat="1" thickBot="1" x14ac:dyDescent="0.25">
      <c r="B21" s="784" t="s">
        <v>167</v>
      </c>
      <c r="C21" s="714">
        <v>22</v>
      </c>
      <c r="D21" s="712">
        <v>5</v>
      </c>
      <c r="E21" s="714">
        <v>25</v>
      </c>
      <c r="F21" s="713">
        <v>4</v>
      </c>
      <c r="G21" s="715">
        <v>26</v>
      </c>
      <c r="H21" s="716">
        <v>9</v>
      </c>
      <c r="I21" s="717">
        <f>19</f>
        <v>19</v>
      </c>
      <c r="J21" s="718">
        <v>5</v>
      </c>
      <c r="K21" s="715">
        <v>14</v>
      </c>
      <c r="L21" s="718">
        <v>4</v>
      </c>
      <c r="M21" s="715">
        <v>28</v>
      </c>
      <c r="N21" s="716">
        <v>6</v>
      </c>
      <c r="O21" s="717">
        <v>37</v>
      </c>
      <c r="P21" s="716">
        <v>13</v>
      </c>
      <c r="Q21" s="717">
        <v>39</v>
      </c>
      <c r="R21" s="716">
        <v>14</v>
      </c>
      <c r="S21" s="717">
        <v>35</v>
      </c>
      <c r="T21" s="716">
        <v>13</v>
      </c>
      <c r="U21" s="717">
        <v>31</v>
      </c>
      <c r="V21" s="716">
        <v>13</v>
      </c>
      <c r="W21" s="717">
        <v>30</v>
      </c>
      <c r="X21" s="716">
        <v>12</v>
      </c>
      <c r="Y21" s="717">
        <v>29</v>
      </c>
      <c r="Z21" s="1648"/>
      <c r="AA21" s="1032"/>
      <c r="AB21" s="926">
        <f t="shared" si="4"/>
        <v>32.799999999999997</v>
      </c>
      <c r="AC21" s="1021">
        <f t="shared" si="1"/>
        <v>13</v>
      </c>
    </row>
    <row r="22" spans="1:32" thickTop="1" x14ac:dyDescent="0.2">
      <c r="B22" s="70" t="s">
        <v>182</v>
      </c>
      <c r="C22" s="33"/>
      <c r="D22" s="34"/>
      <c r="E22" s="33"/>
      <c r="F22" s="34"/>
      <c r="G22" s="133"/>
      <c r="H22" s="135"/>
      <c r="I22" s="133"/>
      <c r="J22" s="135"/>
      <c r="K22" s="133"/>
      <c r="L22" s="135"/>
      <c r="M22" s="133"/>
      <c r="N22" s="135"/>
      <c r="O22" s="133"/>
      <c r="P22" s="135"/>
      <c r="Q22" s="133"/>
      <c r="R22" s="135"/>
      <c r="S22" s="133"/>
      <c r="T22" s="135"/>
      <c r="U22" s="133"/>
      <c r="V22" s="135"/>
      <c r="W22" s="133"/>
      <c r="X22" s="135"/>
      <c r="Y22" s="133"/>
      <c r="Z22" s="135"/>
      <c r="AB22" s="578"/>
    </row>
    <row r="23" spans="1:32" thickBot="1" x14ac:dyDescent="0.25">
      <c r="C23" s="3"/>
      <c r="D23" s="3"/>
      <c r="E23" s="3"/>
      <c r="F23" s="3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</row>
    <row r="24" spans="1:32" ht="14.25" customHeight="1" thickTop="1" thickBot="1" x14ac:dyDescent="0.25">
      <c r="B24" s="340"/>
      <c r="C24" s="2013" t="s">
        <v>49</v>
      </c>
      <c r="D24" s="2014"/>
      <c r="E24" s="2015" t="s">
        <v>50</v>
      </c>
      <c r="F24" s="2015"/>
      <c r="G24" s="2002" t="s">
        <v>141</v>
      </c>
      <c r="H24" s="1982"/>
      <c r="I24" s="1974" t="s">
        <v>152</v>
      </c>
      <c r="J24" s="1974"/>
      <c r="K24" s="2002" t="s">
        <v>154</v>
      </c>
      <c r="L24" s="1974"/>
      <c r="M24" s="2002" t="s">
        <v>171</v>
      </c>
      <c r="N24" s="1982"/>
      <c r="O24" s="1974" t="s">
        <v>227</v>
      </c>
      <c r="P24" s="1982"/>
      <c r="Q24" s="1974" t="s">
        <v>237</v>
      </c>
      <c r="R24" s="1982"/>
      <c r="S24" s="1974" t="s">
        <v>272</v>
      </c>
      <c r="T24" s="1982"/>
      <c r="U24" s="1974" t="s">
        <v>274</v>
      </c>
      <c r="V24" s="1982"/>
      <c r="W24" s="1974" t="s">
        <v>280</v>
      </c>
      <c r="X24" s="1982"/>
      <c r="Y24" s="1974" t="s">
        <v>290</v>
      </c>
      <c r="Z24" s="1975"/>
      <c r="AB24" s="2003" t="s">
        <v>213</v>
      </c>
      <c r="AC24" s="2004"/>
    </row>
    <row r="25" spans="1:32" ht="12" x14ac:dyDescent="0.2">
      <c r="B25" s="73" t="s">
        <v>7</v>
      </c>
      <c r="C25" s="54"/>
      <c r="D25" s="92"/>
      <c r="E25" s="30"/>
      <c r="F25" s="30"/>
      <c r="G25" s="243"/>
      <c r="H25" s="244"/>
      <c r="I25" s="138"/>
      <c r="J25" s="138"/>
      <c r="K25" s="243"/>
      <c r="L25" s="138"/>
      <c r="M25" s="243"/>
      <c r="N25" s="244"/>
      <c r="O25" s="138"/>
      <c r="P25" s="244"/>
      <c r="Q25" s="138"/>
      <c r="R25" s="244"/>
      <c r="S25" s="138"/>
      <c r="T25" s="244"/>
      <c r="U25" s="138"/>
      <c r="V25" s="244"/>
      <c r="W25" s="138"/>
      <c r="X25" s="244"/>
      <c r="Y25" s="138"/>
      <c r="Z25" s="140"/>
      <c r="AB25" s="831"/>
      <c r="AC25" s="930"/>
    </row>
    <row r="26" spans="1:32" ht="12" x14ac:dyDescent="0.2">
      <c r="B26" s="78" t="s">
        <v>8</v>
      </c>
      <c r="C26" s="184"/>
      <c r="D26" s="93"/>
      <c r="E26" s="31"/>
      <c r="F26" s="31"/>
      <c r="G26" s="239"/>
      <c r="H26" s="245"/>
      <c r="I26" s="139"/>
      <c r="J26" s="139"/>
      <c r="K26" s="239"/>
      <c r="L26" s="139"/>
      <c r="M26" s="239"/>
      <c r="N26" s="245"/>
      <c r="O26" s="139"/>
      <c r="P26" s="245"/>
      <c r="Q26" s="139"/>
      <c r="R26" s="245"/>
      <c r="S26" s="139"/>
      <c r="T26" s="245"/>
      <c r="U26" s="139"/>
      <c r="V26" s="245"/>
      <c r="W26" s="139"/>
      <c r="X26" s="245"/>
      <c r="Y26" s="139"/>
      <c r="Z26" s="141"/>
      <c r="AB26" s="831"/>
      <c r="AC26" s="930"/>
    </row>
    <row r="27" spans="1:32" ht="12" x14ac:dyDescent="0.2">
      <c r="B27" s="78" t="s">
        <v>9</v>
      </c>
      <c r="C27" s="184"/>
      <c r="D27" s="165">
        <v>16536</v>
      </c>
      <c r="E27" s="31"/>
      <c r="F27" s="171">
        <v>16186</v>
      </c>
      <c r="G27" s="239"/>
      <c r="H27" s="261">
        <v>13925</v>
      </c>
      <c r="I27" s="139"/>
      <c r="J27" s="183">
        <v>13349</v>
      </c>
      <c r="K27" s="239"/>
      <c r="L27" s="183">
        <v>12545</v>
      </c>
      <c r="M27" s="239"/>
      <c r="N27" s="261">
        <v>11819</v>
      </c>
      <c r="O27" s="139"/>
      <c r="P27" s="261">
        <v>11385</v>
      </c>
      <c r="Q27" s="139"/>
      <c r="R27" s="261">
        <v>10912</v>
      </c>
      <c r="S27" s="139"/>
      <c r="T27" s="261">
        <v>10820</v>
      </c>
      <c r="U27" s="139"/>
      <c r="V27" s="261">
        <v>10826</v>
      </c>
      <c r="W27" s="139"/>
      <c r="X27" s="261">
        <v>10359</v>
      </c>
      <c r="Y27" s="139"/>
      <c r="Z27" s="1649"/>
      <c r="AB27" s="24"/>
      <c r="AC27" s="947">
        <f t="shared" ref="AC27:AC31" si="5">AVERAGE(X27,V27,R27,T27,P27)</f>
        <v>10860.4</v>
      </c>
    </row>
    <row r="28" spans="1:32" ht="12" x14ac:dyDescent="0.2">
      <c r="B28" s="78" t="s">
        <v>10</v>
      </c>
      <c r="C28" s="184"/>
      <c r="D28" s="165">
        <v>1960</v>
      </c>
      <c r="E28" s="31"/>
      <c r="F28" s="171">
        <v>2257</v>
      </c>
      <c r="G28" s="239"/>
      <c r="H28" s="261">
        <v>3876</v>
      </c>
      <c r="I28" s="139"/>
      <c r="J28" s="183">
        <v>3962</v>
      </c>
      <c r="K28" s="239"/>
      <c r="L28" s="183">
        <v>3646</v>
      </c>
      <c r="M28" s="239"/>
      <c r="N28" s="261">
        <v>3595</v>
      </c>
      <c r="O28" s="139"/>
      <c r="P28" s="261">
        <v>3480</v>
      </c>
      <c r="Q28" s="139"/>
      <c r="R28" s="261">
        <v>3282</v>
      </c>
      <c r="S28" s="139"/>
      <c r="T28" s="261">
        <v>3277</v>
      </c>
      <c r="U28" s="139"/>
      <c r="V28" s="261">
        <v>3118</v>
      </c>
      <c r="W28" s="139"/>
      <c r="X28" s="261">
        <v>3425</v>
      </c>
      <c r="Y28" s="139"/>
      <c r="Z28" s="1649"/>
      <c r="AB28" s="12"/>
      <c r="AC28" s="947">
        <f t="shared" si="5"/>
        <v>3316.4</v>
      </c>
    </row>
    <row r="29" spans="1:32" ht="12" x14ac:dyDescent="0.2">
      <c r="B29" s="78" t="s">
        <v>11</v>
      </c>
      <c r="C29" s="184"/>
      <c r="D29" s="165">
        <v>710</v>
      </c>
      <c r="E29" s="31"/>
      <c r="F29" s="171">
        <v>703</v>
      </c>
      <c r="G29" s="239"/>
      <c r="H29" s="261">
        <v>698</v>
      </c>
      <c r="I29" s="139"/>
      <c r="J29" s="183">
        <v>762</v>
      </c>
      <c r="K29" s="239"/>
      <c r="L29" s="183">
        <v>702</v>
      </c>
      <c r="M29" s="239"/>
      <c r="N29" s="261">
        <v>618</v>
      </c>
      <c r="O29" s="139"/>
      <c r="P29" s="261">
        <v>560</v>
      </c>
      <c r="Q29" s="139"/>
      <c r="R29" s="261">
        <v>707</v>
      </c>
      <c r="S29" s="139"/>
      <c r="T29" s="261">
        <v>643</v>
      </c>
      <c r="U29" s="139"/>
      <c r="V29" s="261">
        <v>573</v>
      </c>
      <c r="W29" s="139"/>
      <c r="X29" s="261">
        <v>569</v>
      </c>
      <c r="Y29" s="139"/>
      <c r="Z29" s="1649"/>
      <c r="AA29" s="955"/>
      <c r="AB29" s="31"/>
      <c r="AC29" s="947">
        <f t="shared" si="5"/>
        <v>610.4</v>
      </c>
    </row>
    <row r="30" spans="1:32" ht="12" x14ac:dyDescent="0.2">
      <c r="B30" s="78" t="s">
        <v>12</v>
      </c>
      <c r="C30" s="184"/>
      <c r="D30" s="94">
        <v>0</v>
      </c>
      <c r="E30" s="31"/>
      <c r="F30" s="39">
        <v>0</v>
      </c>
      <c r="G30" s="239"/>
      <c r="H30" s="240">
        <v>0</v>
      </c>
      <c r="I30" s="139"/>
      <c r="J30" s="241">
        <v>0</v>
      </c>
      <c r="K30" s="239"/>
      <c r="L30" s="241">
        <v>0</v>
      </c>
      <c r="M30" s="239"/>
      <c r="N30" s="240">
        <v>0</v>
      </c>
      <c r="O30" s="139"/>
      <c r="P30" s="240">
        <v>0</v>
      </c>
      <c r="Q30" s="139"/>
      <c r="R30" s="240">
        <v>0</v>
      </c>
      <c r="S30" s="139"/>
      <c r="T30" s="240">
        <v>0</v>
      </c>
      <c r="U30" s="139"/>
      <c r="V30" s="240">
        <v>0</v>
      </c>
      <c r="W30" s="139"/>
      <c r="X30" s="240">
        <v>0</v>
      </c>
      <c r="Y30" s="139"/>
      <c r="Z30" s="1650"/>
      <c r="AA30" s="955"/>
      <c r="AB30" s="31"/>
      <c r="AC30" s="947">
        <f t="shared" si="5"/>
        <v>0</v>
      </c>
    </row>
    <row r="31" spans="1:32" thickBot="1" x14ac:dyDescent="0.25">
      <c r="B31" s="79" t="s">
        <v>13</v>
      </c>
      <c r="C31" s="185"/>
      <c r="D31" s="186">
        <f>SUM(D27:D30)</f>
        <v>19206</v>
      </c>
      <c r="E31" s="90"/>
      <c r="F31" s="58">
        <f>SUM(F27:F30)</f>
        <v>19146</v>
      </c>
      <c r="G31" s="246"/>
      <c r="H31" s="247">
        <f>SUM(H27:H30)</f>
        <v>18499</v>
      </c>
      <c r="I31" s="164"/>
      <c r="J31" s="242">
        <f>SUM(J27:J30)</f>
        <v>18073</v>
      </c>
      <c r="K31" s="246"/>
      <c r="L31" s="242">
        <f>SUM(L27:L30)</f>
        <v>16893</v>
      </c>
      <c r="M31" s="246"/>
      <c r="N31" s="247">
        <f>SUM(N27:N30)</f>
        <v>16032</v>
      </c>
      <c r="O31" s="164"/>
      <c r="P31" s="247">
        <f>SUM(P27:P30)</f>
        <v>15425</v>
      </c>
      <c r="Q31" s="164"/>
      <c r="R31" s="247">
        <f>SUM(R27:R30)</f>
        <v>14901</v>
      </c>
      <c r="S31" s="164"/>
      <c r="T31" s="247">
        <f>SUM(T27:T30)</f>
        <v>14740</v>
      </c>
      <c r="U31" s="164"/>
      <c r="V31" s="247">
        <f>SUM(V27:V30)</f>
        <v>14517</v>
      </c>
      <c r="W31" s="164"/>
      <c r="X31" s="247">
        <f>SUM(X27:X30)</f>
        <v>14353</v>
      </c>
      <c r="Y31" s="164"/>
      <c r="Z31" s="1651"/>
      <c r="AA31" s="955"/>
      <c r="AB31" s="182"/>
      <c r="AC31" s="1008">
        <f t="shared" si="5"/>
        <v>14787.2</v>
      </c>
    </row>
    <row r="32" spans="1:32" customFormat="1" ht="12" customHeight="1" thickTop="1" thickBot="1" x14ac:dyDescent="0.25">
      <c r="A32" s="930"/>
      <c r="B32" s="931" t="s">
        <v>212</v>
      </c>
      <c r="C32" s="1992" t="s">
        <v>51</v>
      </c>
      <c r="D32" s="1997"/>
      <c r="E32" s="1992" t="s">
        <v>52</v>
      </c>
      <c r="F32" s="1997"/>
      <c r="G32" s="1989" t="s">
        <v>184</v>
      </c>
      <c r="H32" s="1981"/>
      <c r="I32" s="1989" t="s">
        <v>185</v>
      </c>
      <c r="J32" s="2005"/>
      <c r="K32" s="1989" t="s">
        <v>202</v>
      </c>
      <c r="L32" s="2005"/>
      <c r="M32" s="1991" t="s">
        <v>203</v>
      </c>
      <c r="N32" s="1981"/>
      <c r="O32" s="1970" t="s">
        <v>228</v>
      </c>
      <c r="P32" s="1981"/>
      <c r="Q32" s="1970" t="s">
        <v>238</v>
      </c>
      <c r="R32" s="1981"/>
      <c r="S32" s="1970" t="s">
        <v>273</v>
      </c>
      <c r="T32" s="1981"/>
      <c r="U32" s="1970" t="s">
        <v>275</v>
      </c>
      <c r="V32" s="1981"/>
      <c r="W32" s="1970" t="s">
        <v>281</v>
      </c>
      <c r="X32" s="1981"/>
      <c r="Y32" s="1970" t="s">
        <v>291</v>
      </c>
      <c r="Z32" s="1971"/>
      <c r="AA32" s="932"/>
      <c r="AB32" s="2009"/>
      <c r="AC32" s="2010"/>
      <c r="AD32" s="293"/>
      <c r="AE32" s="293"/>
      <c r="AF32" s="21"/>
    </row>
    <row r="33" spans="1:32" customFormat="1" ht="12" customHeight="1" x14ac:dyDescent="0.2">
      <c r="A33" s="930"/>
      <c r="B33" s="933" t="s">
        <v>189</v>
      </c>
      <c r="C33" s="2016">
        <v>4.3999999999999997E-2</v>
      </c>
      <c r="D33" s="2017"/>
      <c r="E33" s="1995">
        <v>4.5999999999999999E-2</v>
      </c>
      <c r="F33" s="1996"/>
      <c r="G33" s="1995">
        <v>5.1999999999999998E-2</v>
      </c>
      <c r="H33" s="1996"/>
      <c r="I33" s="1995">
        <v>4.7E-2</v>
      </c>
      <c r="J33" s="2006"/>
      <c r="K33" s="934"/>
      <c r="L33" s="935">
        <v>3.5999999999999997E-2</v>
      </c>
      <c r="M33" s="936"/>
      <c r="N33" s="1178">
        <v>4.1000000000000002E-2</v>
      </c>
      <c r="O33" s="1176"/>
      <c r="P33" s="1178">
        <v>4.5999999999999999E-2</v>
      </c>
      <c r="Q33" s="1271"/>
      <c r="R33" s="1178">
        <v>4.3999999999999997E-2</v>
      </c>
      <c r="S33" s="1271"/>
      <c r="T33" s="1178">
        <v>3.3000000000000002E-2</v>
      </c>
      <c r="U33" s="1271"/>
      <c r="V33" s="1178">
        <v>3.5999999999999997E-2</v>
      </c>
      <c r="W33" s="1271"/>
      <c r="X33" s="1178">
        <v>0.04</v>
      </c>
      <c r="Y33" s="1271"/>
      <c r="Z33" s="1479">
        <v>3.3000000000000002E-2</v>
      </c>
      <c r="AA33" s="937"/>
      <c r="AB33" s="938"/>
      <c r="AC33" s="1048">
        <v>3.7999999999999999E-2</v>
      </c>
      <c r="AD33" s="293"/>
      <c r="AE33" s="293"/>
      <c r="AF33" s="21"/>
    </row>
    <row r="34" spans="1:32" customFormat="1" ht="12" customHeight="1" x14ac:dyDescent="0.2">
      <c r="A34" s="930"/>
      <c r="B34" s="940" t="s">
        <v>190</v>
      </c>
      <c r="C34" s="2018">
        <v>1.2999999999999999E-2</v>
      </c>
      <c r="D34" s="2019"/>
      <c r="E34" s="2000">
        <v>1.4E-2</v>
      </c>
      <c r="F34" s="2001"/>
      <c r="G34" s="2000">
        <v>1.6E-2</v>
      </c>
      <c r="H34" s="2001"/>
      <c r="I34" s="2000">
        <v>0.01</v>
      </c>
      <c r="J34" s="2011"/>
      <c r="K34" s="941"/>
      <c r="L34" s="942">
        <v>8.0000000000000002E-3</v>
      </c>
      <c r="M34" s="941"/>
      <c r="N34" s="1179">
        <v>0.01</v>
      </c>
      <c r="O34" s="1177"/>
      <c r="P34" s="1179">
        <v>2.1000000000000001E-2</v>
      </c>
      <c r="Q34" s="1272"/>
      <c r="R34" s="1179">
        <v>2.5000000000000001E-2</v>
      </c>
      <c r="S34" s="1272"/>
      <c r="T34" s="1179">
        <v>2.5999999999999999E-2</v>
      </c>
      <c r="U34" s="1272"/>
      <c r="V34" s="1179">
        <v>2.1000000000000001E-2</v>
      </c>
      <c r="W34" s="1272"/>
      <c r="X34" s="1179">
        <v>0.02</v>
      </c>
      <c r="Y34" s="1272"/>
      <c r="Z34" s="1480">
        <v>0.02</v>
      </c>
      <c r="AA34" s="937"/>
      <c r="AB34" s="938"/>
      <c r="AC34" s="1048">
        <f t="shared" ref="AC34" si="6">AVERAGE(X34,V34,R34,T34,Z34)</f>
        <v>2.24E-2</v>
      </c>
      <c r="AD34" s="293"/>
      <c r="AE34" s="293"/>
      <c r="AF34" s="21"/>
    </row>
    <row r="35" spans="1:32" customFormat="1" ht="12.75" customHeight="1" thickBot="1" x14ac:dyDescent="0.25">
      <c r="A35" s="3"/>
      <c r="B35" s="943" t="s">
        <v>191</v>
      </c>
      <c r="C35" s="1998">
        <f>1-C33-C34</f>
        <v>0.94299999999999995</v>
      </c>
      <c r="D35" s="1999"/>
      <c r="E35" s="1998">
        <f>1-E33-E34</f>
        <v>0.94</v>
      </c>
      <c r="F35" s="1999"/>
      <c r="G35" s="1998">
        <f>1-G33-G34</f>
        <v>0.93199999999999994</v>
      </c>
      <c r="H35" s="1999"/>
      <c r="I35" s="1998">
        <f>1-I33-I34</f>
        <v>0.94299999999999995</v>
      </c>
      <c r="J35" s="1999"/>
      <c r="K35" s="1998">
        <f>1-L33-L34</f>
        <v>0.95599999999999996</v>
      </c>
      <c r="L35" s="1999"/>
      <c r="M35" s="1998">
        <f>1-N33-N34</f>
        <v>0.94899999999999995</v>
      </c>
      <c r="N35" s="1999"/>
      <c r="O35" s="1998">
        <f>1-P33-P34</f>
        <v>0.93299999999999994</v>
      </c>
      <c r="P35" s="1999"/>
      <c r="Q35" s="1972">
        <f>1-R33-R34</f>
        <v>0.93099999999999994</v>
      </c>
      <c r="R35" s="1973"/>
      <c r="S35" s="1972">
        <f>1-T33-T34</f>
        <v>0.94099999999999995</v>
      </c>
      <c r="T35" s="1973"/>
      <c r="U35" s="1972">
        <f>1-V33-V34</f>
        <v>0.94299999999999995</v>
      </c>
      <c r="V35" s="1973"/>
      <c r="W35" s="1972">
        <f>1-X33-X34</f>
        <v>0.94</v>
      </c>
      <c r="X35" s="1973"/>
      <c r="Y35" s="1972">
        <f>1-Z33-Z34</f>
        <v>0.94699999999999995</v>
      </c>
      <c r="Z35" s="1973"/>
      <c r="AA35" s="937"/>
      <c r="AB35" s="2007">
        <f>1-AC33-AC34</f>
        <v>0.93959999999999999</v>
      </c>
      <c r="AC35" s="2008"/>
      <c r="AD35" s="1050"/>
      <c r="AE35" s="293"/>
      <c r="AF35" s="21"/>
    </row>
    <row r="36" spans="1:32" thickTop="1" x14ac:dyDescent="0.2">
      <c r="B36" s="109"/>
      <c r="C36" s="110"/>
      <c r="D36" s="111"/>
      <c r="E36" s="110"/>
      <c r="F36" s="111"/>
      <c r="G36" s="146"/>
      <c r="H36" s="147"/>
      <c r="I36" s="146"/>
      <c r="J36" s="147"/>
      <c r="K36" s="146"/>
      <c r="L36" s="147"/>
      <c r="M36" s="146"/>
      <c r="N36" s="147"/>
      <c r="O36" s="146"/>
      <c r="P36" s="147"/>
      <c r="Q36" s="146"/>
      <c r="R36" s="147"/>
      <c r="S36" s="146"/>
      <c r="T36" s="147"/>
      <c r="U36" s="146"/>
      <c r="V36" s="147"/>
      <c r="W36" s="146"/>
      <c r="X36" s="147"/>
      <c r="Y36" s="146"/>
      <c r="Z36" s="147"/>
    </row>
    <row r="37" spans="1:32" x14ac:dyDescent="0.2">
      <c r="A37" s="112" t="s">
        <v>68</v>
      </c>
      <c r="B37" s="96"/>
      <c r="C37" s="28"/>
      <c r="D37" s="28"/>
      <c r="E37" s="28" t="s">
        <v>29</v>
      </c>
      <c r="F37" s="28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</row>
    <row r="38" spans="1:32" ht="13.5" thickBot="1" x14ac:dyDescent="0.25">
      <c r="A38" s="112"/>
      <c r="B38" s="96"/>
      <c r="C38" s="28"/>
      <c r="D38" s="28"/>
      <c r="E38" s="28"/>
      <c r="F38" s="28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</row>
    <row r="39" spans="1:32" ht="14.25" thickTop="1" thickBot="1" x14ac:dyDescent="0.25">
      <c r="A39" s="2"/>
      <c r="B39" s="329" t="s">
        <v>69</v>
      </c>
      <c r="C39" s="2013" t="s">
        <v>49</v>
      </c>
      <c r="D39" s="2014"/>
      <c r="E39" s="2015" t="s">
        <v>50</v>
      </c>
      <c r="F39" s="2015"/>
      <c r="G39" s="2002" t="s">
        <v>141</v>
      </c>
      <c r="H39" s="1982"/>
      <c r="I39" s="1974" t="s">
        <v>152</v>
      </c>
      <c r="J39" s="1974"/>
      <c r="K39" s="2002" t="s">
        <v>154</v>
      </c>
      <c r="L39" s="1974"/>
      <c r="M39" s="2002" t="s">
        <v>171</v>
      </c>
      <c r="N39" s="1982"/>
      <c r="O39" s="1974" t="s">
        <v>227</v>
      </c>
      <c r="P39" s="1982"/>
      <c r="Q39" s="1974" t="s">
        <v>237</v>
      </c>
      <c r="R39" s="1982"/>
      <c r="S39" s="1974" t="s">
        <v>272</v>
      </c>
      <c r="T39" s="1982"/>
      <c r="U39" s="1974" t="s">
        <v>274</v>
      </c>
      <c r="V39" s="1982"/>
      <c r="W39" s="1974" t="s">
        <v>280</v>
      </c>
      <c r="X39" s="1982"/>
      <c r="Y39" s="1974" t="s">
        <v>290</v>
      </c>
      <c r="Z39" s="1975"/>
      <c r="AA39" s="955"/>
      <c r="AB39" s="2015" t="s">
        <v>213</v>
      </c>
      <c r="AC39" s="2004"/>
    </row>
    <row r="40" spans="1:32" x14ac:dyDescent="0.2">
      <c r="A40" s="2"/>
      <c r="B40" s="330" t="s">
        <v>70</v>
      </c>
      <c r="C40" s="184"/>
      <c r="D40" s="93"/>
      <c r="E40" s="31"/>
      <c r="F40" s="31"/>
      <c r="G40" s="239"/>
      <c r="H40" s="245"/>
      <c r="I40" s="139"/>
      <c r="J40" s="139"/>
      <c r="K40" s="239"/>
      <c r="L40" s="139"/>
      <c r="M40" s="239"/>
      <c r="N40" s="245"/>
      <c r="O40" s="139"/>
      <c r="P40" s="245"/>
      <c r="Q40" s="139"/>
      <c r="R40" s="245"/>
      <c r="S40" s="139"/>
      <c r="T40" s="245"/>
      <c r="U40" s="139"/>
      <c r="V40" s="245"/>
      <c r="W40" s="139"/>
      <c r="X40" s="245"/>
      <c r="Y40" s="139"/>
      <c r="Z40" s="141"/>
      <c r="AA40" s="955"/>
      <c r="AB40" s="28"/>
      <c r="AC40" s="930"/>
    </row>
    <row r="41" spans="1:32" x14ac:dyDescent="0.2">
      <c r="A41" s="2"/>
      <c r="B41" s="331" t="s">
        <v>71</v>
      </c>
      <c r="C41" s="54"/>
      <c r="D41" s="188">
        <v>1078030</v>
      </c>
      <c r="E41" s="30"/>
      <c r="F41" s="205">
        <v>1195128</v>
      </c>
      <c r="G41" s="243"/>
      <c r="H41" s="416">
        <v>1253038</v>
      </c>
      <c r="I41" s="138"/>
      <c r="J41" s="451">
        <v>1342444</v>
      </c>
      <c r="K41" s="243"/>
      <c r="L41" s="451">
        <v>1423625</v>
      </c>
      <c r="M41" s="243"/>
      <c r="N41" s="416">
        <v>1397921</v>
      </c>
      <c r="O41" s="138"/>
      <c r="P41" s="416">
        <v>1340194</v>
      </c>
      <c r="Q41" s="138"/>
      <c r="R41" s="416">
        <v>1434469</v>
      </c>
      <c r="S41" s="138"/>
      <c r="T41" s="416">
        <v>1416848</v>
      </c>
      <c r="U41" s="138"/>
      <c r="V41" s="416">
        <v>1457248</v>
      </c>
      <c r="W41" s="138"/>
      <c r="X41" s="416">
        <v>1586158</v>
      </c>
      <c r="Y41" s="138"/>
      <c r="Z41" s="294">
        <v>1653256</v>
      </c>
      <c r="AA41" s="955"/>
      <c r="AB41" s="30"/>
      <c r="AC41" s="947">
        <f t="shared" ref="AC41:AC44" si="7">AVERAGE(X41,V41,R41,T41,Z41)</f>
        <v>1509595.8</v>
      </c>
    </row>
    <row r="42" spans="1:32" x14ac:dyDescent="0.2">
      <c r="A42" s="2"/>
      <c r="B42" s="331" t="s">
        <v>247</v>
      </c>
      <c r="C42" s="54"/>
      <c r="D42" s="188"/>
      <c r="E42" s="30"/>
      <c r="F42" s="205"/>
      <c r="G42" s="243"/>
      <c r="H42" s="1439"/>
      <c r="I42" s="138"/>
      <c r="J42" s="451">
        <v>6000</v>
      </c>
      <c r="K42" s="243"/>
      <c r="L42" s="451">
        <v>6000</v>
      </c>
      <c r="M42" s="243"/>
      <c r="N42" s="416">
        <v>6000</v>
      </c>
      <c r="O42" s="138"/>
      <c r="P42" s="416">
        <v>6000</v>
      </c>
      <c r="Q42" s="138"/>
      <c r="R42" s="416">
        <v>6000</v>
      </c>
      <c r="S42" s="138"/>
      <c r="T42" s="416">
        <v>6000</v>
      </c>
      <c r="U42" s="138"/>
      <c r="V42" s="416">
        <v>6000</v>
      </c>
      <c r="W42" s="138"/>
      <c r="X42" s="416">
        <v>6000</v>
      </c>
      <c r="Y42" s="138"/>
      <c r="Z42" s="294">
        <v>6000</v>
      </c>
      <c r="AA42" s="955"/>
      <c r="AB42" s="30"/>
      <c r="AC42" s="947">
        <f t="shared" si="7"/>
        <v>6000</v>
      </c>
    </row>
    <row r="43" spans="1:32" ht="36" x14ac:dyDescent="0.2">
      <c r="A43" s="2"/>
      <c r="B43" s="332" t="s">
        <v>248</v>
      </c>
      <c r="C43" s="184"/>
      <c r="D43" s="189">
        <v>6000</v>
      </c>
      <c r="E43" s="31"/>
      <c r="F43" s="206">
        <v>6000</v>
      </c>
      <c r="G43" s="239"/>
      <c r="H43" s="369">
        <v>6000</v>
      </c>
      <c r="I43" s="139"/>
      <c r="J43" s="347"/>
      <c r="K43" s="239"/>
      <c r="L43" s="347"/>
      <c r="M43" s="239"/>
      <c r="N43" s="369">
        <v>75611</v>
      </c>
      <c r="O43" s="139"/>
      <c r="P43" s="369">
        <v>168322</v>
      </c>
      <c r="Q43" s="139"/>
      <c r="R43" s="369">
        <v>102237</v>
      </c>
      <c r="S43" s="139"/>
      <c r="T43" s="369">
        <v>100488</v>
      </c>
      <c r="U43" s="139"/>
      <c r="V43" s="369">
        <v>103311</v>
      </c>
      <c r="W43" s="139"/>
      <c r="X43" s="369">
        <v>131181</v>
      </c>
      <c r="Y43" s="139"/>
      <c r="Z43" s="282">
        <v>108878</v>
      </c>
      <c r="AA43" s="955"/>
      <c r="AB43" s="31"/>
      <c r="AC43" s="947">
        <f t="shared" si="7"/>
        <v>109219</v>
      </c>
    </row>
    <row r="44" spans="1:32" x14ac:dyDescent="0.2">
      <c r="A44" s="2"/>
      <c r="B44" s="333" t="s">
        <v>72</v>
      </c>
      <c r="C44" s="187"/>
      <c r="D44" s="190">
        <f>SUM(D41:D43)</f>
        <v>1084030</v>
      </c>
      <c r="E44" s="90"/>
      <c r="F44" s="207">
        <f>SUM(F41:F43)</f>
        <v>1201128</v>
      </c>
      <c r="G44" s="262"/>
      <c r="H44" s="263">
        <f>SUM(H41:H43)</f>
        <v>1259038</v>
      </c>
      <c r="I44" s="250"/>
      <c r="J44" s="249">
        <f>SUM(J41:J43)</f>
        <v>1348444</v>
      </c>
      <c r="K44" s="262"/>
      <c r="L44" s="249">
        <f>SUM(L41:L43)</f>
        <v>1429625</v>
      </c>
      <c r="M44" s="262"/>
      <c r="N44" s="263">
        <f>SUM(N41:N43)</f>
        <v>1479532</v>
      </c>
      <c r="O44" s="250"/>
      <c r="P44" s="263">
        <f>SUM(P41:P43)</f>
        <v>1514516</v>
      </c>
      <c r="Q44" s="250"/>
      <c r="R44" s="263">
        <f>SUM(R41:R43)</f>
        <v>1542706</v>
      </c>
      <c r="S44" s="250"/>
      <c r="T44" s="263">
        <f>SUM(T41:T43)</f>
        <v>1523336</v>
      </c>
      <c r="U44" s="250"/>
      <c r="V44" s="263">
        <f>SUM(V41:V43)</f>
        <v>1566559</v>
      </c>
      <c r="W44" s="250"/>
      <c r="X44" s="263">
        <f>SUM(X41:X43)</f>
        <v>1723339</v>
      </c>
      <c r="Y44" s="250"/>
      <c r="Z44" s="149">
        <f>SUM(Z41:Z43)</f>
        <v>1768134</v>
      </c>
      <c r="AA44" s="955"/>
      <c r="AB44" s="31"/>
      <c r="AC44" s="1008">
        <f t="shared" si="7"/>
        <v>1624814.8</v>
      </c>
    </row>
    <row r="45" spans="1:32" x14ac:dyDescent="0.2">
      <c r="A45" s="2"/>
      <c r="B45" s="330" t="s">
        <v>73</v>
      </c>
      <c r="C45" s="184"/>
      <c r="D45" s="189"/>
      <c r="E45" s="31"/>
      <c r="F45" s="206"/>
      <c r="G45" s="239"/>
      <c r="H45" s="369"/>
      <c r="I45" s="139"/>
      <c r="J45" s="347"/>
      <c r="K45" s="239"/>
      <c r="L45" s="347"/>
      <c r="M45" s="239"/>
      <c r="N45" s="369"/>
      <c r="O45" s="139"/>
      <c r="P45" s="369"/>
      <c r="Q45" s="139"/>
      <c r="R45" s="369"/>
      <c r="S45" s="139"/>
      <c r="T45" s="369"/>
      <c r="U45" s="139"/>
      <c r="V45" s="369"/>
      <c r="W45" s="139"/>
      <c r="X45" s="369"/>
      <c r="Y45" s="139"/>
      <c r="Z45" s="282"/>
      <c r="AA45" s="955"/>
      <c r="AB45" s="31"/>
      <c r="AC45" s="947"/>
    </row>
    <row r="46" spans="1:32" x14ac:dyDescent="0.2">
      <c r="A46" s="2"/>
      <c r="B46" s="331" t="s">
        <v>71</v>
      </c>
      <c r="C46" s="184"/>
      <c r="D46" s="189"/>
      <c r="E46" s="31"/>
      <c r="F46" s="206"/>
      <c r="G46" s="239"/>
      <c r="H46" s="369"/>
      <c r="I46" s="139"/>
      <c r="J46" s="347"/>
      <c r="K46" s="239"/>
      <c r="L46" s="347"/>
      <c r="M46" s="239"/>
      <c r="N46" s="369"/>
      <c r="O46" s="139"/>
      <c r="P46" s="369"/>
      <c r="Q46" s="139"/>
      <c r="R46" s="369"/>
      <c r="S46" s="139"/>
      <c r="T46" s="369"/>
      <c r="U46" s="139"/>
      <c r="V46" s="369"/>
      <c r="W46" s="139"/>
      <c r="X46" s="369"/>
      <c r="Y46" s="139"/>
      <c r="Z46" s="282"/>
      <c r="AA46" s="955"/>
      <c r="AB46" s="31"/>
      <c r="AC46" s="947"/>
    </row>
    <row r="47" spans="1:32" x14ac:dyDescent="0.2">
      <c r="A47" s="2"/>
      <c r="B47" s="331" t="s">
        <v>247</v>
      </c>
      <c r="C47" s="184"/>
      <c r="D47" s="189"/>
      <c r="E47" s="31"/>
      <c r="F47" s="206"/>
      <c r="G47" s="239"/>
      <c r="H47" s="369"/>
      <c r="I47" s="139"/>
      <c r="J47" s="347"/>
      <c r="K47" s="239"/>
      <c r="L47" s="347"/>
      <c r="M47" s="239"/>
      <c r="N47" s="369"/>
      <c r="O47" s="139"/>
      <c r="P47" s="369"/>
      <c r="Q47" s="139"/>
      <c r="R47" s="369"/>
      <c r="S47" s="139"/>
      <c r="T47" s="369"/>
      <c r="U47" s="139"/>
      <c r="V47" s="369"/>
      <c r="W47" s="139"/>
      <c r="X47" s="369"/>
      <c r="Y47" s="139"/>
      <c r="Z47" s="282"/>
      <c r="AA47" s="955"/>
      <c r="AB47" s="31"/>
      <c r="AC47" s="947"/>
    </row>
    <row r="48" spans="1:32" ht="36" x14ac:dyDescent="0.2">
      <c r="A48" s="2"/>
      <c r="B48" s="332" t="s">
        <v>248</v>
      </c>
      <c r="C48" s="184"/>
      <c r="D48" s="189"/>
      <c r="E48" s="31"/>
      <c r="F48" s="206"/>
      <c r="G48" s="239"/>
      <c r="H48" s="369"/>
      <c r="I48" s="139"/>
      <c r="J48" s="347"/>
      <c r="K48" s="239"/>
      <c r="L48" s="347"/>
      <c r="M48" s="239"/>
      <c r="N48" s="369"/>
      <c r="O48" s="139"/>
      <c r="P48" s="369"/>
      <c r="Q48" s="139"/>
      <c r="R48" s="369"/>
      <c r="S48" s="139"/>
      <c r="T48" s="369"/>
      <c r="U48" s="139"/>
      <c r="V48" s="369"/>
      <c r="W48" s="139"/>
      <c r="X48" s="369"/>
      <c r="Y48" s="139"/>
      <c r="Z48" s="282"/>
      <c r="AA48" s="955"/>
      <c r="AB48" s="31"/>
      <c r="AC48" s="947"/>
    </row>
    <row r="49" spans="1:29" x14ac:dyDescent="0.2">
      <c r="A49" s="2"/>
      <c r="B49" s="851" t="s">
        <v>74</v>
      </c>
      <c r="C49" s="262"/>
      <c r="D49" s="263">
        <f>SUM(D46:D48)</f>
        <v>0</v>
      </c>
      <c r="E49" s="250"/>
      <c r="F49" s="207">
        <f>SUM(F46:F48)</f>
        <v>0</v>
      </c>
      <c r="G49" s="262"/>
      <c r="H49" s="263">
        <f>SUM(H46:H48)</f>
        <v>0</v>
      </c>
      <c r="I49" s="250"/>
      <c r="J49" s="249">
        <f>SUM(J46:J48)</f>
        <v>0</v>
      </c>
      <c r="K49" s="262"/>
      <c r="L49" s="249">
        <f>SUM(L46:L48)</f>
        <v>0</v>
      </c>
      <c r="M49" s="262"/>
      <c r="N49" s="263">
        <f>SUM(N46:N48)</f>
        <v>0</v>
      </c>
      <c r="O49" s="250"/>
      <c r="P49" s="263">
        <f>SUM(P46:P48)</f>
        <v>0</v>
      </c>
      <c r="Q49" s="250"/>
      <c r="R49" s="263">
        <f>SUM(R46:R48)</f>
        <v>0</v>
      </c>
      <c r="S49" s="250"/>
      <c r="T49" s="263">
        <f>SUM(T46:T48)</f>
        <v>0</v>
      </c>
      <c r="U49" s="250"/>
      <c r="V49" s="263">
        <f>SUM(V46:V48)</f>
        <v>0</v>
      </c>
      <c r="W49" s="250"/>
      <c r="X49" s="263">
        <f>SUM(X46:X48)</f>
        <v>0</v>
      </c>
      <c r="Y49" s="250"/>
      <c r="Z49" s="149">
        <f>SUM(Z46:Z48)</f>
        <v>0</v>
      </c>
      <c r="AA49" s="955"/>
      <c r="AB49" s="31"/>
      <c r="AC49" s="1008">
        <f t="shared" ref="AC49:AC50" si="8">AVERAGE(X49,V49,R49,T49,Z49)</f>
        <v>0</v>
      </c>
    </row>
    <row r="50" spans="1:29" ht="13.5" thickBot="1" x14ac:dyDescent="0.25">
      <c r="A50" s="2"/>
      <c r="B50" s="1328" t="s">
        <v>75</v>
      </c>
      <c r="C50" s="239"/>
      <c r="D50" s="263">
        <f>SUM(D44,D49)</f>
        <v>1084030</v>
      </c>
      <c r="E50" s="139"/>
      <c r="F50" s="207">
        <f>SUM(F44,F49)</f>
        <v>1201128</v>
      </c>
      <c r="G50" s="239"/>
      <c r="H50" s="263">
        <f>SUM(H44,H49)</f>
        <v>1259038</v>
      </c>
      <c r="I50" s="139"/>
      <c r="J50" s="249">
        <f>SUM(J44,J49)</f>
        <v>1348444</v>
      </c>
      <c r="K50" s="239"/>
      <c r="L50" s="249">
        <f>SUM(L44,L49)</f>
        <v>1429625</v>
      </c>
      <c r="M50" s="239"/>
      <c r="N50" s="263">
        <f>SUM(N44,N49)</f>
        <v>1479532</v>
      </c>
      <c r="O50" s="139"/>
      <c r="P50" s="263">
        <f>SUM(P44,P49)</f>
        <v>1514516</v>
      </c>
      <c r="Q50" s="139"/>
      <c r="R50" s="263">
        <f>SUM(R44,R49)</f>
        <v>1542706</v>
      </c>
      <c r="S50" s="139"/>
      <c r="T50" s="263">
        <f>SUM(T44,T49)</f>
        <v>1523336</v>
      </c>
      <c r="U50" s="139"/>
      <c r="V50" s="263">
        <f>SUM(V44,V49)</f>
        <v>1566559</v>
      </c>
      <c r="W50" s="139"/>
      <c r="X50" s="263">
        <f>SUM(X44,X49)</f>
        <v>1723339</v>
      </c>
      <c r="Y50" s="139"/>
      <c r="Z50" s="149">
        <f>SUM(Z44,Z49)</f>
        <v>1768134</v>
      </c>
      <c r="AA50" s="955"/>
      <c r="AB50" s="327"/>
      <c r="AC50" s="1008">
        <f t="shared" si="8"/>
        <v>1624814.8</v>
      </c>
    </row>
    <row r="51" spans="1:29" ht="12" x14ac:dyDescent="0.2">
      <c r="B51" s="586" t="s">
        <v>259</v>
      </c>
      <c r="C51" s="265"/>
      <c r="D51" s="248"/>
      <c r="E51" s="151"/>
      <c r="F51" s="36"/>
      <c r="G51" s="265"/>
      <c r="H51" s="248"/>
      <c r="I51" s="151"/>
      <c r="J51" s="151"/>
      <c r="K51" s="265"/>
      <c r="L51" s="151"/>
      <c r="M51" s="265"/>
      <c r="N51" s="248"/>
      <c r="O51" s="151"/>
      <c r="P51" s="248"/>
      <c r="Q51" s="151"/>
      <c r="R51" s="248"/>
      <c r="S51" s="151"/>
      <c r="T51" s="248"/>
      <c r="U51" s="151"/>
      <c r="V51" s="248"/>
      <c r="W51" s="151"/>
      <c r="X51" s="248"/>
      <c r="Y51" s="151"/>
      <c r="Z51" s="152"/>
      <c r="AA51" s="955"/>
      <c r="AB51" s="28"/>
      <c r="AC51" s="978"/>
    </row>
    <row r="52" spans="1:29" ht="12" x14ac:dyDescent="0.2">
      <c r="B52" s="161" t="s">
        <v>14</v>
      </c>
      <c r="C52" s="266"/>
      <c r="D52" s="460">
        <f>336964+1322971</f>
        <v>1659935</v>
      </c>
      <c r="E52" s="153"/>
      <c r="F52" s="458">
        <v>1904583</v>
      </c>
      <c r="G52" s="432"/>
      <c r="H52" s="433">
        <v>2076218.5</v>
      </c>
      <c r="I52" s="463"/>
      <c r="J52" s="458">
        <v>2116259.33</v>
      </c>
      <c r="K52" s="432"/>
      <c r="L52" s="826">
        <f>82336+2226927+8567</f>
        <v>2317830</v>
      </c>
      <c r="M52" s="432"/>
      <c r="N52" s="510">
        <v>2199358</v>
      </c>
      <c r="O52" s="463"/>
      <c r="P52" s="510">
        <v>2203196</v>
      </c>
      <c r="Q52" s="525"/>
      <c r="R52" s="510">
        <v>2192152</v>
      </c>
      <c r="S52" s="252"/>
      <c r="T52" s="510">
        <v>2265140</v>
      </c>
      <c r="U52" s="252"/>
      <c r="V52" s="510">
        <v>2361224</v>
      </c>
      <c r="W52" s="252"/>
      <c r="X52" s="510">
        <v>2425784.1800000002</v>
      </c>
      <c r="Y52" s="252"/>
      <c r="Z52" s="1584"/>
      <c r="AA52" s="955"/>
      <c r="AB52" s="30"/>
      <c r="AC52" s="949">
        <f>AVERAGE(X52,V52,R52,T52,P52)</f>
        <v>2289499.236</v>
      </c>
    </row>
    <row r="53" spans="1:29" thickBot="1" x14ac:dyDescent="0.25">
      <c r="B53" s="1265" t="s">
        <v>15</v>
      </c>
      <c r="C53" s="268"/>
      <c r="D53" s="467">
        <v>0</v>
      </c>
      <c r="E53" s="154"/>
      <c r="F53" s="467">
        <v>0</v>
      </c>
      <c r="G53" s="268"/>
      <c r="H53" s="467">
        <v>0</v>
      </c>
      <c r="I53" s="237"/>
      <c r="J53" s="467">
        <v>0</v>
      </c>
      <c r="K53" s="596"/>
      <c r="L53" s="516">
        <v>0</v>
      </c>
      <c r="M53" s="596"/>
      <c r="N53" s="509">
        <v>0</v>
      </c>
      <c r="O53" s="237"/>
      <c r="P53" s="509">
        <v>0</v>
      </c>
      <c r="Q53" s="1481"/>
      <c r="R53" s="509">
        <v>0</v>
      </c>
      <c r="S53" s="253"/>
      <c r="T53" s="509">
        <v>0</v>
      </c>
      <c r="U53" s="253"/>
      <c r="V53" s="509">
        <v>0</v>
      </c>
      <c r="W53" s="253"/>
      <c r="X53" s="509">
        <v>0</v>
      </c>
      <c r="Y53" s="253"/>
      <c r="Z53" s="1580"/>
      <c r="AA53" s="955"/>
      <c r="AB53" s="113"/>
      <c r="AC53" s="949">
        <f>AVERAGE(X53,V53,R53,T53,P53)</f>
        <v>0</v>
      </c>
    </row>
    <row r="54" spans="1:29" ht="12" x14ac:dyDescent="0.2">
      <c r="B54" s="1553"/>
      <c r="C54" s="308" t="s">
        <v>133</v>
      </c>
      <c r="D54" s="417" t="s">
        <v>139</v>
      </c>
      <c r="E54" s="414" t="s">
        <v>133</v>
      </c>
      <c r="F54" s="84" t="s">
        <v>139</v>
      </c>
      <c r="G54" s="308" t="s">
        <v>133</v>
      </c>
      <c r="H54" s="417" t="s">
        <v>139</v>
      </c>
      <c r="I54" s="414" t="s">
        <v>133</v>
      </c>
      <c r="J54" s="352" t="s">
        <v>139</v>
      </c>
      <c r="K54" s="308" t="s">
        <v>133</v>
      </c>
      <c r="L54" s="352" t="s">
        <v>139</v>
      </c>
      <c r="M54" s="308" t="s">
        <v>133</v>
      </c>
      <c r="N54" s="417" t="s">
        <v>139</v>
      </c>
      <c r="O54" s="414" t="s">
        <v>133</v>
      </c>
      <c r="P54" s="417" t="s">
        <v>139</v>
      </c>
      <c r="Q54" s="414" t="s">
        <v>133</v>
      </c>
      <c r="R54" s="417" t="s">
        <v>139</v>
      </c>
      <c r="S54" s="414" t="s">
        <v>133</v>
      </c>
      <c r="T54" s="417" t="s">
        <v>139</v>
      </c>
      <c r="U54" s="414" t="s">
        <v>133</v>
      </c>
      <c r="V54" s="417" t="s">
        <v>139</v>
      </c>
      <c r="W54" s="414" t="s">
        <v>133</v>
      </c>
      <c r="X54" s="417" t="s">
        <v>139</v>
      </c>
      <c r="Y54" s="414" t="s">
        <v>133</v>
      </c>
      <c r="Z54" s="295" t="s">
        <v>139</v>
      </c>
      <c r="AA54" s="955"/>
      <c r="AB54" s="323" t="s">
        <v>133</v>
      </c>
      <c r="AC54" s="295" t="s">
        <v>139</v>
      </c>
    </row>
    <row r="55" spans="1:29" ht="11.45" customHeight="1" x14ac:dyDescent="0.2">
      <c r="B55" s="80" t="s">
        <v>67</v>
      </c>
      <c r="C55" s="475">
        <v>0</v>
      </c>
      <c r="D55" s="195"/>
      <c r="E55" s="108">
        <v>0</v>
      </c>
      <c r="F55" s="384">
        <v>0</v>
      </c>
      <c r="G55" s="476">
        <v>1</v>
      </c>
      <c r="H55" s="1122">
        <v>0</v>
      </c>
      <c r="I55" s="477">
        <v>5</v>
      </c>
      <c r="J55" s="1123">
        <v>144273</v>
      </c>
      <c r="K55" s="532">
        <v>1</v>
      </c>
      <c r="L55" s="1123">
        <v>11000</v>
      </c>
      <c r="M55" s="476">
        <v>0</v>
      </c>
      <c r="N55" s="1122">
        <v>0</v>
      </c>
      <c r="O55" s="477">
        <v>0</v>
      </c>
      <c r="P55" s="1122">
        <v>0</v>
      </c>
      <c r="Q55" s="477">
        <v>0</v>
      </c>
      <c r="R55" s="1122">
        <v>0</v>
      </c>
      <c r="S55" s="477">
        <v>0</v>
      </c>
      <c r="T55" s="1122">
        <v>0</v>
      </c>
      <c r="U55" s="108">
        <v>1</v>
      </c>
      <c r="V55" s="1938">
        <v>6000</v>
      </c>
      <c r="W55" s="383">
        <v>0</v>
      </c>
      <c r="X55" s="1938">
        <v>0</v>
      </c>
      <c r="Y55" s="1939"/>
      <c r="Z55" s="1593"/>
      <c r="AA55" s="1124"/>
      <c r="AB55" s="108">
        <f>AVERAGE(W55,U55,Q55,S55,O55)</f>
        <v>0.2</v>
      </c>
      <c r="AC55" s="1125">
        <f>AVERAGE(X55,V55,R55,T55,P55)</f>
        <v>1200</v>
      </c>
    </row>
    <row r="56" spans="1:29" ht="11.45" customHeight="1" x14ac:dyDescent="0.2">
      <c r="B56" s="80"/>
      <c r="C56" s="916"/>
      <c r="D56" s="197"/>
      <c r="E56" s="838"/>
      <c r="F56" s="1126"/>
      <c r="G56" s="551"/>
      <c r="H56" s="1127"/>
      <c r="I56" s="255"/>
      <c r="J56" s="1128"/>
      <c r="K56" s="530"/>
      <c r="L56" s="1129"/>
      <c r="M56" s="551"/>
      <c r="N56" s="1127"/>
      <c r="O56" s="255"/>
      <c r="P56" s="1127"/>
      <c r="Q56" s="255"/>
      <c r="R56" s="1127"/>
      <c r="S56" s="255"/>
      <c r="T56" s="1127"/>
      <c r="U56" s="255"/>
      <c r="V56" s="1127"/>
      <c r="W56" s="255"/>
      <c r="X56" s="1127"/>
      <c r="Y56" s="1594"/>
      <c r="Z56" s="1595"/>
      <c r="AA56" s="1124"/>
      <c r="AB56" s="1013"/>
      <c r="AC56" s="1120"/>
    </row>
    <row r="57" spans="1:29" thickBot="1" x14ac:dyDescent="0.25">
      <c r="B57" s="167" t="s">
        <v>16</v>
      </c>
      <c r="C57" s="913">
        <v>0</v>
      </c>
      <c r="D57" s="208">
        <v>0</v>
      </c>
      <c r="E57" s="839">
        <v>0</v>
      </c>
      <c r="F57" s="1268">
        <v>0</v>
      </c>
      <c r="G57" s="552">
        <v>0</v>
      </c>
      <c r="H57" s="428">
        <v>0</v>
      </c>
      <c r="I57" s="918">
        <v>2</v>
      </c>
      <c r="J57" s="399">
        <v>0</v>
      </c>
      <c r="K57" s="552">
        <v>0</v>
      </c>
      <c r="L57" s="918">
        <v>0</v>
      </c>
      <c r="M57" s="552">
        <v>0</v>
      </c>
      <c r="N57" s="428">
        <v>0</v>
      </c>
      <c r="O57" s="1491">
        <v>0</v>
      </c>
      <c r="P57" s="428">
        <v>0</v>
      </c>
      <c r="Q57" s="1491">
        <v>0</v>
      </c>
      <c r="R57" s="428">
        <v>0</v>
      </c>
      <c r="S57" s="1491">
        <v>0</v>
      </c>
      <c r="T57" s="428">
        <v>0</v>
      </c>
      <c r="U57" s="1491">
        <v>0</v>
      </c>
      <c r="V57" s="428">
        <v>0</v>
      </c>
      <c r="W57" s="1491">
        <v>1</v>
      </c>
      <c r="X57" s="428">
        <v>6000</v>
      </c>
      <c r="Y57" s="1596"/>
      <c r="Z57" s="1600"/>
      <c r="AA57" s="1124"/>
      <c r="AB57" s="839">
        <f>AVERAGE(W57,U57,Q57,S57,O57)</f>
        <v>0.2</v>
      </c>
      <c r="AC57" s="1121">
        <f>AVERAGE(X57,V57,R57,T57,P57)</f>
        <v>1200</v>
      </c>
    </row>
    <row r="58" spans="1:29" thickTop="1" x14ac:dyDescent="0.2">
      <c r="B58" s="81" t="s">
        <v>84</v>
      </c>
      <c r="C58" s="199"/>
      <c r="D58" s="209"/>
      <c r="E58" s="45"/>
      <c r="F58" s="323"/>
      <c r="G58" s="269"/>
      <c r="H58" s="419"/>
      <c r="I58" s="156"/>
      <c r="J58" s="307"/>
      <c r="K58" s="269"/>
      <c r="L58" s="307"/>
      <c r="M58" s="269"/>
      <c r="N58" s="419"/>
      <c r="O58" s="156"/>
      <c r="P58" s="419"/>
      <c r="Q58" s="156"/>
      <c r="R58" s="419"/>
      <c r="S58" s="156"/>
      <c r="T58" s="419"/>
      <c r="U58" s="156"/>
      <c r="V58" s="419"/>
      <c r="W58" s="156"/>
      <c r="X58" s="419"/>
      <c r="Y58" s="156"/>
      <c r="Z58" s="158"/>
      <c r="AA58" s="955"/>
      <c r="AB58" s="109"/>
      <c r="AC58" s="1030"/>
    </row>
    <row r="59" spans="1:29" ht="12" x14ac:dyDescent="0.2">
      <c r="B59" s="338" t="s">
        <v>85</v>
      </c>
      <c r="C59" s="202"/>
      <c r="D59" s="232">
        <v>8790</v>
      </c>
      <c r="E59" s="35"/>
      <c r="F59" s="345">
        <v>12290</v>
      </c>
      <c r="G59" s="272"/>
      <c r="H59" s="534">
        <v>12220</v>
      </c>
      <c r="I59" s="254"/>
      <c r="J59" s="542">
        <v>19934</v>
      </c>
      <c r="K59" s="559"/>
      <c r="L59" s="540">
        <v>14889</v>
      </c>
      <c r="M59" s="559"/>
      <c r="N59" s="546">
        <v>32532</v>
      </c>
      <c r="O59" s="553"/>
      <c r="P59" s="546">
        <v>95196</v>
      </c>
      <c r="Q59" s="553"/>
      <c r="R59" s="546">
        <v>33663</v>
      </c>
      <c r="S59" s="553"/>
      <c r="T59" s="546">
        <v>26168.97</v>
      </c>
      <c r="U59" s="553"/>
      <c r="V59" s="546">
        <v>363269.48</v>
      </c>
      <c r="W59" s="553"/>
      <c r="X59" s="546">
        <v>18145.060000000001</v>
      </c>
      <c r="Y59" s="553"/>
      <c r="Z59" s="1577"/>
      <c r="AB59" s="1038"/>
      <c r="AC59" s="949">
        <f t="shared" ref="AC59:AC60" si="9">AVERAGE(X59,V59,R59,T59,P59)</f>
        <v>107288.50200000001</v>
      </c>
    </row>
    <row r="60" spans="1:29" thickBot="1" x14ac:dyDescent="0.25">
      <c r="B60" s="339" t="s">
        <v>86</v>
      </c>
      <c r="C60" s="204"/>
      <c r="D60" s="211">
        <v>0</v>
      </c>
      <c r="E60" s="37"/>
      <c r="F60" s="324">
        <v>0</v>
      </c>
      <c r="G60" s="274"/>
      <c r="H60" s="485">
        <v>0</v>
      </c>
      <c r="I60" s="260"/>
      <c r="J60" s="560">
        <v>0</v>
      </c>
      <c r="K60" s="507"/>
      <c r="L60" s="560">
        <v>0</v>
      </c>
      <c r="M60" s="507"/>
      <c r="N60" s="1247">
        <v>0</v>
      </c>
      <c r="O60" s="1246"/>
      <c r="P60" s="1247">
        <v>0</v>
      </c>
      <c r="Q60" s="1246"/>
      <c r="R60" s="1247">
        <v>0</v>
      </c>
      <c r="S60" s="1246"/>
      <c r="T60" s="1247">
        <v>0</v>
      </c>
      <c r="U60" s="1246"/>
      <c r="V60" s="1247">
        <v>0</v>
      </c>
      <c r="W60" s="1246"/>
      <c r="X60" s="1247">
        <v>0</v>
      </c>
      <c r="Y60" s="1246"/>
      <c r="Z60" s="1585"/>
      <c r="AB60" s="1015"/>
      <c r="AC60" s="1024">
        <f t="shared" si="9"/>
        <v>0</v>
      </c>
    </row>
    <row r="61" spans="1:29" thickTop="1" x14ac:dyDescent="0.2">
      <c r="B61" s="96"/>
      <c r="C61" s="97"/>
      <c r="D61" s="98"/>
      <c r="E61" s="97"/>
      <c r="F61" s="34"/>
      <c r="G61" s="157"/>
      <c r="H61" s="135"/>
      <c r="I61" s="157"/>
      <c r="J61" s="135"/>
      <c r="K61" s="157"/>
      <c r="L61" s="135"/>
      <c r="M61" s="157"/>
      <c r="N61" s="135"/>
      <c r="O61" s="157"/>
      <c r="P61" s="135"/>
      <c r="Q61" s="157"/>
      <c r="R61" s="135"/>
      <c r="S61" s="157"/>
      <c r="T61" s="135"/>
      <c r="U61" s="157"/>
      <c r="V61" s="135"/>
      <c r="W61" s="157"/>
      <c r="X61" s="135"/>
      <c r="Y61" s="157"/>
      <c r="Z61" s="135"/>
    </row>
    <row r="62" spans="1:29" x14ac:dyDescent="0.2">
      <c r="A62" s="2" t="s">
        <v>76</v>
      </c>
      <c r="B62" s="96"/>
      <c r="C62" s="97"/>
      <c r="D62" s="98"/>
      <c r="E62" s="97"/>
      <c r="F62" s="34"/>
      <c r="G62" s="157"/>
      <c r="H62" s="135"/>
      <c r="I62" s="157"/>
      <c r="J62" s="135"/>
      <c r="K62" s="157"/>
      <c r="L62" s="135"/>
      <c r="M62" s="157"/>
      <c r="N62" s="135"/>
      <c r="O62" s="157"/>
      <c r="P62" s="135"/>
      <c r="Q62" s="157"/>
      <c r="R62" s="135"/>
      <c r="S62" s="157"/>
      <c r="T62" s="135"/>
      <c r="U62" s="157"/>
      <c r="V62" s="135"/>
      <c r="W62" s="157"/>
      <c r="X62" s="135"/>
      <c r="Y62" s="157"/>
      <c r="Z62" s="135"/>
    </row>
    <row r="63" spans="1:29" thickBot="1" x14ac:dyDescent="0.25">
      <c r="B63" s="96"/>
      <c r="C63" s="97"/>
      <c r="D63" s="98"/>
      <c r="E63" s="97"/>
      <c r="F63" s="34"/>
      <c r="G63" s="157"/>
      <c r="H63" s="135"/>
      <c r="I63" s="157"/>
      <c r="J63" s="135"/>
      <c r="K63" s="157"/>
      <c r="L63" s="135"/>
      <c r="M63" s="157"/>
      <c r="N63" s="135"/>
      <c r="O63" s="157"/>
      <c r="P63" s="135"/>
      <c r="Q63" s="157"/>
      <c r="R63" s="135"/>
      <c r="S63" s="157"/>
      <c r="T63" s="135"/>
      <c r="U63" s="157"/>
      <c r="V63" s="135"/>
      <c r="W63" s="157"/>
      <c r="X63" s="135"/>
      <c r="Y63" s="157"/>
      <c r="Z63" s="135"/>
    </row>
    <row r="64" spans="1:29" ht="14.25" customHeight="1" thickTop="1" thickBot="1" x14ac:dyDescent="0.25">
      <c r="B64" s="340"/>
      <c r="C64" s="2013" t="s">
        <v>49</v>
      </c>
      <c r="D64" s="2014"/>
      <c r="E64" s="2015" t="s">
        <v>50</v>
      </c>
      <c r="F64" s="2015"/>
      <c r="G64" s="2002" t="s">
        <v>141</v>
      </c>
      <c r="H64" s="1982"/>
      <c r="I64" s="2002" t="s">
        <v>152</v>
      </c>
      <c r="J64" s="1982"/>
      <c r="K64" s="2002" t="s">
        <v>154</v>
      </c>
      <c r="L64" s="1974"/>
      <c r="M64" s="2002" t="s">
        <v>171</v>
      </c>
      <c r="N64" s="1982"/>
      <c r="O64" s="1974" t="s">
        <v>227</v>
      </c>
      <c r="P64" s="1982"/>
      <c r="Q64" s="1974" t="s">
        <v>237</v>
      </c>
      <c r="R64" s="1982"/>
      <c r="S64" s="1974" t="s">
        <v>272</v>
      </c>
      <c r="T64" s="1982"/>
      <c r="U64" s="1974" t="s">
        <v>274</v>
      </c>
      <c r="V64" s="1982"/>
      <c r="W64" s="1974" t="s">
        <v>280</v>
      </c>
      <c r="X64" s="1982"/>
      <c r="Y64" s="1974" t="s">
        <v>290</v>
      </c>
      <c r="Z64" s="1975"/>
      <c r="AB64" s="2003" t="s">
        <v>213</v>
      </c>
      <c r="AC64" s="2004"/>
    </row>
    <row r="65" spans="2:29" ht="12" x14ac:dyDescent="0.2">
      <c r="B65" s="73" t="s">
        <v>53</v>
      </c>
      <c r="C65" s="54"/>
      <c r="D65" s="92"/>
      <c r="E65" s="30"/>
      <c r="F65" s="30"/>
      <c r="G65" s="243"/>
      <c r="H65" s="244"/>
      <c r="I65" s="138"/>
      <c r="J65" s="138"/>
      <c r="K65" s="243"/>
      <c r="L65" s="138"/>
      <c r="M65" s="243"/>
      <c r="N65" s="244"/>
      <c r="O65" s="138"/>
      <c r="P65" s="244"/>
      <c r="Q65" s="138"/>
      <c r="R65" s="244"/>
      <c r="S65" s="138"/>
      <c r="T65" s="244"/>
      <c r="U65" s="138"/>
      <c r="V65" s="244"/>
      <c r="W65" s="138"/>
      <c r="X65" s="244"/>
      <c r="Y65" s="138"/>
      <c r="Z65" s="140"/>
      <c r="AB65" s="831"/>
      <c r="AC65" s="930"/>
    </row>
    <row r="66" spans="2:29" ht="12" x14ac:dyDescent="0.2">
      <c r="B66" s="74" t="s">
        <v>54</v>
      </c>
      <c r="C66" s="184"/>
      <c r="D66" s="165"/>
      <c r="E66" s="31"/>
      <c r="F66" s="171"/>
      <c r="G66" s="239"/>
      <c r="H66" s="261"/>
      <c r="I66" s="139"/>
      <c r="J66" s="183"/>
      <c r="K66" s="239"/>
      <c r="L66" s="183"/>
      <c r="M66" s="239"/>
      <c r="N66" s="261"/>
      <c r="O66" s="139"/>
      <c r="P66" s="261"/>
      <c r="Q66" s="139"/>
      <c r="R66" s="261"/>
      <c r="S66" s="139"/>
      <c r="T66" s="261"/>
      <c r="U66" s="139"/>
      <c r="V66" s="261"/>
      <c r="W66" s="139"/>
      <c r="X66" s="261"/>
      <c r="Y66" s="139"/>
      <c r="Z66" s="142"/>
      <c r="AB66" s="24"/>
      <c r="AC66" s="579"/>
    </row>
    <row r="67" spans="2:29" ht="12" x14ac:dyDescent="0.2">
      <c r="B67" s="75" t="s">
        <v>55</v>
      </c>
      <c r="C67" s="184"/>
      <c r="D67" s="165">
        <v>17</v>
      </c>
      <c r="E67" s="31"/>
      <c r="F67" s="171">
        <v>19</v>
      </c>
      <c r="G67" s="239"/>
      <c r="H67" s="261">
        <v>21</v>
      </c>
      <c r="I67" s="139"/>
      <c r="J67" s="183">
        <v>26</v>
      </c>
      <c r="K67" s="239"/>
      <c r="L67" s="183">
        <v>29</v>
      </c>
      <c r="M67" s="239"/>
      <c r="N67" s="261">
        <v>26</v>
      </c>
      <c r="O67" s="139"/>
      <c r="P67" s="261">
        <v>26</v>
      </c>
      <c r="Q67" s="139"/>
      <c r="R67" s="261">
        <v>23</v>
      </c>
      <c r="S67" s="139"/>
      <c r="T67" s="261">
        <v>22</v>
      </c>
      <c r="U67" s="139"/>
      <c r="V67" s="261">
        <v>21</v>
      </c>
      <c r="W67" s="139"/>
      <c r="X67" s="261">
        <v>24</v>
      </c>
      <c r="Y67" s="139"/>
      <c r="Z67" s="142">
        <v>24</v>
      </c>
      <c r="AB67" s="12"/>
      <c r="AC67" s="1113">
        <f>AVERAGE(X67,V67,R67,T67,Z67)</f>
        <v>22.8</v>
      </c>
    </row>
    <row r="68" spans="2:29" ht="12" x14ac:dyDescent="0.2">
      <c r="B68" s="75" t="s">
        <v>181</v>
      </c>
      <c r="C68" s="184"/>
      <c r="D68" s="165">
        <v>5</v>
      </c>
      <c r="E68" s="31"/>
      <c r="F68" s="171">
        <v>9</v>
      </c>
      <c r="G68" s="239"/>
      <c r="H68" s="261">
        <v>7</v>
      </c>
      <c r="I68" s="139"/>
      <c r="J68" s="183">
        <v>6</v>
      </c>
      <c r="K68" s="239"/>
      <c r="L68" s="183">
        <v>6</v>
      </c>
      <c r="M68" s="239"/>
      <c r="N68" s="261">
        <v>3</v>
      </c>
      <c r="O68" s="139"/>
      <c r="P68" s="261">
        <v>5</v>
      </c>
      <c r="Q68" s="139"/>
      <c r="R68" s="261">
        <v>7</v>
      </c>
      <c r="S68" s="139"/>
      <c r="T68" s="261">
        <v>7</v>
      </c>
      <c r="U68" s="139"/>
      <c r="V68" s="261">
        <v>7</v>
      </c>
      <c r="W68" s="139"/>
      <c r="X68" s="261">
        <v>6</v>
      </c>
      <c r="Y68" s="139"/>
      <c r="Z68" s="142">
        <v>5</v>
      </c>
      <c r="AB68" s="12"/>
      <c r="AC68" s="1113">
        <f t="shared" ref="AC68:AC72" si="10">AVERAGE(X68,V68,R68,T68,Z68)</f>
        <v>6.4</v>
      </c>
    </row>
    <row r="69" spans="2:29" ht="12" x14ac:dyDescent="0.2">
      <c r="B69" s="74" t="s">
        <v>57</v>
      </c>
      <c r="C69" s="184"/>
      <c r="D69" s="94"/>
      <c r="E69" s="31"/>
      <c r="F69" s="39"/>
      <c r="G69" s="239"/>
      <c r="H69" s="240"/>
      <c r="I69" s="139"/>
      <c r="J69" s="241"/>
      <c r="K69" s="239"/>
      <c r="L69" s="241"/>
      <c r="M69" s="239"/>
      <c r="N69" s="240"/>
      <c r="O69" s="139"/>
      <c r="P69" s="240"/>
      <c r="Q69" s="139"/>
      <c r="R69" s="240"/>
      <c r="S69" s="139"/>
      <c r="T69" s="240"/>
      <c r="U69" s="139"/>
      <c r="V69" s="240"/>
      <c r="W69" s="139"/>
      <c r="X69" s="240"/>
      <c r="Y69" s="139"/>
      <c r="Z69" s="143"/>
      <c r="AB69" s="12"/>
      <c r="AC69" s="1113"/>
    </row>
    <row r="70" spans="2:29" ht="12" x14ac:dyDescent="0.2">
      <c r="B70" s="75" t="s">
        <v>55</v>
      </c>
      <c r="C70" s="184"/>
      <c r="D70" s="94">
        <v>0</v>
      </c>
      <c r="E70" s="31"/>
      <c r="F70" s="39">
        <v>0</v>
      </c>
      <c r="G70" s="239"/>
      <c r="H70" s="240">
        <v>0</v>
      </c>
      <c r="I70" s="139"/>
      <c r="J70" s="241">
        <v>0</v>
      </c>
      <c r="K70" s="239"/>
      <c r="L70" s="241">
        <v>0</v>
      </c>
      <c r="M70" s="239"/>
      <c r="N70" s="240">
        <v>0</v>
      </c>
      <c r="O70" s="139"/>
      <c r="P70" s="240">
        <v>0</v>
      </c>
      <c r="Q70" s="139"/>
      <c r="R70" s="240">
        <v>0</v>
      </c>
      <c r="S70" s="139"/>
      <c r="T70" s="240">
        <v>0</v>
      </c>
      <c r="U70" s="139"/>
      <c r="V70" s="240">
        <v>0</v>
      </c>
      <c r="W70" s="139"/>
      <c r="X70" s="240">
        <v>0</v>
      </c>
      <c r="Y70" s="139"/>
      <c r="Z70" s="143">
        <v>0</v>
      </c>
      <c r="AB70" s="12"/>
      <c r="AC70" s="1113">
        <f t="shared" si="10"/>
        <v>0</v>
      </c>
    </row>
    <row r="71" spans="2:29" ht="12" x14ac:dyDescent="0.2">
      <c r="B71" s="341" t="s">
        <v>181</v>
      </c>
      <c r="C71" s="184"/>
      <c r="D71" s="94">
        <v>2</v>
      </c>
      <c r="E71" s="31"/>
      <c r="F71" s="39">
        <v>0</v>
      </c>
      <c r="G71" s="239"/>
      <c r="H71" s="240">
        <v>0</v>
      </c>
      <c r="I71" s="139"/>
      <c r="J71" s="241">
        <v>0</v>
      </c>
      <c r="K71" s="239"/>
      <c r="L71" s="241">
        <v>0</v>
      </c>
      <c r="M71" s="239"/>
      <c r="N71" s="240">
        <v>0</v>
      </c>
      <c r="O71" s="139"/>
      <c r="P71" s="240">
        <v>0</v>
      </c>
      <c r="Q71" s="139"/>
      <c r="R71" s="240">
        <v>0</v>
      </c>
      <c r="S71" s="139"/>
      <c r="T71" s="240">
        <v>0</v>
      </c>
      <c r="U71" s="139"/>
      <c r="V71" s="240">
        <v>0</v>
      </c>
      <c r="W71" s="139"/>
      <c r="X71" s="240">
        <v>0</v>
      </c>
      <c r="Y71" s="139"/>
      <c r="Z71" s="143">
        <v>0</v>
      </c>
      <c r="AB71" s="12"/>
      <c r="AC71" s="1113">
        <f t="shared" si="10"/>
        <v>0</v>
      </c>
    </row>
    <row r="72" spans="2:29" thickBot="1" x14ac:dyDescent="0.25">
      <c r="B72" s="79" t="s">
        <v>13</v>
      </c>
      <c r="C72" s="233"/>
      <c r="D72" s="234">
        <f>SUM(D67:D71)</f>
        <v>24</v>
      </c>
      <c r="E72" s="107"/>
      <c r="F72" s="106">
        <f>SUM(F67:F71)</f>
        <v>28</v>
      </c>
      <c r="G72" s="297"/>
      <c r="H72" s="427">
        <v>28</v>
      </c>
      <c r="I72" s="426"/>
      <c r="J72" s="454">
        <f>SUM(J67:J71)</f>
        <v>32</v>
      </c>
      <c r="K72" s="297"/>
      <c r="L72" s="454">
        <f>SUM(L67:L71)</f>
        <v>35</v>
      </c>
      <c r="M72" s="297"/>
      <c r="N72" s="427">
        <f>SUM(N67:N71)</f>
        <v>29</v>
      </c>
      <c r="O72" s="426"/>
      <c r="P72" s="427">
        <f>SUM(P67:P71)</f>
        <v>31</v>
      </c>
      <c r="Q72" s="426"/>
      <c r="R72" s="427">
        <f>SUM(R67:R71)</f>
        <v>30</v>
      </c>
      <c r="S72" s="426"/>
      <c r="T72" s="427">
        <f>SUM(T67:T71)</f>
        <v>29</v>
      </c>
      <c r="U72" s="426"/>
      <c r="V72" s="427">
        <f>SUM(V67:V71)</f>
        <v>28</v>
      </c>
      <c r="W72" s="426"/>
      <c r="X72" s="427">
        <f>SUM(X67:X71)</f>
        <v>30</v>
      </c>
      <c r="Y72" s="426"/>
      <c r="Z72" s="374">
        <f>SUM(Z67:Z71)</f>
        <v>29</v>
      </c>
      <c r="AB72" s="831"/>
      <c r="AC72" s="1114">
        <f t="shared" si="10"/>
        <v>29.2</v>
      </c>
    </row>
    <row r="73" spans="2:29" thickTop="1" x14ac:dyDescent="0.2">
      <c r="B73" s="342" t="s">
        <v>135</v>
      </c>
      <c r="C73" s="392"/>
      <c r="D73" s="393"/>
      <c r="E73" s="43" t="s">
        <v>133</v>
      </c>
      <c r="F73" s="41" t="s">
        <v>134</v>
      </c>
      <c r="G73" s="317" t="s">
        <v>133</v>
      </c>
      <c r="H73" s="412" t="s">
        <v>134</v>
      </c>
      <c r="I73" s="411" t="s">
        <v>133</v>
      </c>
      <c r="J73" s="449" t="s">
        <v>134</v>
      </c>
      <c r="K73" s="317" t="s">
        <v>133</v>
      </c>
      <c r="L73" s="449" t="s">
        <v>134</v>
      </c>
      <c r="M73" s="317" t="s">
        <v>133</v>
      </c>
      <c r="N73" s="441" t="s">
        <v>134</v>
      </c>
      <c r="O73" s="411" t="s">
        <v>133</v>
      </c>
      <c r="P73" s="412" t="s">
        <v>134</v>
      </c>
      <c r="Q73" s="411" t="s">
        <v>133</v>
      </c>
      <c r="R73" s="412" t="s">
        <v>134</v>
      </c>
      <c r="S73" s="411" t="s">
        <v>133</v>
      </c>
      <c r="T73" s="412" t="s">
        <v>134</v>
      </c>
      <c r="U73" s="411" t="s">
        <v>133</v>
      </c>
      <c r="V73" s="412" t="s">
        <v>134</v>
      </c>
      <c r="W73" s="411" t="s">
        <v>133</v>
      </c>
      <c r="X73" s="412" t="s">
        <v>134</v>
      </c>
      <c r="Y73" s="411" t="s">
        <v>133</v>
      </c>
      <c r="Z73" s="289" t="s">
        <v>134</v>
      </c>
      <c r="AB73" s="952" t="s">
        <v>133</v>
      </c>
      <c r="AC73" s="862" t="s">
        <v>134</v>
      </c>
    </row>
    <row r="74" spans="2:29" ht="12" x14ac:dyDescent="0.2">
      <c r="B74" s="75" t="s">
        <v>87</v>
      </c>
      <c r="C74" s="319">
        <v>13</v>
      </c>
      <c r="D74" s="216">
        <f>C74/D$72</f>
        <v>0.54166666666666663</v>
      </c>
      <c r="E74" s="173">
        <v>17</v>
      </c>
      <c r="F74" s="221">
        <f t="shared" ref="F74:H81" si="11">E74/F$72</f>
        <v>0.6071428571428571</v>
      </c>
      <c r="G74" s="215">
        <v>16</v>
      </c>
      <c r="H74" s="216">
        <f t="shared" si="11"/>
        <v>0.5714285714285714</v>
      </c>
      <c r="I74" s="173">
        <v>17</v>
      </c>
      <c r="J74" s="221">
        <f t="shared" ref="J74:L81" si="12">I74/J$72</f>
        <v>0.53125</v>
      </c>
      <c r="K74" s="215">
        <f>16+3</f>
        <v>19</v>
      </c>
      <c r="L74" s="221">
        <f t="shared" si="12"/>
        <v>0.54285714285714282</v>
      </c>
      <c r="M74" s="215">
        <f>12+2</f>
        <v>14</v>
      </c>
      <c r="N74" s="216">
        <f t="shared" ref="N74:T81" si="13">M74/N$72</f>
        <v>0.48275862068965519</v>
      </c>
      <c r="O74" s="173">
        <v>18</v>
      </c>
      <c r="P74" s="216">
        <f t="shared" si="13"/>
        <v>0.58064516129032262</v>
      </c>
      <c r="Q74" s="173">
        <v>18</v>
      </c>
      <c r="R74" s="216">
        <f t="shared" si="13"/>
        <v>0.6</v>
      </c>
      <c r="S74" s="173">
        <f>6+13</f>
        <v>19</v>
      </c>
      <c r="T74" s="216">
        <f t="shared" si="13"/>
        <v>0.65517241379310343</v>
      </c>
      <c r="U74" s="173">
        <v>16</v>
      </c>
      <c r="V74" s="216">
        <f t="shared" ref="V74:V81" si="14">U74/V$72</f>
        <v>0.5714285714285714</v>
      </c>
      <c r="W74" s="173">
        <f>4+14</f>
        <v>18</v>
      </c>
      <c r="X74" s="216">
        <f t="shared" ref="X74:Z81" si="15">W74/X$72</f>
        <v>0.6</v>
      </c>
      <c r="Y74" s="173">
        <v>16</v>
      </c>
      <c r="Z74" s="1494">
        <f t="shared" si="15"/>
        <v>0.55172413793103448</v>
      </c>
      <c r="AA74" s="955"/>
      <c r="AB74" s="1016">
        <f t="shared" ref="AB74:AB93" si="16">AVERAGE(W74,U74,Q74,S74,Y74)</f>
        <v>17.399999999999999</v>
      </c>
      <c r="AC74" s="863">
        <f t="shared" ref="AC74:AC93" si="17">AVERAGE(X74,V74,R74,T74,Z74)</f>
        <v>0.59566502463054183</v>
      </c>
    </row>
    <row r="75" spans="2:29" ht="12" x14ac:dyDescent="0.2">
      <c r="B75" s="85" t="s">
        <v>88</v>
      </c>
      <c r="C75" s="319">
        <v>0</v>
      </c>
      <c r="D75" s="216">
        <f t="shared" ref="D75:D93" si="18">C75/$D$72</f>
        <v>0</v>
      </c>
      <c r="E75" s="173">
        <v>1</v>
      </c>
      <c r="F75" s="221">
        <f t="shared" si="11"/>
        <v>3.5714285714285712E-2</v>
      </c>
      <c r="G75" s="215">
        <v>1</v>
      </c>
      <c r="H75" s="216">
        <f t="shared" si="11"/>
        <v>3.5714285714285712E-2</v>
      </c>
      <c r="I75" s="173">
        <v>1</v>
      </c>
      <c r="J75" s="221">
        <f t="shared" si="12"/>
        <v>3.125E-2</v>
      </c>
      <c r="K75" s="215">
        <v>1</v>
      </c>
      <c r="L75" s="221">
        <f t="shared" si="12"/>
        <v>2.8571428571428571E-2</v>
      </c>
      <c r="M75" s="215">
        <v>0</v>
      </c>
      <c r="N75" s="216">
        <f t="shared" si="13"/>
        <v>0</v>
      </c>
      <c r="O75" s="173"/>
      <c r="P75" s="216">
        <f t="shared" si="13"/>
        <v>0</v>
      </c>
      <c r="Q75" s="173">
        <v>0</v>
      </c>
      <c r="R75" s="216">
        <f t="shared" si="13"/>
        <v>0</v>
      </c>
      <c r="S75" s="173">
        <f>0</f>
        <v>0</v>
      </c>
      <c r="T75" s="216">
        <f t="shared" si="13"/>
        <v>0</v>
      </c>
      <c r="U75" s="173">
        <v>0</v>
      </c>
      <c r="V75" s="216">
        <f t="shared" si="14"/>
        <v>0</v>
      </c>
      <c r="W75" s="173">
        <v>0</v>
      </c>
      <c r="X75" s="216">
        <f t="shared" si="15"/>
        <v>0</v>
      </c>
      <c r="Y75" s="173">
        <v>0</v>
      </c>
      <c r="Z75" s="1494">
        <f t="shared" si="15"/>
        <v>0</v>
      </c>
      <c r="AA75" s="955"/>
      <c r="AB75" s="1016">
        <f t="shared" si="16"/>
        <v>0</v>
      </c>
      <c r="AC75" s="863">
        <f t="shared" si="17"/>
        <v>0</v>
      </c>
    </row>
    <row r="76" spans="2:29" ht="12" x14ac:dyDescent="0.2">
      <c r="B76" s="85" t="s">
        <v>89</v>
      </c>
      <c r="C76" s="319">
        <v>6</v>
      </c>
      <c r="D76" s="216">
        <f t="shared" si="18"/>
        <v>0.25</v>
      </c>
      <c r="E76" s="173">
        <v>5</v>
      </c>
      <c r="F76" s="221">
        <f t="shared" si="11"/>
        <v>0.17857142857142858</v>
      </c>
      <c r="G76" s="215">
        <v>5</v>
      </c>
      <c r="H76" s="216">
        <f t="shared" si="11"/>
        <v>0.17857142857142858</v>
      </c>
      <c r="I76" s="173">
        <v>6</v>
      </c>
      <c r="J76" s="221">
        <f t="shared" si="12"/>
        <v>0.1875</v>
      </c>
      <c r="K76" s="215">
        <v>6</v>
      </c>
      <c r="L76" s="221">
        <f t="shared" si="12"/>
        <v>0.17142857142857143</v>
      </c>
      <c r="M76" s="215">
        <v>3</v>
      </c>
      <c r="N76" s="216">
        <f t="shared" si="13"/>
        <v>0.10344827586206896</v>
      </c>
      <c r="O76" s="173">
        <v>6</v>
      </c>
      <c r="P76" s="216">
        <f t="shared" si="13"/>
        <v>0.19354838709677419</v>
      </c>
      <c r="Q76" s="173">
        <v>7</v>
      </c>
      <c r="R76" s="216">
        <f t="shared" si="13"/>
        <v>0.23333333333333334</v>
      </c>
      <c r="S76" s="173">
        <f>1+5</f>
        <v>6</v>
      </c>
      <c r="T76" s="216">
        <f t="shared" si="13"/>
        <v>0.20689655172413793</v>
      </c>
      <c r="U76" s="173">
        <v>6</v>
      </c>
      <c r="V76" s="216">
        <f t="shared" si="14"/>
        <v>0.21428571428571427</v>
      </c>
      <c r="W76" s="173">
        <f>1+5</f>
        <v>6</v>
      </c>
      <c r="X76" s="216">
        <f t="shared" si="15"/>
        <v>0.2</v>
      </c>
      <c r="Y76" s="173">
        <v>6</v>
      </c>
      <c r="Z76" s="1494">
        <f t="shared" si="15"/>
        <v>0.20689655172413793</v>
      </c>
      <c r="AA76" s="955"/>
      <c r="AB76" s="1016">
        <f t="shared" si="16"/>
        <v>6.2</v>
      </c>
      <c r="AC76" s="863">
        <f t="shared" si="17"/>
        <v>0.21228243021346466</v>
      </c>
    </row>
    <row r="77" spans="2:29" ht="12" x14ac:dyDescent="0.2">
      <c r="B77" s="85" t="s">
        <v>90</v>
      </c>
      <c r="C77" s="319">
        <v>0</v>
      </c>
      <c r="D77" s="216">
        <f t="shared" si="18"/>
        <v>0</v>
      </c>
      <c r="E77" s="173">
        <v>0</v>
      </c>
      <c r="F77" s="221">
        <f t="shared" si="11"/>
        <v>0</v>
      </c>
      <c r="G77" s="215">
        <v>0</v>
      </c>
      <c r="H77" s="216">
        <f t="shared" si="11"/>
        <v>0</v>
      </c>
      <c r="I77" s="173">
        <v>0</v>
      </c>
      <c r="J77" s="221">
        <f t="shared" si="12"/>
        <v>0</v>
      </c>
      <c r="K77" s="215">
        <v>0</v>
      </c>
      <c r="L77" s="221">
        <f t="shared" si="12"/>
        <v>0</v>
      </c>
      <c r="M77" s="215">
        <v>0</v>
      </c>
      <c r="N77" s="216">
        <f t="shared" si="13"/>
        <v>0</v>
      </c>
      <c r="O77" s="173"/>
      <c r="P77" s="216">
        <f t="shared" si="13"/>
        <v>0</v>
      </c>
      <c r="Q77" s="173">
        <v>1</v>
      </c>
      <c r="R77" s="216">
        <f t="shared" si="13"/>
        <v>3.3333333333333333E-2</v>
      </c>
      <c r="S77" s="173">
        <f>1</f>
        <v>1</v>
      </c>
      <c r="T77" s="216">
        <f t="shared" si="13"/>
        <v>3.4482758620689655E-2</v>
      </c>
      <c r="U77" s="173">
        <v>1</v>
      </c>
      <c r="V77" s="216">
        <f t="shared" si="14"/>
        <v>3.5714285714285712E-2</v>
      </c>
      <c r="W77" s="173">
        <v>1</v>
      </c>
      <c r="X77" s="216">
        <f t="shared" si="15"/>
        <v>3.3333333333333333E-2</v>
      </c>
      <c r="Y77" s="173">
        <v>1</v>
      </c>
      <c r="Z77" s="1494">
        <f t="shared" si="15"/>
        <v>3.4482758620689655E-2</v>
      </c>
      <c r="AA77" s="955"/>
      <c r="AB77" s="1016">
        <f t="shared" si="16"/>
        <v>1</v>
      </c>
      <c r="AC77" s="863">
        <f t="shared" si="17"/>
        <v>3.4269293924466336E-2</v>
      </c>
    </row>
    <row r="78" spans="2:29" ht="12" x14ac:dyDescent="0.2">
      <c r="B78" s="85" t="s">
        <v>91</v>
      </c>
      <c r="C78" s="319">
        <v>1</v>
      </c>
      <c r="D78" s="216">
        <f t="shared" si="18"/>
        <v>4.1666666666666664E-2</v>
      </c>
      <c r="E78" s="173">
        <v>1</v>
      </c>
      <c r="F78" s="221">
        <f t="shared" si="11"/>
        <v>3.5714285714285712E-2</v>
      </c>
      <c r="G78" s="215">
        <v>1</v>
      </c>
      <c r="H78" s="216">
        <f t="shared" si="11"/>
        <v>3.5714285714285712E-2</v>
      </c>
      <c r="I78" s="173">
        <v>1</v>
      </c>
      <c r="J78" s="221">
        <f t="shared" si="12"/>
        <v>3.125E-2</v>
      </c>
      <c r="K78" s="215">
        <v>0</v>
      </c>
      <c r="L78" s="221">
        <f t="shared" si="12"/>
        <v>0</v>
      </c>
      <c r="M78" s="215">
        <v>2</v>
      </c>
      <c r="N78" s="216">
        <f t="shared" si="13"/>
        <v>6.8965517241379309E-2</v>
      </c>
      <c r="O78" s="173"/>
      <c r="P78" s="216">
        <f t="shared" si="13"/>
        <v>0</v>
      </c>
      <c r="Q78" s="173">
        <v>1</v>
      </c>
      <c r="R78" s="216">
        <f t="shared" si="13"/>
        <v>3.3333333333333333E-2</v>
      </c>
      <c r="S78" s="173">
        <f>1</f>
        <v>1</v>
      </c>
      <c r="T78" s="216">
        <f t="shared" si="13"/>
        <v>3.4482758620689655E-2</v>
      </c>
      <c r="U78" s="173">
        <v>1</v>
      </c>
      <c r="V78" s="216">
        <f t="shared" si="14"/>
        <v>3.5714285714285712E-2</v>
      </c>
      <c r="W78" s="173">
        <v>0</v>
      </c>
      <c r="X78" s="216">
        <f t="shared" si="15"/>
        <v>0</v>
      </c>
      <c r="Y78" s="173">
        <v>0</v>
      </c>
      <c r="Z78" s="1494">
        <f t="shared" si="15"/>
        <v>0</v>
      </c>
      <c r="AA78" s="955"/>
      <c r="AB78" s="1016">
        <f t="shared" si="16"/>
        <v>0.6</v>
      </c>
      <c r="AC78" s="863">
        <f t="shared" si="17"/>
        <v>2.0706075533661741E-2</v>
      </c>
    </row>
    <row r="79" spans="2:29" ht="12" x14ac:dyDescent="0.2">
      <c r="B79" s="85" t="s">
        <v>92</v>
      </c>
      <c r="C79" s="319">
        <v>4</v>
      </c>
      <c r="D79" s="216">
        <f t="shared" si="18"/>
        <v>0.16666666666666666</v>
      </c>
      <c r="E79" s="173">
        <v>4</v>
      </c>
      <c r="F79" s="221">
        <f t="shared" si="11"/>
        <v>0.14285714285714285</v>
      </c>
      <c r="G79" s="215">
        <v>5</v>
      </c>
      <c r="H79" s="216">
        <f t="shared" si="11"/>
        <v>0.17857142857142858</v>
      </c>
      <c r="I79" s="173">
        <v>7</v>
      </c>
      <c r="J79" s="221">
        <f t="shared" si="12"/>
        <v>0.21875</v>
      </c>
      <c r="K79" s="215">
        <v>2</v>
      </c>
      <c r="L79" s="221">
        <f t="shared" si="12"/>
        <v>5.7142857142857141E-2</v>
      </c>
      <c r="M79" s="215">
        <f>9+1</f>
        <v>10</v>
      </c>
      <c r="N79" s="216">
        <f t="shared" si="13"/>
        <v>0.34482758620689657</v>
      </c>
      <c r="O79" s="173">
        <v>7</v>
      </c>
      <c r="P79" s="216">
        <f t="shared" si="13"/>
        <v>0.22580645161290322</v>
      </c>
      <c r="Q79" s="173">
        <v>3</v>
      </c>
      <c r="R79" s="216">
        <f t="shared" si="13"/>
        <v>0.1</v>
      </c>
      <c r="S79" s="173">
        <f>0</f>
        <v>0</v>
      </c>
      <c r="T79" s="216">
        <f t="shared" si="13"/>
        <v>0</v>
      </c>
      <c r="U79" s="173">
        <v>2</v>
      </c>
      <c r="V79" s="216">
        <f t="shared" si="14"/>
        <v>7.1428571428571425E-2</v>
      </c>
      <c r="W79" s="173">
        <v>3</v>
      </c>
      <c r="X79" s="216">
        <f t="shared" si="15"/>
        <v>0.1</v>
      </c>
      <c r="Y79" s="173">
        <v>3</v>
      </c>
      <c r="Z79" s="1494">
        <f t="shared" si="15"/>
        <v>0.10344827586206896</v>
      </c>
      <c r="AA79" s="955"/>
      <c r="AB79" s="1016">
        <f t="shared" si="16"/>
        <v>2.2000000000000002</v>
      </c>
      <c r="AC79" s="863">
        <f t="shared" si="17"/>
        <v>7.4975369458128077E-2</v>
      </c>
    </row>
    <row r="80" spans="2:29" ht="12" x14ac:dyDescent="0.2">
      <c r="B80" s="85" t="s">
        <v>258</v>
      </c>
      <c r="C80" s="346"/>
      <c r="D80" s="216"/>
      <c r="E80" s="174"/>
      <c r="F80" s="221"/>
      <c r="G80" s="1510"/>
      <c r="H80" s="1511"/>
      <c r="I80" s="1512"/>
      <c r="J80" s="1513"/>
      <c r="K80" s="1510"/>
      <c r="L80" s="1513"/>
      <c r="M80" s="1510"/>
      <c r="N80" s="1511"/>
      <c r="O80" s="1512"/>
      <c r="P80" s="1511"/>
      <c r="Q80" s="174">
        <v>0</v>
      </c>
      <c r="R80" s="216">
        <f t="shared" si="13"/>
        <v>0</v>
      </c>
      <c r="S80" s="174">
        <f>2</f>
        <v>2</v>
      </c>
      <c r="T80" s="216">
        <f t="shared" si="13"/>
        <v>6.8965517241379309E-2</v>
      </c>
      <c r="U80" s="174">
        <v>0</v>
      </c>
      <c r="V80" s="216">
        <f t="shared" si="14"/>
        <v>0</v>
      </c>
      <c r="W80" s="174">
        <v>0</v>
      </c>
      <c r="X80" s="216">
        <f t="shared" si="15"/>
        <v>0</v>
      </c>
      <c r="Y80" s="174">
        <v>0</v>
      </c>
      <c r="Z80" s="1494">
        <f t="shared" si="15"/>
        <v>0</v>
      </c>
      <c r="AA80" s="955"/>
      <c r="AB80" s="1016">
        <f t="shared" si="16"/>
        <v>0.4</v>
      </c>
      <c r="AC80" s="863">
        <f t="shared" si="17"/>
        <v>1.3793103448275862E-2</v>
      </c>
    </row>
    <row r="81" spans="1:29" ht="12" x14ac:dyDescent="0.2">
      <c r="B81" s="85" t="s">
        <v>93</v>
      </c>
      <c r="C81" s="346">
        <v>0</v>
      </c>
      <c r="D81" s="216">
        <f t="shared" si="18"/>
        <v>0</v>
      </c>
      <c r="E81" s="174">
        <v>0</v>
      </c>
      <c r="F81" s="221">
        <f t="shared" si="11"/>
        <v>0</v>
      </c>
      <c r="G81" s="217">
        <v>0</v>
      </c>
      <c r="H81" s="216">
        <f t="shared" si="11"/>
        <v>0</v>
      </c>
      <c r="I81" s="174">
        <v>0</v>
      </c>
      <c r="J81" s="221">
        <f t="shared" si="12"/>
        <v>0</v>
      </c>
      <c r="K81" s="217">
        <v>0</v>
      </c>
      <c r="L81" s="221">
        <f t="shared" si="12"/>
        <v>0</v>
      </c>
      <c r="M81" s="217">
        <v>0</v>
      </c>
      <c r="N81" s="216">
        <f t="shared" si="13"/>
        <v>0</v>
      </c>
      <c r="O81" s="174"/>
      <c r="P81" s="216">
        <f t="shared" si="13"/>
        <v>0</v>
      </c>
      <c r="Q81" s="174">
        <v>0</v>
      </c>
      <c r="R81" s="216">
        <f t="shared" si="13"/>
        <v>0</v>
      </c>
      <c r="S81" s="174">
        <f>0</f>
        <v>0</v>
      </c>
      <c r="T81" s="216">
        <f t="shared" si="13"/>
        <v>0</v>
      </c>
      <c r="U81" s="174">
        <v>2</v>
      </c>
      <c r="V81" s="216">
        <f t="shared" si="14"/>
        <v>7.1428571428571425E-2</v>
      </c>
      <c r="W81" s="174">
        <v>2</v>
      </c>
      <c r="X81" s="216">
        <f t="shared" si="15"/>
        <v>6.6666666666666666E-2</v>
      </c>
      <c r="Y81" s="174">
        <v>3</v>
      </c>
      <c r="Z81" s="1494">
        <f t="shared" si="15"/>
        <v>0.10344827586206896</v>
      </c>
      <c r="AA81" s="955"/>
      <c r="AB81" s="1016">
        <f t="shared" si="16"/>
        <v>1.4</v>
      </c>
      <c r="AC81" s="863">
        <f t="shared" si="17"/>
        <v>4.8308702791461412E-2</v>
      </c>
    </row>
    <row r="82" spans="1:29" ht="12" x14ac:dyDescent="0.2">
      <c r="B82" s="343" t="s">
        <v>136</v>
      </c>
      <c r="C82" s="218"/>
      <c r="D82" s="216"/>
      <c r="E82" s="226"/>
      <c r="F82" s="310"/>
      <c r="G82" s="326"/>
      <c r="H82" s="394"/>
      <c r="I82" s="226"/>
      <c r="J82" s="310"/>
      <c r="K82" s="326"/>
      <c r="L82" s="310"/>
      <c r="M82" s="326"/>
      <c r="N82" s="394"/>
      <c r="O82" s="226"/>
      <c r="P82" s="394"/>
      <c r="Q82" s="226"/>
      <c r="R82" s="394"/>
      <c r="S82" s="226"/>
      <c r="T82" s="394"/>
      <c r="U82" s="226"/>
      <c r="V82" s="394"/>
      <c r="W82" s="226"/>
      <c r="X82" s="394"/>
      <c r="Y82" s="226"/>
      <c r="Z82" s="1500"/>
      <c r="AA82" s="955"/>
      <c r="AB82" s="1016"/>
      <c r="AC82" s="863"/>
    </row>
    <row r="83" spans="1:29" ht="12" x14ac:dyDescent="0.2">
      <c r="B83" s="75" t="s">
        <v>124</v>
      </c>
      <c r="C83" s="230">
        <v>12</v>
      </c>
      <c r="D83" s="216">
        <f t="shared" si="18"/>
        <v>0.5</v>
      </c>
      <c r="E83" s="171">
        <v>11</v>
      </c>
      <c r="F83" s="311">
        <f>E83/F$72</f>
        <v>0.39285714285714285</v>
      </c>
      <c r="G83" s="229">
        <v>11</v>
      </c>
      <c r="H83" s="395">
        <f>G83/H$72</f>
        <v>0.39285714285714285</v>
      </c>
      <c r="I83" s="183">
        <v>11</v>
      </c>
      <c r="J83" s="221">
        <f>I83/J$72</f>
        <v>0.34375</v>
      </c>
      <c r="K83" s="229">
        <v>11</v>
      </c>
      <c r="L83" s="221">
        <f>K83/L$72</f>
        <v>0.31428571428571428</v>
      </c>
      <c r="M83" s="229">
        <f>7+1</f>
        <v>8</v>
      </c>
      <c r="N83" s="216">
        <f>M83/N$72</f>
        <v>0.27586206896551724</v>
      </c>
      <c r="O83" s="183">
        <v>10</v>
      </c>
      <c r="P83" s="216">
        <f>O83/P$72</f>
        <v>0.32258064516129031</v>
      </c>
      <c r="Q83" s="183">
        <v>10</v>
      </c>
      <c r="R83" s="216">
        <f>Q83/R$72</f>
        <v>0.33333333333333331</v>
      </c>
      <c r="S83" s="183">
        <f>4+7</f>
        <v>11</v>
      </c>
      <c r="T83" s="216">
        <f>S83/T$72</f>
        <v>0.37931034482758619</v>
      </c>
      <c r="U83" s="183">
        <v>10</v>
      </c>
      <c r="V83" s="216">
        <f>U83/V$72</f>
        <v>0.35714285714285715</v>
      </c>
      <c r="W83" s="183">
        <f>2+8</f>
        <v>10</v>
      </c>
      <c r="X83" s="216">
        <f>W83/X$72</f>
        <v>0.33333333333333331</v>
      </c>
      <c r="Y83" s="183">
        <v>10</v>
      </c>
      <c r="Z83" s="1494">
        <f>Y83/Z$72</f>
        <v>0.34482758620689657</v>
      </c>
      <c r="AA83" s="955"/>
      <c r="AB83" s="1016">
        <f t="shared" si="16"/>
        <v>10.199999999999999</v>
      </c>
      <c r="AC83" s="863">
        <f t="shared" si="17"/>
        <v>0.34958949096880132</v>
      </c>
    </row>
    <row r="84" spans="1:29" ht="12" x14ac:dyDescent="0.2">
      <c r="B84" s="75" t="s">
        <v>125</v>
      </c>
      <c r="C84" s="230">
        <v>12</v>
      </c>
      <c r="D84" s="216">
        <f t="shared" si="18"/>
        <v>0.5</v>
      </c>
      <c r="E84" s="223">
        <v>17</v>
      </c>
      <c r="F84" s="311">
        <f>E84/F$72</f>
        <v>0.6071428571428571</v>
      </c>
      <c r="G84" s="230">
        <v>17</v>
      </c>
      <c r="H84" s="395">
        <f>G84/H$72</f>
        <v>0.6071428571428571</v>
      </c>
      <c r="I84" s="283">
        <v>21</v>
      </c>
      <c r="J84" s="221">
        <f>I84/J$72</f>
        <v>0.65625</v>
      </c>
      <c r="K84" s="230">
        <v>24</v>
      </c>
      <c r="L84" s="221">
        <f>K84/L$72</f>
        <v>0.68571428571428572</v>
      </c>
      <c r="M84" s="230">
        <f>19+2</f>
        <v>21</v>
      </c>
      <c r="N84" s="216">
        <f>M84/N$72</f>
        <v>0.72413793103448276</v>
      </c>
      <c r="O84" s="283">
        <v>21</v>
      </c>
      <c r="P84" s="216">
        <f>O84/P$72</f>
        <v>0.67741935483870963</v>
      </c>
      <c r="Q84" s="283">
        <v>20</v>
      </c>
      <c r="R84" s="216">
        <f>Q84/R$72</f>
        <v>0.66666666666666663</v>
      </c>
      <c r="S84" s="283">
        <f>3+15</f>
        <v>18</v>
      </c>
      <c r="T84" s="216">
        <f>S84/T$72</f>
        <v>0.62068965517241381</v>
      </c>
      <c r="U84" s="283">
        <v>18</v>
      </c>
      <c r="V84" s="216">
        <f>U84/V$72</f>
        <v>0.6428571428571429</v>
      </c>
      <c r="W84" s="283">
        <f>4+16</f>
        <v>20</v>
      </c>
      <c r="X84" s="216">
        <f>W84/X$72</f>
        <v>0.66666666666666663</v>
      </c>
      <c r="Y84" s="283">
        <v>19</v>
      </c>
      <c r="Z84" s="1494">
        <f>Y84/Z$72</f>
        <v>0.65517241379310343</v>
      </c>
      <c r="AA84" s="955"/>
      <c r="AB84" s="1016">
        <f t="shared" si="16"/>
        <v>19</v>
      </c>
      <c r="AC84" s="863">
        <f t="shared" si="17"/>
        <v>0.65041050903119868</v>
      </c>
    </row>
    <row r="85" spans="1:29" ht="12" x14ac:dyDescent="0.2">
      <c r="B85" s="343" t="s">
        <v>137</v>
      </c>
      <c r="C85" s="219"/>
      <c r="D85" s="216"/>
      <c r="E85" s="227"/>
      <c r="F85" s="311"/>
      <c r="G85" s="315"/>
      <c r="H85" s="395"/>
      <c r="I85" s="285"/>
      <c r="J85" s="221"/>
      <c r="K85" s="315"/>
      <c r="L85" s="221"/>
      <c r="M85" s="315"/>
      <c r="N85" s="216"/>
      <c r="O85" s="285"/>
      <c r="P85" s="216"/>
      <c r="Q85" s="285"/>
      <c r="R85" s="216"/>
      <c r="S85" s="285"/>
      <c r="T85" s="216"/>
      <c r="U85" s="285"/>
      <c r="V85" s="216"/>
      <c r="W85" s="285"/>
      <c r="X85" s="216"/>
      <c r="Y85" s="285"/>
      <c r="Z85" s="1494"/>
      <c r="AA85" s="955"/>
      <c r="AB85" s="1016"/>
      <c r="AC85" s="863"/>
    </row>
    <row r="86" spans="1:29" ht="12" x14ac:dyDescent="0.2">
      <c r="B86" s="75" t="s">
        <v>126</v>
      </c>
      <c r="C86" s="224">
        <v>12</v>
      </c>
      <c r="D86" s="216">
        <f t="shared" si="18"/>
        <v>0.5</v>
      </c>
      <c r="E86" s="223">
        <f>12+9</f>
        <v>21</v>
      </c>
      <c r="F86" s="311">
        <f>E86/F$72</f>
        <v>0.75</v>
      </c>
      <c r="G86" s="230">
        <v>12</v>
      </c>
      <c r="H86" s="395">
        <f>G86/H$72</f>
        <v>0.42857142857142855</v>
      </c>
      <c r="I86" s="283">
        <v>10</v>
      </c>
      <c r="J86" s="221">
        <f>I86/J$72</f>
        <v>0.3125</v>
      </c>
      <c r="K86" s="230">
        <v>10</v>
      </c>
      <c r="L86" s="221">
        <f>K86/L$72</f>
        <v>0.2857142857142857</v>
      </c>
      <c r="M86" s="230">
        <v>9</v>
      </c>
      <c r="N86" s="216">
        <f>M86/N$72</f>
        <v>0.31034482758620691</v>
      </c>
      <c r="O86" s="283">
        <v>11</v>
      </c>
      <c r="P86" s="216">
        <f>O86/P$72</f>
        <v>0.35483870967741937</v>
      </c>
      <c r="Q86" s="283">
        <v>12</v>
      </c>
      <c r="R86" s="216">
        <f>Q86/R$72</f>
        <v>0.4</v>
      </c>
      <c r="S86" s="283">
        <f>3+7</f>
        <v>10</v>
      </c>
      <c r="T86" s="216">
        <f>S86/T$72</f>
        <v>0.34482758620689657</v>
      </c>
      <c r="U86" s="283">
        <v>10</v>
      </c>
      <c r="V86" s="216">
        <f>U86/V$72</f>
        <v>0.35714285714285715</v>
      </c>
      <c r="W86" s="283">
        <f>2+9</f>
        <v>11</v>
      </c>
      <c r="X86" s="216">
        <f>W86/X$72</f>
        <v>0.36666666666666664</v>
      </c>
      <c r="Y86" s="283">
        <v>9</v>
      </c>
      <c r="Z86" s="1494">
        <f>Y86/Z$72</f>
        <v>0.31034482758620691</v>
      </c>
      <c r="AA86" s="955"/>
      <c r="AB86" s="1016">
        <f t="shared" si="16"/>
        <v>10.4</v>
      </c>
      <c r="AC86" s="863">
        <f t="shared" si="17"/>
        <v>0.35579638752052545</v>
      </c>
    </row>
    <row r="87" spans="1:29" ht="12" x14ac:dyDescent="0.2">
      <c r="B87" s="75" t="s">
        <v>127</v>
      </c>
      <c r="C87" s="224">
        <v>3</v>
      </c>
      <c r="D87" s="216">
        <f t="shared" si="18"/>
        <v>0.125</v>
      </c>
      <c r="E87" s="223">
        <v>3</v>
      </c>
      <c r="F87" s="311">
        <f>E87/F$72</f>
        <v>0.10714285714285714</v>
      </c>
      <c r="G87" s="230">
        <v>4</v>
      </c>
      <c r="H87" s="395">
        <f>G87/H$72</f>
        <v>0.14285714285714285</v>
      </c>
      <c r="I87" s="283">
        <v>5</v>
      </c>
      <c r="J87" s="221">
        <f>I87/J$72</f>
        <v>0.15625</v>
      </c>
      <c r="K87" s="230">
        <v>7</v>
      </c>
      <c r="L87" s="221">
        <f>K87/L$72</f>
        <v>0.2</v>
      </c>
      <c r="M87" s="230">
        <v>6</v>
      </c>
      <c r="N87" s="216">
        <f>M87/N$72</f>
        <v>0.20689655172413793</v>
      </c>
      <c r="O87" s="283">
        <v>3</v>
      </c>
      <c r="P87" s="216">
        <f>O87/P$72</f>
        <v>9.6774193548387094E-2</v>
      </c>
      <c r="Q87" s="283">
        <v>3</v>
      </c>
      <c r="R87" s="216">
        <f>Q87/R$72</f>
        <v>0.1</v>
      </c>
      <c r="S87" s="283">
        <f>0+5</f>
        <v>5</v>
      </c>
      <c r="T87" s="216">
        <f>S87/T$72</f>
        <v>0.17241379310344829</v>
      </c>
      <c r="U87" s="283">
        <v>5</v>
      </c>
      <c r="V87" s="216">
        <f>U87/V$72</f>
        <v>0.17857142857142858</v>
      </c>
      <c r="W87" s="283">
        <v>6</v>
      </c>
      <c r="X87" s="216">
        <f>W87/X$72</f>
        <v>0.2</v>
      </c>
      <c r="Y87" s="283">
        <v>8</v>
      </c>
      <c r="Z87" s="1494">
        <f>Y87/Z$72</f>
        <v>0.27586206896551724</v>
      </c>
      <c r="AA87" s="955"/>
      <c r="AB87" s="1016">
        <f t="shared" si="16"/>
        <v>5.4</v>
      </c>
      <c r="AC87" s="863">
        <f t="shared" si="17"/>
        <v>0.18536945812807881</v>
      </c>
    </row>
    <row r="88" spans="1:29" ht="12" x14ac:dyDescent="0.2">
      <c r="B88" s="75" t="s">
        <v>128</v>
      </c>
      <c r="C88" s="224">
        <v>9</v>
      </c>
      <c r="D88" s="216">
        <f t="shared" si="18"/>
        <v>0.375</v>
      </c>
      <c r="E88" s="223">
        <v>4</v>
      </c>
      <c r="F88" s="311">
        <f>E88/F$72</f>
        <v>0.14285714285714285</v>
      </c>
      <c r="G88" s="230">
        <v>12</v>
      </c>
      <c r="H88" s="395">
        <f>G88/H$72</f>
        <v>0.42857142857142855</v>
      </c>
      <c r="I88" s="283">
        <v>17</v>
      </c>
      <c r="J88" s="221">
        <f>I88/J$72</f>
        <v>0.53125</v>
      </c>
      <c r="K88" s="230">
        <v>18</v>
      </c>
      <c r="L88" s="221">
        <f>K88/L$72</f>
        <v>0.51428571428571423</v>
      </c>
      <c r="M88" s="230">
        <f>11+3</f>
        <v>14</v>
      </c>
      <c r="N88" s="216">
        <f>M88/N$72</f>
        <v>0.48275862068965519</v>
      </c>
      <c r="O88" s="283">
        <v>17</v>
      </c>
      <c r="P88" s="216">
        <f>O88/P$72</f>
        <v>0.54838709677419351</v>
      </c>
      <c r="Q88" s="283">
        <v>15</v>
      </c>
      <c r="R88" s="216">
        <f>Q88/R$72</f>
        <v>0.5</v>
      </c>
      <c r="S88" s="283">
        <f>4+10</f>
        <v>14</v>
      </c>
      <c r="T88" s="216">
        <f>S88/T$72</f>
        <v>0.48275862068965519</v>
      </c>
      <c r="U88" s="283">
        <v>13</v>
      </c>
      <c r="V88" s="216">
        <f>U88/V$72</f>
        <v>0.4642857142857143</v>
      </c>
      <c r="W88" s="283">
        <f>4+9</f>
        <v>13</v>
      </c>
      <c r="X88" s="216">
        <f>W88/X$72</f>
        <v>0.43333333333333335</v>
      </c>
      <c r="Y88" s="283">
        <v>12</v>
      </c>
      <c r="Z88" s="1494">
        <f>Y88/Z$72</f>
        <v>0.41379310344827586</v>
      </c>
      <c r="AA88" s="955"/>
      <c r="AB88" s="1016">
        <f t="shared" si="16"/>
        <v>13.4</v>
      </c>
      <c r="AC88" s="863">
        <f t="shared" si="17"/>
        <v>0.45883415435139574</v>
      </c>
    </row>
    <row r="89" spans="1:29" ht="12" x14ac:dyDescent="0.2">
      <c r="B89" s="343" t="s">
        <v>138</v>
      </c>
      <c r="C89" s="219"/>
      <c r="D89" s="216"/>
      <c r="E89" s="227"/>
      <c r="F89" s="311"/>
      <c r="G89" s="315"/>
      <c r="H89" s="395"/>
      <c r="I89" s="285"/>
      <c r="J89" s="221"/>
      <c r="K89" s="315"/>
      <c r="L89" s="221"/>
      <c r="M89" s="315"/>
      <c r="N89" s="216"/>
      <c r="O89" s="285"/>
      <c r="P89" s="216"/>
      <c r="Q89" s="285"/>
      <c r="R89" s="216"/>
      <c r="S89" s="285"/>
      <c r="T89" s="216"/>
      <c r="U89" s="285"/>
      <c r="V89" s="216"/>
      <c r="W89" s="285"/>
      <c r="X89" s="216"/>
      <c r="Y89" s="285"/>
      <c r="Z89" s="1494"/>
      <c r="AA89" s="955"/>
      <c r="AB89" s="1016"/>
      <c r="AC89" s="863"/>
    </row>
    <row r="90" spans="1:29" ht="12" x14ac:dyDescent="0.2">
      <c r="B90" s="75" t="s">
        <v>129</v>
      </c>
      <c r="C90" s="224">
        <v>16</v>
      </c>
      <c r="D90" s="216">
        <f t="shared" si="18"/>
        <v>0.66666666666666663</v>
      </c>
      <c r="E90" s="223">
        <v>18</v>
      </c>
      <c r="F90" s="311">
        <f>E90/F$72</f>
        <v>0.6428571428571429</v>
      </c>
      <c r="G90" s="230">
        <v>18</v>
      </c>
      <c r="H90" s="395">
        <f>G90/H$72</f>
        <v>0.6428571428571429</v>
      </c>
      <c r="I90" s="283">
        <v>19</v>
      </c>
      <c r="J90" s="221">
        <f>I90/J$72</f>
        <v>0.59375</v>
      </c>
      <c r="K90" s="230">
        <v>21</v>
      </c>
      <c r="L90" s="221">
        <f>K90/L$72</f>
        <v>0.6</v>
      </c>
      <c r="M90" s="230">
        <f>17+1</f>
        <v>18</v>
      </c>
      <c r="N90" s="216">
        <f>M90/N$72</f>
        <v>0.62068965517241381</v>
      </c>
      <c r="O90" s="283">
        <v>20</v>
      </c>
      <c r="P90" s="216">
        <f>O90/P$72</f>
        <v>0.64516129032258063</v>
      </c>
      <c r="Q90" s="283">
        <v>21</v>
      </c>
      <c r="R90" s="216">
        <f>Q90/R$72</f>
        <v>0.7</v>
      </c>
      <c r="S90" s="283">
        <f>17+5</f>
        <v>22</v>
      </c>
      <c r="T90" s="216">
        <f>S90/T$72</f>
        <v>0.75862068965517238</v>
      </c>
      <c r="U90" s="283">
        <v>21</v>
      </c>
      <c r="V90" s="216">
        <f>U90/V$72</f>
        <v>0.75</v>
      </c>
      <c r="W90" s="283">
        <f>4+20</f>
        <v>24</v>
      </c>
      <c r="X90" s="216">
        <f>W90/X$72</f>
        <v>0.8</v>
      </c>
      <c r="Y90" s="283">
        <v>22</v>
      </c>
      <c r="Z90" s="1494">
        <f>Y90/Z$72</f>
        <v>0.75862068965517238</v>
      </c>
      <c r="AA90" s="955"/>
      <c r="AB90" s="1016">
        <f t="shared" si="16"/>
        <v>22</v>
      </c>
      <c r="AC90" s="863">
        <f t="shared" si="17"/>
        <v>0.75344827586206908</v>
      </c>
    </row>
    <row r="91" spans="1:29" ht="12" x14ac:dyDescent="0.2">
      <c r="B91" s="75" t="s">
        <v>130</v>
      </c>
      <c r="C91" s="224">
        <v>5</v>
      </c>
      <c r="D91" s="216">
        <f t="shared" si="18"/>
        <v>0.20833333333333334</v>
      </c>
      <c r="E91" s="223">
        <v>8</v>
      </c>
      <c r="F91" s="311">
        <f>E91/F$72</f>
        <v>0.2857142857142857</v>
      </c>
      <c r="G91" s="230">
        <v>8</v>
      </c>
      <c r="H91" s="395">
        <f>G91/H$72</f>
        <v>0.2857142857142857</v>
      </c>
      <c r="I91" s="283">
        <v>9</v>
      </c>
      <c r="J91" s="221">
        <f>I91/J$72</f>
        <v>0.28125</v>
      </c>
      <c r="K91" s="230">
        <v>13</v>
      </c>
      <c r="L91" s="221">
        <f>K91/L$72</f>
        <v>0.37142857142857144</v>
      </c>
      <c r="M91" s="230">
        <f>8+2</f>
        <v>10</v>
      </c>
      <c r="N91" s="216">
        <f>M91/N$72</f>
        <v>0.34482758620689657</v>
      </c>
      <c r="O91" s="283">
        <v>10</v>
      </c>
      <c r="P91" s="216">
        <f>O91/P$72</f>
        <v>0.32258064516129031</v>
      </c>
      <c r="Q91" s="283">
        <v>8</v>
      </c>
      <c r="R91" s="216">
        <f>Q91/R$72</f>
        <v>0.26666666666666666</v>
      </c>
      <c r="S91" s="283">
        <f>5+2</f>
        <v>7</v>
      </c>
      <c r="T91" s="216">
        <f>S91/T$72</f>
        <v>0.2413793103448276</v>
      </c>
      <c r="U91" s="283">
        <v>7</v>
      </c>
      <c r="V91" s="216">
        <f>U91/V$72</f>
        <v>0.25</v>
      </c>
      <c r="W91" s="283">
        <f>2+4</f>
        <v>6</v>
      </c>
      <c r="X91" s="216">
        <f>W91/X$72</f>
        <v>0.2</v>
      </c>
      <c r="Y91" s="283">
        <v>7</v>
      </c>
      <c r="Z91" s="1494">
        <f>Y91/Z$72</f>
        <v>0.2413793103448276</v>
      </c>
      <c r="AA91" s="955"/>
      <c r="AB91" s="1016">
        <f t="shared" si="16"/>
        <v>7</v>
      </c>
      <c r="AC91" s="863">
        <f t="shared" si="17"/>
        <v>0.23988505747126437</v>
      </c>
    </row>
    <row r="92" spans="1:29" ht="12" x14ac:dyDescent="0.2">
      <c r="B92" s="75" t="s">
        <v>131</v>
      </c>
      <c r="C92" s="224">
        <v>3</v>
      </c>
      <c r="D92" s="216">
        <f t="shared" si="18"/>
        <v>0.125</v>
      </c>
      <c r="E92" s="223">
        <v>2</v>
      </c>
      <c r="F92" s="311">
        <f>E92/F$72</f>
        <v>7.1428571428571425E-2</v>
      </c>
      <c r="G92" s="230">
        <v>2</v>
      </c>
      <c r="H92" s="395">
        <f>G92/H$72</f>
        <v>7.1428571428571425E-2</v>
      </c>
      <c r="I92" s="283">
        <v>4</v>
      </c>
      <c r="J92" s="221">
        <f>I92/J$72</f>
        <v>0.125</v>
      </c>
      <c r="K92" s="230">
        <v>1</v>
      </c>
      <c r="L92" s="221">
        <f>K92/L$72</f>
        <v>2.8571428571428571E-2</v>
      </c>
      <c r="M92" s="230">
        <v>1</v>
      </c>
      <c r="N92" s="216">
        <f>M92/N$72</f>
        <v>3.4482758620689655E-2</v>
      </c>
      <c r="O92" s="283">
        <v>1</v>
      </c>
      <c r="P92" s="216">
        <f>O92/P$72</f>
        <v>3.2258064516129031E-2</v>
      </c>
      <c r="Q92" s="283">
        <v>1</v>
      </c>
      <c r="R92" s="216">
        <f>Q92/R$72</f>
        <v>3.3333333333333333E-2</v>
      </c>
      <c r="S92" s="283">
        <f>0</f>
        <v>0</v>
      </c>
      <c r="T92" s="216">
        <f>S92/T$72</f>
        <v>0</v>
      </c>
      <c r="U92" s="283">
        <v>0</v>
      </c>
      <c r="V92" s="216">
        <f>U92/V$72</f>
        <v>0</v>
      </c>
      <c r="W92" s="283">
        <v>0</v>
      </c>
      <c r="X92" s="216">
        <f>W92/X$72</f>
        <v>0</v>
      </c>
      <c r="Y92" s="283">
        <v>0</v>
      </c>
      <c r="Z92" s="1494">
        <f>Y92/Z$72</f>
        <v>0</v>
      </c>
      <c r="AB92" s="1016">
        <f t="shared" si="16"/>
        <v>0.2</v>
      </c>
      <c r="AC92" s="863">
        <f t="shared" si="17"/>
        <v>6.6666666666666662E-3</v>
      </c>
    </row>
    <row r="93" spans="1:29" thickBot="1" x14ac:dyDescent="0.25">
      <c r="B93" s="344" t="s">
        <v>132</v>
      </c>
      <c r="C93" s="61">
        <v>0</v>
      </c>
      <c r="D93" s="220">
        <f t="shared" si="18"/>
        <v>0</v>
      </c>
      <c r="E93" s="228">
        <v>0</v>
      </c>
      <c r="F93" s="312">
        <f>E93/F$72</f>
        <v>0</v>
      </c>
      <c r="G93" s="375">
        <v>0</v>
      </c>
      <c r="H93" s="397">
        <f>G93/H$72</f>
        <v>0</v>
      </c>
      <c r="I93" s="284">
        <v>0</v>
      </c>
      <c r="J93" s="222">
        <f>I93/J$72</f>
        <v>0</v>
      </c>
      <c r="K93" s="375">
        <v>0</v>
      </c>
      <c r="L93" s="222">
        <f>K93/L$72</f>
        <v>0</v>
      </c>
      <c r="M93" s="375">
        <v>0</v>
      </c>
      <c r="N93" s="220">
        <f>M93/N$72</f>
        <v>0</v>
      </c>
      <c r="O93" s="284">
        <v>0</v>
      </c>
      <c r="P93" s="220">
        <f>O93/P$72</f>
        <v>0</v>
      </c>
      <c r="Q93" s="284">
        <v>0</v>
      </c>
      <c r="R93" s="220">
        <f>Q93/R$72</f>
        <v>0</v>
      </c>
      <c r="S93" s="284">
        <v>0</v>
      </c>
      <c r="T93" s="220">
        <f>S93/T$72</f>
        <v>0</v>
      </c>
      <c r="U93" s="284">
        <v>0</v>
      </c>
      <c r="V93" s="220">
        <f>U93/V$72</f>
        <v>0</v>
      </c>
      <c r="W93" s="284">
        <v>0</v>
      </c>
      <c r="X93" s="220">
        <f>W93/X$72</f>
        <v>0</v>
      </c>
      <c r="Y93" s="284">
        <v>0</v>
      </c>
      <c r="Z93" s="1495">
        <f>Y93/Z$72</f>
        <v>0</v>
      </c>
      <c r="AB93" s="1016">
        <f t="shared" si="16"/>
        <v>0</v>
      </c>
      <c r="AC93" s="863">
        <f t="shared" si="17"/>
        <v>0</v>
      </c>
    </row>
    <row r="94" spans="1:29" customFormat="1" ht="14.25" thickTop="1" thickBot="1" x14ac:dyDescent="0.25">
      <c r="A94" s="1"/>
      <c r="B94" s="956" t="s">
        <v>186</v>
      </c>
      <c r="C94" s="1992" t="s">
        <v>51</v>
      </c>
      <c r="D94" s="1993"/>
      <c r="E94" s="1992" t="s">
        <v>52</v>
      </c>
      <c r="F94" s="1993"/>
      <c r="G94" s="1989" t="s">
        <v>184</v>
      </c>
      <c r="H94" s="1990"/>
      <c r="I94" s="1989" t="s">
        <v>185</v>
      </c>
      <c r="J94" s="1990"/>
      <c r="K94" s="1989" t="s">
        <v>202</v>
      </c>
      <c r="L94" s="1990"/>
      <c r="M94" s="1991" t="s">
        <v>203</v>
      </c>
      <c r="N94" s="1979"/>
      <c r="O94" s="1970" t="s">
        <v>228</v>
      </c>
      <c r="P94" s="1979"/>
      <c r="Q94" s="1970" t="s">
        <v>238</v>
      </c>
      <c r="R94" s="1979"/>
      <c r="S94" s="1970" t="s">
        <v>273</v>
      </c>
      <c r="T94" s="1979"/>
      <c r="U94" s="1970" t="s">
        <v>275</v>
      </c>
      <c r="V94" s="1979"/>
      <c r="W94" s="1970" t="s">
        <v>281</v>
      </c>
      <c r="X94" s="1979"/>
      <c r="Y94" s="1970" t="s">
        <v>291</v>
      </c>
      <c r="Z94" s="1976"/>
      <c r="AB94" s="2003" t="s">
        <v>213</v>
      </c>
      <c r="AC94" s="2004"/>
    </row>
    <row r="95" spans="1:29" customFormat="1" x14ac:dyDescent="0.2">
      <c r="A95" s="1"/>
      <c r="B95" s="957"/>
      <c r="C95" s="958"/>
      <c r="D95" s="959"/>
      <c r="E95" s="1273" t="s">
        <v>133</v>
      </c>
      <c r="F95" s="1180" t="s">
        <v>17</v>
      </c>
      <c r="G95" s="958" t="s">
        <v>133</v>
      </c>
      <c r="H95" s="1242" t="s">
        <v>17</v>
      </c>
      <c r="I95" s="1273" t="s">
        <v>133</v>
      </c>
      <c r="J95" s="1242" t="s">
        <v>17</v>
      </c>
      <c r="K95" s="1273" t="s">
        <v>133</v>
      </c>
      <c r="L95" s="1242" t="s">
        <v>17</v>
      </c>
      <c r="M95" s="1273" t="s">
        <v>133</v>
      </c>
      <c r="N95" s="1242" t="s">
        <v>17</v>
      </c>
      <c r="O95" s="1273" t="s">
        <v>133</v>
      </c>
      <c r="P95" s="959" t="s">
        <v>17</v>
      </c>
      <c r="Q95" s="1400" t="s">
        <v>133</v>
      </c>
      <c r="R95" s="959" t="s">
        <v>17</v>
      </c>
      <c r="S95" s="1400" t="s">
        <v>133</v>
      </c>
      <c r="T95" s="959" t="s">
        <v>17</v>
      </c>
      <c r="U95" s="1787" t="s">
        <v>133</v>
      </c>
      <c r="V95" s="959" t="s">
        <v>17</v>
      </c>
      <c r="W95" s="1787" t="s">
        <v>133</v>
      </c>
      <c r="X95" s="959" t="s">
        <v>17</v>
      </c>
      <c r="Y95" s="1787" t="s">
        <v>133</v>
      </c>
      <c r="Z95" s="954" t="s">
        <v>17</v>
      </c>
      <c r="AB95" s="953" t="s">
        <v>133</v>
      </c>
      <c r="AC95" s="954" t="s">
        <v>17</v>
      </c>
    </row>
    <row r="96" spans="1:29" customFormat="1" x14ac:dyDescent="0.2">
      <c r="A96" s="1"/>
      <c r="B96" s="341" t="s">
        <v>187</v>
      </c>
      <c r="C96" s="960">
        <v>0</v>
      </c>
      <c r="D96" s="961">
        <v>0</v>
      </c>
      <c r="E96" s="960">
        <v>0</v>
      </c>
      <c r="F96" s="961">
        <v>0</v>
      </c>
      <c r="G96" s="960">
        <v>0</v>
      </c>
      <c r="H96" s="961">
        <v>0</v>
      </c>
      <c r="I96" s="960">
        <v>0</v>
      </c>
      <c r="J96" s="961">
        <v>0</v>
      </c>
      <c r="K96" s="960">
        <v>0</v>
      </c>
      <c r="L96" s="961">
        <v>0</v>
      </c>
      <c r="M96" s="960">
        <v>0</v>
      </c>
      <c r="N96" s="961">
        <v>0</v>
      </c>
      <c r="O96" s="960">
        <v>0</v>
      </c>
      <c r="P96" s="961">
        <v>0</v>
      </c>
      <c r="Q96" s="960">
        <v>0</v>
      </c>
      <c r="R96" s="961">
        <v>0</v>
      </c>
      <c r="S96" s="960">
        <v>0</v>
      </c>
      <c r="T96" s="961">
        <v>0</v>
      </c>
      <c r="U96" s="960">
        <v>0</v>
      </c>
      <c r="V96" s="961">
        <v>0</v>
      </c>
      <c r="W96" s="960">
        <v>0</v>
      </c>
      <c r="X96" s="961">
        <v>0</v>
      </c>
      <c r="Y96" s="960">
        <v>0</v>
      </c>
      <c r="Z96" s="1517">
        <v>0</v>
      </c>
      <c r="AB96" s="1115">
        <f t="shared" ref="AB96:AB98" si="19">AVERAGE(W96,U96,Q96,S96,Y96)</f>
        <v>0</v>
      </c>
      <c r="AC96" s="1116">
        <f t="shared" ref="AC96:AC98" si="20">AVERAGE(X96,V96,R96,T96,Z96)</f>
        <v>0</v>
      </c>
    </row>
    <row r="97" spans="1:31" customFormat="1" x14ac:dyDescent="0.2">
      <c r="A97" s="1"/>
      <c r="B97" s="341" t="s">
        <v>188</v>
      </c>
      <c r="C97" s="960">
        <v>24</v>
      </c>
      <c r="D97" s="961">
        <v>11.1</v>
      </c>
      <c r="E97" s="960">
        <v>24</v>
      </c>
      <c r="F97" s="961">
        <v>11.5</v>
      </c>
      <c r="G97" s="960">
        <v>22</v>
      </c>
      <c r="H97" s="961">
        <v>10.7</v>
      </c>
      <c r="I97" s="960">
        <v>18</v>
      </c>
      <c r="J97" s="961">
        <v>8.5</v>
      </c>
      <c r="K97" s="960">
        <v>10</v>
      </c>
      <c r="L97" s="961">
        <v>4.5999999999999996</v>
      </c>
      <c r="M97" s="960">
        <v>13</v>
      </c>
      <c r="N97" s="961">
        <v>16.399999999999999</v>
      </c>
      <c r="O97" s="960">
        <v>16</v>
      </c>
      <c r="P97" s="961">
        <v>7.8</v>
      </c>
      <c r="Q97" s="960">
        <v>22</v>
      </c>
      <c r="R97" s="961">
        <v>11</v>
      </c>
      <c r="S97" s="960">
        <v>18</v>
      </c>
      <c r="T97" s="961">
        <v>9</v>
      </c>
      <c r="U97" s="960">
        <v>21</v>
      </c>
      <c r="V97" s="961">
        <v>10.5</v>
      </c>
      <c r="W97" s="960">
        <v>20</v>
      </c>
      <c r="X97" s="961">
        <v>9.75</v>
      </c>
      <c r="Y97" s="960">
        <v>19</v>
      </c>
      <c r="Z97" s="1517">
        <v>9.1999999999999993</v>
      </c>
      <c r="AB97" s="1115">
        <f t="shared" si="19"/>
        <v>20</v>
      </c>
      <c r="AC97" s="1116">
        <f t="shared" si="20"/>
        <v>9.89</v>
      </c>
    </row>
    <row r="98" spans="1:31" customFormat="1" ht="13.5" thickBot="1" x14ac:dyDescent="0.25">
      <c r="A98" s="1"/>
      <c r="B98" s="344" t="s">
        <v>211</v>
      </c>
      <c r="C98" s="962">
        <v>0</v>
      </c>
      <c r="D98" s="963">
        <v>0</v>
      </c>
      <c r="E98" s="964">
        <v>0</v>
      </c>
      <c r="F98" s="963">
        <v>0</v>
      </c>
      <c r="G98" s="964">
        <v>0</v>
      </c>
      <c r="H98" s="963">
        <v>0</v>
      </c>
      <c r="I98" s="964">
        <v>0</v>
      </c>
      <c r="J98" s="963">
        <v>0</v>
      </c>
      <c r="K98" s="964">
        <v>0</v>
      </c>
      <c r="L98" s="963">
        <v>0</v>
      </c>
      <c r="M98" s="964">
        <v>0</v>
      </c>
      <c r="N98" s="963">
        <v>0</v>
      </c>
      <c r="O98" s="964">
        <v>0</v>
      </c>
      <c r="P98" s="963">
        <v>0</v>
      </c>
      <c r="Q98" s="964">
        <v>0</v>
      </c>
      <c r="R98" s="963">
        <v>0</v>
      </c>
      <c r="S98" s="964">
        <v>0</v>
      </c>
      <c r="T98" s="963">
        <v>0</v>
      </c>
      <c r="U98" s="964">
        <v>0</v>
      </c>
      <c r="V98" s="963">
        <v>0</v>
      </c>
      <c r="W98" s="964">
        <v>0</v>
      </c>
      <c r="X98" s="963">
        <v>0</v>
      </c>
      <c r="Y98" s="964">
        <v>0</v>
      </c>
      <c r="Z98" s="1518">
        <v>0</v>
      </c>
      <c r="AB98" s="1115">
        <f t="shared" si="19"/>
        <v>0</v>
      </c>
      <c r="AC98" s="1116">
        <f t="shared" si="20"/>
        <v>0</v>
      </c>
    </row>
    <row r="99" spans="1:31" customFormat="1" ht="17.25" thickTop="1" thickBot="1" x14ac:dyDescent="0.3">
      <c r="A99" s="966"/>
      <c r="B99" s="967"/>
      <c r="C99" s="1992" t="s">
        <v>51</v>
      </c>
      <c r="D99" s="1993"/>
      <c r="E99" s="1992" t="s">
        <v>52</v>
      </c>
      <c r="F99" s="1993"/>
      <c r="G99" s="1989" t="s">
        <v>184</v>
      </c>
      <c r="H99" s="1990"/>
      <c r="I99" s="1989" t="s">
        <v>185</v>
      </c>
      <c r="J99" s="1990"/>
      <c r="K99" s="1989" t="s">
        <v>202</v>
      </c>
      <c r="L99" s="1990"/>
      <c r="M99" s="1991" t="s">
        <v>203</v>
      </c>
      <c r="N99" s="1979"/>
      <c r="O99" s="1970" t="s">
        <v>254</v>
      </c>
      <c r="P99" s="1979"/>
      <c r="Q99" s="1970" t="s">
        <v>238</v>
      </c>
      <c r="R99" s="1979"/>
      <c r="S99" s="1970" t="s">
        <v>273</v>
      </c>
      <c r="T99" s="1979"/>
      <c r="U99" s="1970" t="s">
        <v>275</v>
      </c>
      <c r="V99" s="1979"/>
      <c r="W99" s="1970" t="s">
        <v>281</v>
      </c>
      <c r="X99" s="1979"/>
      <c r="Y99" s="1970" t="s">
        <v>291</v>
      </c>
      <c r="Z99" s="1976"/>
      <c r="AA99" s="968"/>
      <c r="AB99" s="1987"/>
      <c r="AC99" s="1988"/>
      <c r="AD99" s="3"/>
      <c r="AE99" s="3"/>
    </row>
    <row r="100" spans="1:31" customFormat="1" x14ac:dyDescent="0.2">
      <c r="A100" s="3"/>
      <c r="B100" s="342" t="s">
        <v>210</v>
      </c>
      <c r="C100" s="3"/>
      <c r="D100" s="969"/>
      <c r="E100" s="970"/>
      <c r="F100" s="971"/>
      <c r="G100" s="972"/>
      <c r="H100" s="973"/>
      <c r="I100" s="974"/>
      <c r="J100" s="593"/>
      <c r="K100" s="975"/>
      <c r="L100" s="976"/>
      <c r="M100" s="975"/>
      <c r="N100" s="991"/>
      <c r="O100" s="117"/>
      <c r="P100" s="1422"/>
      <c r="Q100" s="975"/>
      <c r="R100" s="991"/>
      <c r="S100" s="975"/>
      <c r="T100" s="991"/>
      <c r="U100" s="117"/>
      <c r="V100" s="1422"/>
      <c r="W100" s="975"/>
      <c r="X100" s="991"/>
      <c r="Y100" s="975"/>
      <c r="Z100" s="977"/>
      <c r="AA100" s="28"/>
      <c r="AB100" s="28"/>
      <c r="AC100" s="28"/>
      <c r="AD100" s="3"/>
      <c r="AE100" s="3"/>
    </row>
    <row r="101" spans="1:31" customFormat="1" x14ac:dyDescent="0.2">
      <c r="A101" s="930"/>
      <c r="B101" s="979" t="s">
        <v>192</v>
      </c>
      <c r="C101" s="1983">
        <v>8.4</v>
      </c>
      <c r="D101" s="1984"/>
      <c r="E101" s="980"/>
      <c r="F101" s="981"/>
      <c r="G101" s="982"/>
      <c r="H101" s="983"/>
      <c r="I101" s="1983">
        <v>8.5</v>
      </c>
      <c r="J101" s="1984"/>
      <c r="K101" s="984"/>
      <c r="L101" s="985"/>
      <c r="M101" s="984"/>
      <c r="N101" s="991"/>
      <c r="O101" s="136"/>
      <c r="P101" s="1401">
        <v>14.2</v>
      </c>
      <c r="Q101" s="984"/>
      <c r="R101" s="991"/>
      <c r="S101" s="984"/>
      <c r="T101" s="991"/>
      <c r="U101" s="136"/>
      <c r="V101" s="1401">
        <v>13.5</v>
      </c>
      <c r="W101" s="984"/>
      <c r="X101" s="991"/>
      <c r="Y101" s="984"/>
      <c r="Z101" s="977"/>
      <c r="AA101" s="28"/>
      <c r="AB101" s="28"/>
      <c r="AC101" s="1106"/>
      <c r="AD101" s="3"/>
      <c r="AE101" s="3"/>
    </row>
    <row r="102" spans="1:31" customFormat="1" x14ac:dyDescent="0.2">
      <c r="A102" s="930"/>
      <c r="B102" s="986" t="s">
        <v>193</v>
      </c>
      <c r="C102" s="1983"/>
      <c r="D102" s="1984"/>
      <c r="E102" s="980"/>
      <c r="F102" s="981"/>
      <c r="G102" s="982"/>
      <c r="H102" s="983"/>
      <c r="I102" s="1983"/>
      <c r="J102" s="1984"/>
      <c r="K102" s="984"/>
      <c r="L102" s="985"/>
      <c r="M102" s="984"/>
      <c r="N102" s="991"/>
      <c r="O102" s="136"/>
      <c r="P102" s="1401"/>
      <c r="Q102" s="984"/>
      <c r="R102" s="991"/>
      <c r="S102" s="984"/>
      <c r="T102" s="991"/>
      <c r="U102" s="136"/>
      <c r="V102" s="1401"/>
      <c r="W102" s="984"/>
      <c r="X102" s="991"/>
      <c r="Y102" s="984"/>
      <c r="Z102" s="977"/>
      <c r="AA102" s="28"/>
      <c r="AB102" s="28"/>
      <c r="AC102" s="1106"/>
      <c r="AD102" s="3"/>
      <c r="AE102" s="3"/>
    </row>
    <row r="103" spans="1:31" customFormat="1" x14ac:dyDescent="0.2">
      <c r="A103" s="930"/>
      <c r="B103" s="986" t="s">
        <v>194</v>
      </c>
      <c r="C103" s="1983">
        <v>10.6</v>
      </c>
      <c r="D103" s="1984"/>
      <c r="E103" s="980"/>
      <c r="F103" s="981"/>
      <c r="G103" s="982"/>
      <c r="H103" s="983"/>
      <c r="I103" s="1983">
        <v>7.5</v>
      </c>
      <c r="J103" s="1984"/>
      <c r="K103" s="984"/>
      <c r="L103" s="985"/>
      <c r="M103" s="984"/>
      <c r="N103" s="991"/>
      <c r="O103" s="136"/>
      <c r="P103" s="1401">
        <v>7.5</v>
      </c>
      <c r="Q103" s="984"/>
      <c r="R103" s="991"/>
      <c r="S103" s="984"/>
      <c r="T103" s="991"/>
      <c r="U103" s="136"/>
      <c r="V103" s="1401">
        <v>9</v>
      </c>
      <c r="W103" s="984"/>
      <c r="X103" s="991"/>
      <c r="Y103" s="984"/>
      <c r="Z103" s="977"/>
      <c r="AA103" s="28"/>
      <c r="AB103" s="28"/>
      <c r="AC103" s="1106"/>
      <c r="AD103" s="3"/>
      <c r="AE103" s="3"/>
    </row>
    <row r="104" spans="1:31" customFormat="1" x14ac:dyDescent="0.2">
      <c r="A104" s="930"/>
      <c r="B104" s="979" t="s">
        <v>195</v>
      </c>
      <c r="C104" s="1983">
        <v>0.5</v>
      </c>
      <c r="D104" s="1984"/>
      <c r="E104" s="980"/>
      <c r="F104" s="981"/>
      <c r="G104" s="982"/>
      <c r="H104" s="983"/>
      <c r="I104" s="1983">
        <v>1</v>
      </c>
      <c r="J104" s="1984"/>
      <c r="K104" s="984"/>
      <c r="L104" s="985"/>
      <c r="M104" s="984"/>
      <c r="N104" s="991"/>
      <c r="O104" s="136"/>
      <c r="P104" s="1401">
        <v>1</v>
      </c>
      <c r="Q104" s="984"/>
      <c r="R104" s="991"/>
      <c r="S104" s="984"/>
      <c r="T104" s="991"/>
      <c r="U104" s="136"/>
      <c r="V104" s="1401">
        <v>1.5</v>
      </c>
      <c r="W104" s="984"/>
      <c r="X104" s="991"/>
      <c r="Y104" s="984"/>
      <c r="Z104" s="977"/>
      <c r="AA104" s="28"/>
      <c r="AB104" s="28"/>
      <c r="AC104" s="1106"/>
      <c r="AD104" s="3"/>
      <c r="AE104" s="3"/>
    </row>
    <row r="105" spans="1:31" customFormat="1" x14ac:dyDescent="0.2">
      <c r="A105" s="930"/>
      <c r="B105" s="987" t="s">
        <v>196</v>
      </c>
      <c r="C105" s="1983">
        <v>7.5</v>
      </c>
      <c r="D105" s="1984"/>
      <c r="E105" s="980"/>
      <c r="F105" s="981"/>
      <c r="G105" s="982"/>
      <c r="H105" s="983"/>
      <c r="I105" s="1983">
        <v>13.2</v>
      </c>
      <c r="J105" s="1984"/>
      <c r="K105" s="984"/>
      <c r="L105" s="985"/>
      <c r="M105" s="984"/>
      <c r="N105" s="991"/>
      <c r="O105" s="136"/>
      <c r="P105" s="1401">
        <v>13.9</v>
      </c>
      <c r="Q105" s="984"/>
      <c r="R105" s="991"/>
      <c r="S105" s="984"/>
      <c r="T105" s="991"/>
      <c r="U105" s="136"/>
      <c r="V105" s="1401">
        <f>1.75+10</f>
        <v>11.75</v>
      </c>
      <c r="W105" s="984"/>
      <c r="X105" s="991"/>
      <c r="Y105" s="984"/>
      <c r="Z105" s="977"/>
      <c r="AA105" s="28"/>
      <c r="AB105" s="28"/>
      <c r="AC105" s="1106"/>
      <c r="AD105" s="3"/>
      <c r="AE105" s="3"/>
    </row>
    <row r="106" spans="1:31" customFormat="1" x14ac:dyDescent="0.2">
      <c r="A106" s="930"/>
      <c r="B106" s="987" t="s">
        <v>197</v>
      </c>
      <c r="C106" s="1983">
        <f>SUM(C101:D105)</f>
        <v>27</v>
      </c>
      <c r="D106" s="1984"/>
      <c r="E106" s="980"/>
      <c r="F106" s="981"/>
      <c r="G106" s="982"/>
      <c r="H106" s="983"/>
      <c r="I106" s="1983">
        <f>SUM(I101:J105)</f>
        <v>30.2</v>
      </c>
      <c r="J106" s="1984"/>
      <c r="K106" s="984"/>
      <c r="L106" s="985"/>
      <c r="M106" s="984"/>
      <c r="N106" s="991"/>
      <c r="O106" s="136"/>
      <c r="P106" s="1401">
        <f>SUM(P101:P105)</f>
        <v>36.6</v>
      </c>
      <c r="Q106" s="984"/>
      <c r="R106" s="991"/>
      <c r="S106" s="984"/>
      <c r="T106" s="991"/>
      <c r="U106" s="136"/>
      <c r="V106" s="1401">
        <f>SUM(V101:V105)</f>
        <v>35.75</v>
      </c>
      <c r="W106" s="984"/>
      <c r="X106" s="991"/>
      <c r="Y106" s="984"/>
      <c r="Z106" s="977"/>
      <c r="AA106" s="28"/>
      <c r="AB106" s="28"/>
      <c r="AC106" s="1106"/>
      <c r="AD106" s="3"/>
      <c r="AE106" s="3"/>
    </row>
    <row r="107" spans="1:31" customFormat="1" ht="13.5" thickBot="1" x14ac:dyDescent="0.25">
      <c r="A107" s="930"/>
      <c r="B107" s="988" t="s">
        <v>204</v>
      </c>
      <c r="C107" s="2056"/>
      <c r="D107" s="2055"/>
      <c r="E107" s="989"/>
      <c r="F107" s="990"/>
      <c r="G107" s="975"/>
      <c r="H107" s="991"/>
      <c r="I107" s="2056"/>
      <c r="J107" s="2055"/>
      <c r="K107" s="984"/>
      <c r="L107" s="985"/>
      <c r="M107" s="984"/>
      <c r="N107" s="991"/>
      <c r="O107" s="136"/>
      <c r="P107" s="1422"/>
      <c r="Q107" s="984"/>
      <c r="R107" s="991"/>
      <c r="S107" s="984"/>
      <c r="T107" s="991"/>
      <c r="U107" s="136"/>
      <c r="V107" s="1422"/>
      <c r="W107" s="984"/>
      <c r="X107" s="991"/>
      <c r="Y107" s="984"/>
      <c r="Z107" s="977"/>
      <c r="AA107" s="28"/>
      <c r="AB107" s="28"/>
      <c r="AC107" s="1106"/>
      <c r="AD107" s="3"/>
      <c r="AE107" s="3"/>
    </row>
    <row r="108" spans="1:31" customFormat="1" x14ac:dyDescent="0.2">
      <c r="A108" s="930"/>
      <c r="B108" s="979" t="s">
        <v>198</v>
      </c>
      <c r="C108" s="2043">
        <v>1428</v>
      </c>
      <c r="D108" s="2044"/>
      <c r="E108" s="992"/>
      <c r="F108" s="993"/>
      <c r="G108" s="994"/>
      <c r="H108" s="995"/>
      <c r="I108" s="2043">
        <v>1505</v>
      </c>
      <c r="J108" s="2044"/>
      <c r="K108" s="984"/>
      <c r="L108" s="985"/>
      <c r="M108" s="984"/>
      <c r="N108" s="991"/>
      <c r="O108" s="136"/>
      <c r="P108" s="1462">
        <v>4373</v>
      </c>
      <c r="Q108" s="984"/>
      <c r="R108" s="991"/>
      <c r="S108" s="984"/>
      <c r="T108" s="991"/>
      <c r="U108" s="136"/>
      <c r="V108" s="1462">
        <v>4013</v>
      </c>
      <c r="W108" s="984"/>
      <c r="X108" s="991"/>
      <c r="Y108" s="984"/>
      <c r="Z108" s="977"/>
      <c r="AA108" s="28"/>
      <c r="AB108" s="28"/>
      <c r="AC108" s="1473"/>
      <c r="AD108" s="3"/>
      <c r="AE108" s="3"/>
    </row>
    <row r="109" spans="1:31" customFormat="1" x14ac:dyDescent="0.2">
      <c r="A109" s="930"/>
      <c r="B109" s="987" t="s">
        <v>199</v>
      </c>
      <c r="C109" s="2043">
        <v>3967</v>
      </c>
      <c r="D109" s="2044"/>
      <c r="E109" s="992"/>
      <c r="F109" s="993"/>
      <c r="G109" s="994"/>
      <c r="H109" s="995"/>
      <c r="I109" s="2043">
        <v>2290</v>
      </c>
      <c r="J109" s="2044"/>
      <c r="K109" s="984"/>
      <c r="L109" s="985"/>
      <c r="M109" s="984"/>
      <c r="N109" s="991"/>
      <c r="O109" s="136"/>
      <c r="P109" s="1462">
        <v>115</v>
      </c>
      <c r="Q109" s="984"/>
      <c r="R109" s="991"/>
      <c r="S109" s="984"/>
      <c r="T109" s="991"/>
      <c r="U109" s="136"/>
      <c r="V109" s="1462">
        <v>2592</v>
      </c>
      <c r="W109" s="984"/>
      <c r="X109" s="991"/>
      <c r="Y109" s="984"/>
      <c r="Z109" s="977"/>
      <c r="AA109" s="28"/>
      <c r="AB109" s="28"/>
      <c r="AC109" s="1473"/>
      <c r="AD109" s="3"/>
      <c r="AE109" s="3"/>
    </row>
    <row r="110" spans="1:31" customFormat="1" x14ac:dyDescent="0.2">
      <c r="A110" s="930"/>
      <c r="B110" s="987" t="s">
        <v>200</v>
      </c>
      <c r="C110" s="2043">
        <v>2506</v>
      </c>
      <c r="D110" s="2044"/>
      <c r="E110" s="992"/>
      <c r="F110" s="993"/>
      <c r="G110" s="994"/>
      <c r="H110" s="995"/>
      <c r="I110" s="2043">
        <v>3665</v>
      </c>
      <c r="J110" s="2044"/>
      <c r="K110" s="984"/>
      <c r="L110" s="985"/>
      <c r="M110" s="984"/>
      <c r="N110" s="991"/>
      <c r="O110" s="136"/>
      <c r="P110" s="1462">
        <f>681+1950</f>
        <v>2631</v>
      </c>
      <c r="Q110" s="984"/>
      <c r="R110" s="991"/>
      <c r="S110" s="984"/>
      <c r="T110" s="991"/>
      <c r="U110" s="136"/>
      <c r="V110" s="1462">
        <f>54+2011</f>
        <v>2065</v>
      </c>
      <c r="W110" s="984"/>
      <c r="X110" s="991"/>
      <c r="Y110" s="984"/>
      <c r="Z110" s="977"/>
      <c r="AA110" s="28"/>
      <c r="AB110" s="28"/>
      <c r="AC110" s="1473"/>
      <c r="AD110" s="3"/>
      <c r="AE110" s="3"/>
    </row>
    <row r="111" spans="1:31" customFormat="1" x14ac:dyDescent="0.2">
      <c r="A111" s="930"/>
      <c r="B111" s="987" t="s">
        <v>209</v>
      </c>
      <c r="C111" s="2043">
        <v>7901</v>
      </c>
      <c r="D111" s="2044"/>
      <c r="E111" s="992"/>
      <c r="F111" s="993"/>
      <c r="G111" s="994"/>
      <c r="H111" s="995"/>
      <c r="I111" s="2043">
        <f>SUM(I108:J110)</f>
        <v>7460</v>
      </c>
      <c r="J111" s="2044"/>
      <c r="K111" s="984"/>
      <c r="L111" s="985"/>
      <c r="M111" s="984"/>
      <c r="N111" s="991"/>
      <c r="O111" s="136"/>
      <c r="P111" s="1462">
        <f>SUM(P108:P110)</f>
        <v>7119</v>
      </c>
      <c r="Q111" s="984"/>
      <c r="R111" s="991"/>
      <c r="S111" s="984"/>
      <c r="T111" s="991"/>
      <c r="U111" s="136"/>
      <c r="V111" s="1462">
        <f>SUM(V108:V110)</f>
        <v>8670</v>
      </c>
      <c r="W111" s="984"/>
      <c r="X111" s="991"/>
      <c r="Y111" s="984"/>
      <c r="Z111" s="977"/>
      <c r="AA111" s="28"/>
      <c r="AB111" s="28"/>
      <c r="AC111" s="1473"/>
      <c r="AD111" s="3"/>
      <c r="AE111" s="3"/>
    </row>
    <row r="112" spans="1:31" customFormat="1" ht="13.5" thickBot="1" x14ac:dyDescent="0.25">
      <c r="A112" s="930"/>
      <c r="B112" s="988" t="s">
        <v>205</v>
      </c>
      <c r="C112" s="2056"/>
      <c r="D112" s="2055"/>
      <c r="E112" s="989"/>
      <c r="F112" s="990"/>
      <c r="G112" s="975"/>
      <c r="H112" s="991"/>
      <c r="I112" s="2056"/>
      <c r="J112" s="2055"/>
      <c r="K112" s="984"/>
      <c r="L112" s="985"/>
      <c r="M112" s="984"/>
      <c r="N112" s="991"/>
      <c r="O112" s="136"/>
      <c r="P112" s="1422"/>
      <c r="Q112" s="984"/>
      <c r="R112" s="991"/>
      <c r="S112" s="984"/>
      <c r="T112" s="991"/>
      <c r="U112" s="136"/>
      <c r="V112" s="1422"/>
      <c r="W112" s="984"/>
      <c r="X112" s="991"/>
      <c r="Y112" s="984"/>
      <c r="Z112" s="977"/>
      <c r="AA112" s="28"/>
      <c r="AB112" s="28"/>
      <c r="AC112" s="1106"/>
      <c r="AD112" s="28"/>
      <c r="AE112" s="28"/>
    </row>
    <row r="113" spans="1:31" customFormat="1" x14ac:dyDescent="0.2">
      <c r="A113" s="930"/>
      <c r="B113" s="979" t="s">
        <v>206</v>
      </c>
      <c r="C113" s="1985">
        <f>C108/C101</f>
        <v>170</v>
      </c>
      <c r="D113" s="1986"/>
      <c r="E113" s="996"/>
      <c r="F113" s="997"/>
      <c r="G113" s="998"/>
      <c r="H113" s="999"/>
      <c r="I113" s="1985">
        <f>I108/I101</f>
        <v>177.05882352941177</v>
      </c>
      <c r="J113" s="1986"/>
      <c r="K113" s="1000"/>
      <c r="L113" s="1001"/>
      <c r="M113" s="1000"/>
      <c r="N113" s="999"/>
      <c r="O113" s="494"/>
      <c r="P113" s="1402">
        <f>P108/P101</f>
        <v>307.95774647887328</v>
      </c>
      <c r="Q113" s="1000"/>
      <c r="R113" s="999"/>
      <c r="S113" s="1000"/>
      <c r="T113" s="999"/>
      <c r="U113" s="494"/>
      <c r="V113" s="1402">
        <f>V108/V101</f>
        <v>297.25925925925924</v>
      </c>
      <c r="W113" s="1000"/>
      <c r="X113" s="999"/>
      <c r="Y113" s="1000"/>
      <c r="Z113" s="1460"/>
      <c r="AA113" s="668"/>
      <c r="AB113" s="668"/>
      <c r="AC113" s="1106"/>
      <c r="AD113" s="21"/>
      <c r="AE113" s="21"/>
    </row>
    <row r="114" spans="1:31" customFormat="1" x14ac:dyDescent="0.2">
      <c r="A114" s="930"/>
      <c r="B114" s="987" t="s">
        <v>207</v>
      </c>
      <c r="C114" s="1985">
        <f>C109/C103</f>
        <v>374.24528301886795</v>
      </c>
      <c r="D114" s="1986"/>
      <c r="E114" s="996"/>
      <c r="F114" s="997"/>
      <c r="G114" s="998"/>
      <c r="H114" s="999"/>
      <c r="I114" s="1985">
        <f>I109/I103</f>
        <v>305.33333333333331</v>
      </c>
      <c r="J114" s="1986"/>
      <c r="K114" s="1000"/>
      <c r="L114" s="1001"/>
      <c r="M114" s="1000"/>
      <c r="N114" s="999"/>
      <c r="O114" s="494"/>
      <c r="P114" s="1402">
        <f>P109/P103</f>
        <v>15.333333333333334</v>
      </c>
      <c r="Q114" s="1000"/>
      <c r="R114" s="999"/>
      <c r="S114" s="1000"/>
      <c r="T114" s="999"/>
      <c r="U114" s="494"/>
      <c r="V114" s="1402">
        <f>V109/(V103+V104)</f>
        <v>246.85714285714286</v>
      </c>
      <c r="W114" s="1000"/>
      <c r="X114" s="999"/>
      <c r="Y114" s="1000"/>
      <c r="Z114" s="1460"/>
      <c r="AA114" s="668"/>
      <c r="AB114" s="668"/>
      <c r="AC114" s="1106"/>
      <c r="AD114" s="21"/>
      <c r="AE114" s="21"/>
    </row>
    <row r="115" spans="1:31" customFormat="1" x14ac:dyDescent="0.2">
      <c r="A115" s="930"/>
      <c r="B115" s="987" t="s">
        <v>208</v>
      </c>
      <c r="C115" s="1985">
        <f>C110/C105</f>
        <v>334.13333333333333</v>
      </c>
      <c r="D115" s="1986"/>
      <c r="E115" s="996"/>
      <c r="F115" s="997"/>
      <c r="G115" s="998"/>
      <c r="H115" s="999"/>
      <c r="I115" s="1985">
        <f>I110/I105</f>
        <v>277.65151515151518</v>
      </c>
      <c r="J115" s="1986"/>
      <c r="K115" s="1000"/>
      <c r="L115" s="1001"/>
      <c r="M115" s="1000"/>
      <c r="N115" s="999"/>
      <c r="O115" s="494"/>
      <c r="P115" s="1402">
        <f>P110/P105</f>
        <v>189.28057553956833</v>
      </c>
      <c r="Q115" s="1000"/>
      <c r="R115" s="999"/>
      <c r="S115" s="1000"/>
      <c r="T115" s="999"/>
      <c r="U115" s="494"/>
      <c r="V115" s="1402">
        <f>V110/V105</f>
        <v>175.74468085106383</v>
      </c>
      <c r="W115" s="1000"/>
      <c r="X115" s="999"/>
      <c r="Y115" s="1000"/>
      <c r="Z115" s="1460"/>
      <c r="AA115" s="668"/>
      <c r="AB115" s="668"/>
      <c r="AC115" s="1106"/>
      <c r="AD115" s="21"/>
      <c r="AE115" s="21"/>
    </row>
    <row r="116" spans="1:31" customFormat="1" ht="13.5" thickBot="1" x14ac:dyDescent="0.25">
      <c r="A116" s="930"/>
      <c r="B116" s="1002" t="s">
        <v>201</v>
      </c>
      <c r="C116" s="2045">
        <f>C111/C106</f>
        <v>292.62962962962962</v>
      </c>
      <c r="D116" s="2046"/>
      <c r="E116" s="1003"/>
      <c r="F116" s="1004"/>
      <c r="G116" s="1005"/>
      <c r="H116" s="1006"/>
      <c r="I116" s="2045">
        <f>I111/I106</f>
        <v>247.01986754966887</v>
      </c>
      <c r="J116" s="2046"/>
      <c r="K116" s="1005"/>
      <c r="L116" s="1006"/>
      <c r="M116" s="1005"/>
      <c r="N116" s="1006"/>
      <c r="O116" s="1233"/>
      <c r="P116" s="1423">
        <f>P111/P106</f>
        <v>194.50819672131146</v>
      </c>
      <c r="Q116" s="1005"/>
      <c r="R116" s="1006"/>
      <c r="S116" s="1005"/>
      <c r="T116" s="1006"/>
      <c r="U116" s="1233"/>
      <c r="V116" s="1423">
        <f>V111/V106</f>
        <v>242.51748251748251</v>
      </c>
      <c r="W116" s="1005"/>
      <c r="X116" s="1006"/>
      <c r="Y116" s="1005"/>
      <c r="Z116" s="1461"/>
      <c r="AA116" s="668"/>
      <c r="AB116" s="668"/>
      <c r="AC116" s="1106"/>
      <c r="AD116" s="21"/>
      <c r="AE116" s="21"/>
    </row>
    <row r="117" spans="1:31" ht="13.5" thickTop="1" x14ac:dyDescent="0.2">
      <c r="B117" s="3" t="str">
        <f>Dean_AS!B169</f>
        <v>*Note: Beginning with the 2009 collection cycle, Instructional FTE was defined according to the national Delaware Study of Instructional Costs and Productivity</v>
      </c>
      <c r="AC117" s="28"/>
    </row>
    <row r="121" spans="1:31" x14ac:dyDescent="0.2">
      <c r="Q121" s="3" t="s">
        <v>29</v>
      </c>
      <c r="S121" s="3" t="s">
        <v>29</v>
      </c>
      <c r="U121" s="3" t="s">
        <v>29</v>
      </c>
      <c r="W121" s="3" t="s">
        <v>29</v>
      </c>
      <c r="Y121" s="3" t="s">
        <v>29</v>
      </c>
    </row>
  </sheetData>
  <mergeCells count="141">
    <mergeCell ref="C116:D116"/>
    <mergeCell ref="I116:J116"/>
    <mergeCell ref="AB7:AC7"/>
    <mergeCell ref="AB24:AC24"/>
    <mergeCell ref="AB39:AC39"/>
    <mergeCell ref="AB64:AC64"/>
    <mergeCell ref="AB35:AC35"/>
    <mergeCell ref="AB32:AC32"/>
    <mergeCell ref="C113:D113"/>
    <mergeCell ref="I113:J113"/>
    <mergeCell ref="Q94:R94"/>
    <mergeCell ref="Q99:R99"/>
    <mergeCell ref="Q7:R7"/>
    <mergeCell ref="Q24:R24"/>
    <mergeCell ref="Q32:R32"/>
    <mergeCell ref="Q35:R35"/>
    <mergeCell ref="Q39:R39"/>
    <mergeCell ref="Q64:R64"/>
    <mergeCell ref="C103:D103"/>
    <mergeCell ref="I103:J103"/>
    <mergeCell ref="C104:D104"/>
    <mergeCell ref="I104:J104"/>
    <mergeCell ref="C101:D101"/>
    <mergeCell ref="I101:J101"/>
    <mergeCell ref="C102:D102"/>
    <mergeCell ref="I102:J102"/>
    <mergeCell ref="M64:N64"/>
    <mergeCell ref="C115:D115"/>
    <mergeCell ref="I115:J115"/>
    <mergeCell ref="C110:D110"/>
    <mergeCell ref="I110:J110"/>
    <mergeCell ref="C111:D111"/>
    <mergeCell ref="I111:J111"/>
    <mergeCell ref="C112:D112"/>
    <mergeCell ref="I112:J112"/>
    <mergeCell ref="C105:D105"/>
    <mergeCell ref="I105:J105"/>
    <mergeCell ref="C106:D106"/>
    <mergeCell ref="I106:J106"/>
    <mergeCell ref="C109:D109"/>
    <mergeCell ref="I109:J109"/>
    <mergeCell ref="C114:D114"/>
    <mergeCell ref="I114:J114"/>
    <mergeCell ref="C107:D107"/>
    <mergeCell ref="I107:J107"/>
    <mergeCell ref="C108:D108"/>
    <mergeCell ref="I108:J108"/>
    <mergeCell ref="C64:D64"/>
    <mergeCell ref="AB94:AC94"/>
    <mergeCell ref="C99:D99"/>
    <mergeCell ref="E99:F99"/>
    <mergeCell ref="G99:H99"/>
    <mergeCell ref="I99:J99"/>
    <mergeCell ref="K99:L99"/>
    <mergeCell ref="W94:X94"/>
    <mergeCell ref="W99:X99"/>
    <mergeCell ref="M99:N99"/>
    <mergeCell ref="AB99:AC99"/>
    <mergeCell ref="C94:D94"/>
    <mergeCell ref="E94:F94"/>
    <mergeCell ref="U94:V94"/>
    <mergeCell ref="U99:V99"/>
    <mergeCell ref="G94:H94"/>
    <mergeCell ref="I94:J94"/>
    <mergeCell ref="K94:L94"/>
    <mergeCell ref="M94:N94"/>
    <mergeCell ref="Y99:Z99"/>
    <mergeCell ref="I7:J7"/>
    <mergeCell ref="K35:L35"/>
    <mergeCell ref="K39:L39"/>
    <mergeCell ref="G24:H24"/>
    <mergeCell ref="O7:P7"/>
    <mergeCell ref="O24:P24"/>
    <mergeCell ref="O32:P32"/>
    <mergeCell ref="O35:P35"/>
    <mergeCell ref="O39:P39"/>
    <mergeCell ref="K7:L7"/>
    <mergeCell ref="I32:J32"/>
    <mergeCell ref="K32:L32"/>
    <mergeCell ref="K24:L24"/>
    <mergeCell ref="G32:H32"/>
    <mergeCell ref="I34:J34"/>
    <mergeCell ref="I35:J35"/>
    <mergeCell ref="I24:J24"/>
    <mergeCell ref="M32:N32"/>
    <mergeCell ref="M35:N35"/>
    <mergeCell ref="I33:J33"/>
    <mergeCell ref="M7:N7"/>
    <mergeCell ref="M24:N24"/>
    <mergeCell ref="C39:D39"/>
    <mergeCell ref="M39:N39"/>
    <mergeCell ref="G39:H39"/>
    <mergeCell ref="G34:H34"/>
    <mergeCell ref="G35:H35"/>
    <mergeCell ref="E33:F33"/>
    <mergeCell ref="G33:H33"/>
    <mergeCell ref="I64:J64"/>
    <mergeCell ref="C34:D34"/>
    <mergeCell ref="U39:V39"/>
    <mergeCell ref="U64:V64"/>
    <mergeCell ref="Y7:Z7"/>
    <mergeCell ref="Y24:Z24"/>
    <mergeCell ref="Y32:Z32"/>
    <mergeCell ref="Y35:Z35"/>
    <mergeCell ref="Y39:Z39"/>
    <mergeCell ref="Y64:Z64"/>
    <mergeCell ref="Y94:Z94"/>
    <mergeCell ref="U7:V7"/>
    <mergeCell ref="U24:V24"/>
    <mergeCell ref="U32:V32"/>
    <mergeCell ref="U35:V35"/>
    <mergeCell ref="W7:X7"/>
    <mergeCell ref="W24:X24"/>
    <mergeCell ref="W32:X32"/>
    <mergeCell ref="W35:X35"/>
    <mergeCell ref="W39:X39"/>
    <mergeCell ref="W64:X64"/>
    <mergeCell ref="C24:D24"/>
    <mergeCell ref="S94:T94"/>
    <mergeCell ref="S99:T99"/>
    <mergeCell ref="S7:T7"/>
    <mergeCell ref="S24:T24"/>
    <mergeCell ref="S32:T32"/>
    <mergeCell ref="S35:T35"/>
    <mergeCell ref="S39:T39"/>
    <mergeCell ref="S64:T64"/>
    <mergeCell ref="O94:P94"/>
    <mergeCell ref="O99:P99"/>
    <mergeCell ref="C32:D32"/>
    <mergeCell ref="E32:F32"/>
    <mergeCell ref="E24:F24"/>
    <mergeCell ref="K64:L64"/>
    <mergeCell ref="I39:J39"/>
    <mergeCell ref="O64:P64"/>
    <mergeCell ref="E34:F34"/>
    <mergeCell ref="C33:D33"/>
    <mergeCell ref="G64:H64"/>
    <mergeCell ref="E64:F64"/>
    <mergeCell ref="E39:F39"/>
    <mergeCell ref="C35:D35"/>
    <mergeCell ref="E35:F35"/>
  </mergeCells>
  <phoneticPr fontId="3" type="noConversion"/>
  <printOptions horizontalCentered="1"/>
  <pageMargins left="0.34" right="0.33" top="0.5" bottom="0.5" header="0.5" footer="0.5"/>
  <pageSetup scale="69" orientation="landscape" r:id="rId1"/>
  <headerFooter alignWithMargins="0">
    <oddFooter>&amp;R&amp;P of &amp;N
&amp;D</oddFooter>
  </headerFooter>
  <rowBreaks count="1" manualBreakCount="1">
    <brk id="60" max="26" man="1"/>
  </rowBreaks>
  <ignoredErrors>
    <ignoredError sqref="K74:M92 S74:S92 W74:X74 W76:X77 X75 W79:X79 X78 W81:X94 X80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"/>
  <sheetViews>
    <sheetView view="pageBreakPreview" zoomScaleNormal="100" workbookViewId="0">
      <pane xSplit="2" ySplit="1" topLeftCell="C2" activePane="bottomRight" state="frozen"/>
      <selection activeCell="AF81" sqref="AF81"/>
      <selection pane="topRight" activeCell="AF81" sqref="AF81"/>
      <selection pane="bottomLeft" activeCell="AF81" sqref="AF81"/>
      <selection pane="bottomRight" activeCell="AF81" sqref="AF81"/>
    </sheetView>
  </sheetViews>
  <sheetFormatPr defaultColWidth="10.28515625" defaultRowHeight="12.75" x14ac:dyDescent="0.2"/>
  <cols>
    <col min="1" max="1" width="3.7109375" style="3" customWidth="1"/>
    <col min="2" max="2" width="29.7109375" style="3" customWidth="1"/>
    <col min="3" max="3" width="7.7109375" hidden="1" customWidth="1"/>
    <col min="4" max="4" width="10.7109375" hidden="1" customWidth="1"/>
    <col min="5" max="5" width="7.7109375" hidden="1" customWidth="1"/>
    <col min="6" max="6" width="10.7109375" hidden="1" customWidth="1"/>
    <col min="7" max="7" width="7.7109375" style="115" hidden="1" customWidth="1"/>
    <col min="8" max="8" width="10.7109375" style="115" hidden="1" customWidth="1"/>
    <col min="9" max="9" width="7.7109375" style="115" hidden="1" customWidth="1"/>
    <col min="10" max="10" width="10.7109375" style="115" hidden="1" customWidth="1"/>
    <col min="11" max="11" width="7.7109375" style="3" hidden="1" customWidth="1"/>
    <col min="12" max="12" width="10.7109375" style="3" hidden="1" customWidth="1"/>
    <col min="13" max="13" width="7.7109375" style="3" hidden="1" customWidth="1"/>
    <col min="14" max="14" width="10.7109375" style="3" hidden="1" customWidth="1"/>
    <col min="15" max="15" width="7.7109375" style="3" customWidth="1"/>
    <col min="16" max="16" width="10.7109375" style="3" customWidth="1"/>
    <col min="17" max="17" width="7.7109375" style="3" customWidth="1"/>
    <col min="18" max="18" width="10.7109375" style="3" customWidth="1"/>
    <col min="19" max="19" width="7.7109375" style="3" customWidth="1"/>
    <col min="20" max="20" width="10.7109375" style="3" customWidth="1"/>
    <col min="21" max="21" width="7.7109375" style="3" customWidth="1"/>
    <col min="22" max="22" width="10.7109375" style="3" customWidth="1"/>
    <col min="23" max="23" width="7.7109375" style="3" customWidth="1"/>
    <col min="24" max="24" width="10.7109375" style="3" customWidth="1"/>
    <col min="25" max="25" width="7.7109375" style="3" customWidth="1"/>
    <col min="26" max="26" width="10.7109375" style="3" customWidth="1"/>
    <col min="27" max="27" width="1.5703125" style="3" customWidth="1"/>
    <col min="28" max="28" width="7.7109375" style="3" customWidth="1"/>
    <col min="29" max="29" width="10.7109375" style="3" customWidth="1"/>
    <col min="30" max="30" width="1.140625" style="3" customWidth="1"/>
    <col min="31" max="16384" width="10.28515625" style="3"/>
  </cols>
  <sheetData>
    <row r="1" spans="1:29" ht="18" x14ac:dyDescent="0.25">
      <c r="A1" s="1183" t="str">
        <f>Dean_AS!A1</f>
        <v>Department Profile Report - FY 2015</v>
      </c>
      <c r="B1" s="1183"/>
      <c r="C1" s="1183"/>
      <c r="D1" s="1183"/>
      <c r="E1" s="1183"/>
      <c r="F1" s="1183"/>
      <c r="G1" s="1183"/>
      <c r="H1" s="1183"/>
      <c r="I1" s="1239"/>
      <c r="J1" s="1239"/>
      <c r="K1" s="1228"/>
      <c r="L1" s="1228"/>
      <c r="M1" s="1228"/>
      <c r="N1" s="1228"/>
      <c r="O1" s="1228"/>
      <c r="P1" s="1228"/>
      <c r="Q1" s="1228"/>
      <c r="R1" s="1228"/>
      <c r="S1" s="1228"/>
      <c r="T1" s="1228"/>
      <c r="U1" s="1228"/>
      <c r="V1" s="1228"/>
      <c r="W1" s="1228"/>
      <c r="X1" s="1228"/>
      <c r="Y1" s="1228"/>
      <c r="Z1" s="1228"/>
      <c r="AA1" s="1228"/>
      <c r="AB1" s="1228"/>
      <c r="AC1" s="1228"/>
    </row>
    <row r="2" spans="1:29" ht="12" x14ac:dyDescent="0.2">
      <c r="C2" s="3"/>
      <c r="D2" s="3"/>
      <c r="E2" s="3"/>
      <c r="F2" s="3"/>
      <c r="G2" s="117"/>
      <c r="H2" s="117"/>
      <c r="I2" s="117"/>
      <c r="J2" s="117"/>
    </row>
    <row r="3" spans="1:29" x14ac:dyDescent="0.2">
      <c r="A3" s="2" t="s">
        <v>276</v>
      </c>
      <c r="B3" s="117"/>
      <c r="C3" s="3"/>
      <c r="D3" s="3"/>
      <c r="E3" s="3"/>
      <c r="F3" s="3"/>
      <c r="G3" s="117"/>
      <c r="H3" s="117"/>
      <c r="I3" s="117"/>
      <c r="J3" s="117"/>
    </row>
    <row r="4" spans="1:29" ht="12" x14ac:dyDescent="0.2">
      <c r="B4" s="3" t="s">
        <v>285</v>
      </c>
      <c r="C4" s="3"/>
      <c r="D4" s="3"/>
      <c r="E4" s="3"/>
      <c r="F4" s="3"/>
      <c r="G4" s="117"/>
      <c r="H4" s="117"/>
      <c r="I4" s="117"/>
      <c r="J4" s="117"/>
    </row>
    <row r="5" spans="1:29" x14ac:dyDescent="0.2">
      <c r="A5" s="2" t="s">
        <v>77</v>
      </c>
      <c r="C5" s="3"/>
      <c r="D5" s="3"/>
      <c r="E5" s="3"/>
      <c r="F5" s="3"/>
      <c r="G5" s="117"/>
      <c r="H5" s="117"/>
      <c r="I5" s="117"/>
      <c r="J5" s="117"/>
      <c r="W5" s="618"/>
      <c r="Y5" s="618"/>
    </row>
    <row r="6" spans="1:29" thickBot="1" x14ac:dyDescent="0.25">
      <c r="A6" s="4"/>
      <c r="C6" s="3"/>
      <c r="D6" s="3"/>
      <c r="E6" s="3"/>
      <c r="F6" s="3"/>
      <c r="G6" s="117"/>
      <c r="H6" s="117"/>
      <c r="I6" s="117"/>
      <c r="J6" s="117"/>
      <c r="W6" s="618"/>
      <c r="Y6" s="618"/>
    </row>
    <row r="7" spans="1:29" ht="13.5" customHeight="1" thickTop="1" thickBot="1" x14ac:dyDescent="0.25">
      <c r="B7" s="22"/>
      <c r="C7" s="29" t="s">
        <v>49</v>
      </c>
      <c r="D7" s="51"/>
      <c r="E7" s="29" t="s">
        <v>50</v>
      </c>
      <c r="F7" s="7"/>
      <c r="G7" s="302" t="s">
        <v>141</v>
      </c>
      <c r="H7" s="121"/>
      <c r="I7" s="1968" t="s">
        <v>152</v>
      </c>
      <c r="J7" s="1968"/>
      <c r="K7" s="1994" t="s">
        <v>154</v>
      </c>
      <c r="L7" s="1968"/>
      <c r="M7" s="1994" t="s">
        <v>171</v>
      </c>
      <c r="N7" s="1980"/>
      <c r="O7" s="1968" t="s">
        <v>227</v>
      </c>
      <c r="P7" s="1980"/>
      <c r="Q7" s="1968" t="s">
        <v>237</v>
      </c>
      <c r="R7" s="1980"/>
      <c r="S7" s="1968" t="s">
        <v>272</v>
      </c>
      <c r="T7" s="1980"/>
      <c r="U7" s="1968" t="s">
        <v>274</v>
      </c>
      <c r="V7" s="1980"/>
      <c r="W7" s="1968" t="s">
        <v>280</v>
      </c>
      <c r="X7" s="1980"/>
      <c r="Y7" s="1968" t="s">
        <v>290</v>
      </c>
      <c r="Z7" s="1969"/>
      <c r="AB7" s="2003" t="s">
        <v>213</v>
      </c>
      <c r="AC7" s="2004"/>
    </row>
    <row r="8" spans="1:29" ht="12" x14ac:dyDescent="0.2">
      <c r="B8" s="71"/>
      <c r="C8" s="42" t="s">
        <v>1</v>
      </c>
      <c r="D8" s="47" t="s">
        <v>2</v>
      </c>
      <c r="E8" s="42" t="s">
        <v>1</v>
      </c>
      <c r="F8" s="8" t="s">
        <v>2</v>
      </c>
      <c r="G8" s="303" t="s">
        <v>1</v>
      </c>
      <c r="H8" s="125" t="s">
        <v>2</v>
      </c>
      <c r="I8" s="124" t="s">
        <v>1</v>
      </c>
      <c r="J8" s="300" t="s">
        <v>2</v>
      </c>
      <c r="K8" s="303" t="s">
        <v>1</v>
      </c>
      <c r="L8" s="300" t="s">
        <v>2</v>
      </c>
      <c r="M8" s="303" t="s">
        <v>1</v>
      </c>
      <c r="N8" s="125" t="s">
        <v>2</v>
      </c>
      <c r="O8" s="124" t="s">
        <v>1</v>
      </c>
      <c r="P8" s="125" t="s">
        <v>2</v>
      </c>
      <c r="Q8" s="124" t="s">
        <v>1</v>
      </c>
      <c r="R8" s="125" t="s">
        <v>2</v>
      </c>
      <c r="S8" s="124" t="s">
        <v>1</v>
      </c>
      <c r="T8" s="125" t="s">
        <v>2</v>
      </c>
      <c r="U8" s="124" t="s">
        <v>1</v>
      </c>
      <c r="V8" s="125" t="s">
        <v>2</v>
      </c>
      <c r="W8" s="124" t="s">
        <v>1</v>
      </c>
      <c r="X8" s="125" t="s">
        <v>2</v>
      </c>
      <c r="Y8" s="124" t="s">
        <v>1</v>
      </c>
      <c r="Z8" s="126" t="s">
        <v>2</v>
      </c>
      <c r="AB8" s="921" t="s">
        <v>214</v>
      </c>
      <c r="AC8" s="922" t="s">
        <v>215</v>
      </c>
    </row>
    <row r="9" spans="1:29" thickBot="1" x14ac:dyDescent="0.25">
      <c r="B9" s="72"/>
      <c r="C9" s="46" t="s">
        <v>3</v>
      </c>
      <c r="D9" s="48" t="s">
        <v>4</v>
      </c>
      <c r="E9" s="46" t="s">
        <v>3</v>
      </c>
      <c r="F9" s="26" t="s">
        <v>4</v>
      </c>
      <c r="G9" s="304" t="s">
        <v>3</v>
      </c>
      <c r="H9" s="123" t="s">
        <v>4</v>
      </c>
      <c r="I9" s="127" t="s">
        <v>3</v>
      </c>
      <c r="J9" s="301" t="s">
        <v>4</v>
      </c>
      <c r="K9" s="304" t="s">
        <v>3</v>
      </c>
      <c r="L9" s="301" t="s">
        <v>4</v>
      </c>
      <c r="M9" s="304" t="s">
        <v>3</v>
      </c>
      <c r="N9" s="123" t="s">
        <v>4</v>
      </c>
      <c r="O9" s="127" t="s">
        <v>3</v>
      </c>
      <c r="P9" s="123" t="s">
        <v>4</v>
      </c>
      <c r="Q9" s="127" t="s">
        <v>3</v>
      </c>
      <c r="R9" s="123" t="s">
        <v>4</v>
      </c>
      <c r="S9" s="127" t="s">
        <v>3</v>
      </c>
      <c r="T9" s="123" t="s">
        <v>4</v>
      </c>
      <c r="U9" s="127" t="s">
        <v>3</v>
      </c>
      <c r="V9" s="123" t="s">
        <v>4</v>
      </c>
      <c r="W9" s="127" t="s">
        <v>3</v>
      </c>
      <c r="X9" s="123" t="s">
        <v>4</v>
      </c>
      <c r="Y9" s="127" t="s">
        <v>3</v>
      </c>
      <c r="Z9" s="128" t="s">
        <v>4</v>
      </c>
      <c r="AB9" s="923" t="s">
        <v>3</v>
      </c>
      <c r="AC9" s="924" t="s">
        <v>4</v>
      </c>
    </row>
    <row r="10" spans="1:29" ht="12" x14ac:dyDescent="0.2">
      <c r="B10" s="73" t="s">
        <v>5</v>
      </c>
      <c r="C10" s="15"/>
      <c r="D10" s="49"/>
      <c r="E10" s="15"/>
      <c r="F10" s="13"/>
      <c r="G10" s="305"/>
      <c r="H10" s="131"/>
      <c r="I10" s="130"/>
      <c r="J10" s="150"/>
      <c r="K10" s="305"/>
      <c r="L10" s="150"/>
      <c r="M10" s="305"/>
      <c r="N10" s="131"/>
      <c r="O10" s="130"/>
      <c r="P10" s="131"/>
      <c r="Q10" s="130"/>
      <c r="R10" s="131"/>
      <c r="S10" s="130"/>
      <c r="T10" s="131"/>
      <c r="U10" s="130"/>
      <c r="V10" s="131"/>
      <c r="W10" s="130"/>
      <c r="X10" s="131"/>
      <c r="Y10" s="130"/>
      <c r="Z10" s="296"/>
      <c r="AB10" s="925"/>
      <c r="AC10" s="581"/>
    </row>
    <row r="11" spans="1:29" ht="12" x14ac:dyDescent="0.2">
      <c r="B11" s="408" t="s">
        <v>255</v>
      </c>
      <c r="C11" s="132"/>
      <c r="D11" s="176"/>
      <c r="E11" s="132"/>
      <c r="F11" s="17"/>
      <c r="G11" s="175"/>
      <c r="H11" s="176"/>
      <c r="I11" s="132"/>
      <c r="J11" s="137"/>
      <c r="K11" s="175"/>
      <c r="L11" s="137"/>
      <c r="M11" s="175"/>
      <c r="N11" s="176"/>
      <c r="O11" s="132"/>
      <c r="P11" s="176"/>
      <c r="Q11" s="132"/>
      <c r="R11" s="176"/>
      <c r="S11" s="132"/>
      <c r="T11" s="176"/>
      <c r="U11" s="132"/>
      <c r="V11" s="176"/>
      <c r="W11" s="132"/>
      <c r="X11" s="176"/>
      <c r="Y11" s="132"/>
      <c r="Z11" s="290"/>
      <c r="AB11" s="926"/>
      <c r="AC11" s="927"/>
    </row>
    <row r="12" spans="1:29" s="618" customFormat="1" ht="12" x14ac:dyDescent="0.2">
      <c r="B12" s="654" t="s">
        <v>221</v>
      </c>
      <c r="C12" s="646">
        <v>63</v>
      </c>
      <c r="D12" s="647">
        <f>4+1</f>
        <v>5</v>
      </c>
      <c r="E12" s="646">
        <v>70</v>
      </c>
      <c r="F12" s="684">
        <f>8</f>
        <v>8</v>
      </c>
      <c r="G12" s="724">
        <v>72</v>
      </c>
      <c r="H12" s="659">
        <v>9</v>
      </c>
      <c r="I12" s="725">
        <f>59+9</f>
        <v>68</v>
      </c>
      <c r="J12" s="726">
        <f>13+1</f>
        <v>14</v>
      </c>
      <c r="K12" s="657">
        <v>63</v>
      </c>
      <c r="L12" s="648">
        <f>7+1</f>
        <v>8</v>
      </c>
      <c r="M12" s="657">
        <v>69</v>
      </c>
      <c r="N12" s="647">
        <v>6</v>
      </c>
      <c r="O12" s="758">
        <v>83</v>
      </c>
      <c r="P12" s="647">
        <v>5</v>
      </c>
      <c r="Q12" s="758">
        <f>50+23</f>
        <v>73</v>
      </c>
      <c r="R12" s="647">
        <v>9</v>
      </c>
      <c r="S12" s="758">
        <v>76</v>
      </c>
      <c r="T12" s="647">
        <v>6</v>
      </c>
      <c r="U12" s="758">
        <f>28+34+13+1</f>
        <v>76</v>
      </c>
      <c r="V12" s="647">
        <v>21</v>
      </c>
      <c r="W12" s="758">
        <v>77</v>
      </c>
      <c r="X12" s="647">
        <v>9</v>
      </c>
      <c r="Y12" s="758">
        <v>86</v>
      </c>
      <c r="Z12" s="1667"/>
      <c r="AA12" s="1032"/>
      <c r="AB12" s="926">
        <f>AVERAGE(W12,U12,Q12,S12,Y12)</f>
        <v>77.599999999999994</v>
      </c>
      <c r="AC12" s="928">
        <f>AVERAGE(X12,V12,R12,T12,P12)</f>
        <v>10</v>
      </c>
    </row>
    <row r="13" spans="1:29" s="618" customFormat="1" ht="12" x14ac:dyDescent="0.2">
      <c r="B13" s="654" t="s">
        <v>252</v>
      </c>
      <c r="C13" s="646">
        <v>39</v>
      </c>
      <c r="D13" s="683">
        <v>3</v>
      </c>
      <c r="E13" s="682">
        <v>43</v>
      </c>
      <c r="F13" s="684">
        <v>6</v>
      </c>
      <c r="G13" s="724">
        <v>43</v>
      </c>
      <c r="H13" s="663">
        <v>2</v>
      </c>
      <c r="I13" s="725">
        <v>45</v>
      </c>
      <c r="J13" s="665">
        <v>1</v>
      </c>
      <c r="K13" s="657">
        <v>37</v>
      </c>
      <c r="L13" s="697">
        <v>4</v>
      </c>
      <c r="M13" s="657">
        <v>21</v>
      </c>
      <c r="N13" s="647">
        <v>3</v>
      </c>
      <c r="O13" s="657">
        <v>36</v>
      </c>
      <c r="P13" s="696">
        <v>5</v>
      </c>
      <c r="Q13" s="758">
        <f>38+1</f>
        <v>39</v>
      </c>
      <c r="R13" s="647">
        <v>0</v>
      </c>
      <c r="S13" s="758">
        <v>47</v>
      </c>
      <c r="T13" s="647">
        <v>11</v>
      </c>
      <c r="U13" s="758">
        <v>44</v>
      </c>
      <c r="V13" s="647">
        <v>8</v>
      </c>
      <c r="W13" s="758">
        <v>42</v>
      </c>
      <c r="X13" s="647">
        <v>3</v>
      </c>
      <c r="Y13" s="758">
        <v>52</v>
      </c>
      <c r="Z13" s="1667"/>
      <c r="AA13" s="1032"/>
      <c r="AB13" s="926">
        <f t="shared" ref="AB13:AB15" si="0">AVERAGE(W13,U13,Q13,S13,Y13)</f>
        <v>44.8</v>
      </c>
      <c r="AC13" s="928">
        <f t="shared" ref="AC13:AC22" si="1">AVERAGE(X13,V13,R13,T13,P13)</f>
        <v>5.4</v>
      </c>
    </row>
    <row r="14" spans="1:29" s="618" customFormat="1" ht="12" x14ac:dyDescent="0.2">
      <c r="B14" s="654" t="s">
        <v>253</v>
      </c>
      <c r="C14" s="646"/>
      <c r="D14" s="683"/>
      <c r="E14" s="682"/>
      <c r="F14" s="684"/>
      <c r="G14" s="1453"/>
      <c r="H14" s="1454"/>
      <c r="I14" s="1455"/>
      <c r="J14" s="1456"/>
      <c r="K14" s="1457"/>
      <c r="L14" s="1458"/>
      <c r="M14" s="1457"/>
      <c r="N14" s="656"/>
      <c r="O14" s="1459"/>
      <c r="P14" s="656"/>
      <c r="Q14" s="1459"/>
      <c r="R14" s="656"/>
      <c r="S14" s="1248">
        <v>2</v>
      </c>
      <c r="T14" s="647">
        <v>0</v>
      </c>
      <c r="U14" s="1248">
        <v>2</v>
      </c>
      <c r="V14" s="647">
        <v>0</v>
      </c>
      <c r="W14" s="1248">
        <v>2</v>
      </c>
      <c r="X14" s="647">
        <v>0</v>
      </c>
      <c r="Y14" s="1248">
        <v>2</v>
      </c>
      <c r="Z14" s="1667"/>
      <c r="AA14" s="1032"/>
      <c r="AB14" s="926">
        <f t="shared" si="0"/>
        <v>2</v>
      </c>
      <c r="AC14" s="928">
        <f t="shared" si="1"/>
        <v>0</v>
      </c>
    </row>
    <row r="15" spans="1:29" s="618" customFormat="1" ht="12" x14ac:dyDescent="0.2">
      <c r="B15" s="654" t="s">
        <v>167</v>
      </c>
      <c r="C15" s="693">
        <v>22</v>
      </c>
      <c r="D15" s="694">
        <v>6</v>
      </c>
      <c r="E15" s="693">
        <v>17</v>
      </c>
      <c r="F15" s="695">
        <v>11</v>
      </c>
      <c r="G15" s="724">
        <v>15</v>
      </c>
      <c r="H15" s="663">
        <v>6</v>
      </c>
      <c r="I15" s="725">
        <v>14</v>
      </c>
      <c r="J15" s="665">
        <v>7</v>
      </c>
      <c r="K15" s="657">
        <v>19</v>
      </c>
      <c r="L15" s="697">
        <v>13</v>
      </c>
      <c r="M15" s="657">
        <v>19</v>
      </c>
      <c r="N15" s="696">
        <v>10</v>
      </c>
      <c r="O15" s="758">
        <v>18</v>
      </c>
      <c r="P15" s="696">
        <v>14</v>
      </c>
      <c r="Q15" s="758">
        <v>28</v>
      </c>
      <c r="R15" s="696">
        <v>20</v>
      </c>
      <c r="S15" s="758">
        <v>29</v>
      </c>
      <c r="T15" s="696">
        <v>15</v>
      </c>
      <c r="U15" s="758">
        <f>22+2</f>
        <v>24</v>
      </c>
      <c r="V15" s="696">
        <v>19</v>
      </c>
      <c r="W15" s="758">
        <v>23</v>
      </c>
      <c r="X15" s="696">
        <v>24</v>
      </c>
      <c r="Y15" s="758">
        <v>20</v>
      </c>
      <c r="Z15" s="1669"/>
      <c r="AA15" s="1032"/>
      <c r="AB15" s="926">
        <f t="shared" si="0"/>
        <v>24.8</v>
      </c>
      <c r="AC15" s="928">
        <f t="shared" si="1"/>
        <v>18.399999999999999</v>
      </c>
    </row>
    <row r="16" spans="1:29" s="618" customFormat="1" ht="12" x14ac:dyDescent="0.2">
      <c r="B16" s="789" t="s">
        <v>109</v>
      </c>
      <c r="C16" s="672"/>
      <c r="D16" s="700"/>
      <c r="E16" s="672"/>
      <c r="F16" s="735"/>
      <c r="G16" s="738"/>
      <c r="H16" s="663"/>
      <c r="I16" s="739"/>
      <c r="J16" s="665"/>
      <c r="K16" s="740"/>
      <c r="L16" s="736"/>
      <c r="M16" s="740"/>
      <c r="N16" s="658"/>
      <c r="O16" s="1248"/>
      <c r="P16" s="658"/>
      <c r="Q16" s="1248"/>
      <c r="R16" s="658"/>
      <c r="S16" s="1248"/>
      <c r="T16" s="658"/>
      <c r="U16" s="1248"/>
      <c r="V16" s="658"/>
      <c r="W16" s="1248"/>
      <c r="X16" s="658"/>
      <c r="Y16" s="1248"/>
      <c r="Z16" s="1666"/>
      <c r="AB16" s="926"/>
      <c r="AC16" s="928"/>
    </row>
    <row r="17" spans="1:33" s="618" customFormat="1" ht="12" x14ac:dyDescent="0.2">
      <c r="B17" s="654" t="s">
        <v>221</v>
      </c>
      <c r="C17" s="672">
        <v>115</v>
      </c>
      <c r="D17" s="700">
        <v>12</v>
      </c>
      <c r="E17" s="672">
        <f>125+1</f>
        <v>126</v>
      </c>
      <c r="F17" s="701">
        <v>14</v>
      </c>
      <c r="G17" s="724">
        <v>119</v>
      </c>
      <c r="H17" s="663">
        <v>18</v>
      </c>
      <c r="I17" s="725">
        <f>106+1+2+2</f>
        <v>111</v>
      </c>
      <c r="J17" s="665">
        <v>10</v>
      </c>
      <c r="K17" s="657">
        <v>105</v>
      </c>
      <c r="L17" s="665">
        <v>13</v>
      </c>
      <c r="M17" s="657">
        <f>112+3</f>
        <v>115</v>
      </c>
      <c r="N17" s="663">
        <v>19</v>
      </c>
      <c r="O17" s="758">
        <v>111</v>
      </c>
      <c r="P17" s="663">
        <v>9</v>
      </c>
      <c r="Q17" s="758">
        <v>121</v>
      </c>
      <c r="R17" s="663">
        <v>11</v>
      </c>
      <c r="S17" s="758">
        <v>142</v>
      </c>
      <c r="T17" s="663">
        <v>16</v>
      </c>
      <c r="U17" s="758">
        <f>158+1</f>
        <v>159</v>
      </c>
      <c r="V17" s="663">
        <v>18</v>
      </c>
      <c r="W17" s="758">
        <v>146</v>
      </c>
      <c r="X17" s="663">
        <v>19</v>
      </c>
      <c r="Y17" s="758">
        <v>156</v>
      </c>
      <c r="Z17" s="1646"/>
      <c r="AA17" s="945"/>
      <c r="AB17" s="926">
        <f t="shared" ref="AB17" si="2">AVERAGE(W17,U17,Q17,S17,Y17)</f>
        <v>144.80000000000001</v>
      </c>
      <c r="AC17" s="928">
        <f t="shared" si="1"/>
        <v>14.6</v>
      </c>
    </row>
    <row r="18" spans="1:33" s="617" customFormat="1" x14ac:dyDescent="0.2">
      <c r="A18" s="618"/>
      <c r="B18" s="1632" t="s">
        <v>159</v>
      </c>
      <c r="C18" s="722"/>
      <c r="D18" s="723"/>
      <c r="E18" s="722"/>
      <c r="F18" s="728"/>
      <c r="G18" s="776"/>
      <c r="H18" s="659"/>
      <c r="I18" s="776"/>
      <c r="J18" s="726"/>
      <c r="K18" s="776"/>
      <c r="L18" s="726"/>
      <c r="M18" s="776"/>
      <c r="N18" s="659"/>
      <c r="O18" s="777"/>
      <c r="P18" s="659"/>
      <c r="Q18" s="777"/>
      <c r="R18" s="659"/>
      <c r="S18" s="777"/>
      <c r="T18" s="659"/>
      <c r="U18" s="777"/>
      <c r="V18" s="659"/>
      <c r="W18" s="777"/>
      <c r="X18" s="659"/>
      <c r="Y18" s="777"/>
      <c r="Z18" s="1671"/>
      <c r="AA18" s="1020"/>
      <c r="AB18" s="938"/>
      <c r="AC18" s="653"/>
    </row>
    <row r="19" spans="1:33" s="617" customFormat="1" x14ac:dyDescent="0.2">
      <c r="A19" s="618"/>
      <c r="B19" s="1547" t="s">
        <v>221</v>
      </c>
      <c r="C19" s="705">
        <v>93</v>
      </c>
      <c r="D19" s="703">
        <v>11</v>
      </c>
      <c r="E19" s="705">
        <f>84+15</f>
        <v>99</v>
      </c>
      <c r="F19" s="704">
        <v>18</v>
      </c>
      <c r="G19" s="710">
        <v>107</v>
      </c>
      <c r="H19" s="729">
        <f>16+1</f>
        <v>17</v>
      </c>
      <c r="I19" s="710">
        <v>111</v>
      </c>
      <c r="J19" s="730">
        <f>13+2</f>
        <v>15</v>
      </c>
      <c r="K19" s="710">
        <v>108</v>
      </c>
      <c r="L19" s="730">
        <f>14+1</f>
        <v>15</v>
      </c>
      <c r="M19" s="710">
        <f>88+9</f>
        <v>97</v>
      </c>
      <c r="N19" s="729">
        <v>17</v>
      </c>
      <c r="O19" s="734">
        <v>89</v>
      </c>
      <c r="P19" s="729">
        <v>14</v>
      </c>
      <c r="Q19" s="734">
        <v>106</v>
      </c>
      <c r="R19" s="663">
        <v>14</v>
      </c>
      <c r="S19" s="734">
        <v>104</v>
      </c>
      <c r="T19" s="729">
        <v>12</v>
      </c>
      <c r="U19" s="734">
        <f>99</f>
        <v>99</v>
      </c>
      <c r="V19" s="729">
        <v>15</v>
      </c>
      <c r="W19" s="734">
        <v>101</v>
      </c>
      <c r="X19" s="729">
        <v>18</v>
      </c>
      <c r="Y19" s="734">
        <v>88</v>
      </c>
      <c r="Z19" s="1647"/>
      <c r="AA19" s="1020"/>
      <c r="AB19" s="926">
        <f t="shared" ref="AB19:AB22" si="3">AVERAGE(W19,U19,Q19,S19,Y19)</f>
        <v>99.6</v>
      </c>
      <c r="AC19" s="928">
        <f t="shared" si="1"/>
        <v>14.6</v>
      </c>
    </row>
    <row r="20" spans="1:33" s="617" customFormat="1" x14ac:dyDescent="0.2">
      <c r="A20" s="618"/>
      <c r="B20" s="1545" t="s">
        <v>167</v>
      </c>
      <c r="C20" s="1172"/>
      <c r="D20" s="1173"/>
      <c r="E20" s="1172"/>
      <c r="F20" s="1174"/>
      <c r="G20" s="1175"/>
      <c r="H20" s="1173"/>
      <c r="I20" s="1175"/>
      <c r="J20" s="1644"/>
      <c r="K20" s="1643"/>
      <c r="L20" s="1644"/>
      <c r="M20" s="710">
        <v>0</v>
      </c>
      <c r="N20" s="729">
        <v>2</v>
      </c>
      <c r="O20" s="734">
        <v>18</v>
      </c>
      <c r="P20" s="729">
        <v>12</v>
      </c>
      <c r="Q20" s="734">
        <v>17</v>
      </c>
      <c r="R20" s="729">
        <v>7</v>
      </c>
      <c r="S20" s="734">
        <v>20</v>
      </c>
      <c r="T20" s="729">
        <v>11</v>
      </c>
      <c r="U20" s="734">
        <v>23</v>
      </c>
      <c r="V20" s="729">
        <v>11</v>
      </c>
      <c r="W20" s="734">
        <v>20</v>
      </c>
      <c r="X20" s="729">
        <v>7</v>
      </c>
      <c r="Y20" s="734">
        <v>23</v>
      </c>
      <c r="Z20" s="1647"/>
      <c r="AA20" s="1020"/>
      <c r="AB20" s="926">
        <f t="shared" si="3"/>
        <v>20.6</v>
      </c>
      <c r="AC20" s="928">
        <f t="shared" si="1"/>
        <v>9.6</v>
      </c>
    </row>
    <row r="21" spans="1:33" s="617" customFormat="1" x14ac:dyDescent="0.2">
      <c r="A21" s="618"/>
      <c r="B21" s="1548" t="s">
        <v>122</v>
      </c>
      <c r="C21" s="734">
        <v>8</v>
      </c>
      <c r="D21" s="703">
        <v>2</v>
      </c>
      <c r="E21" s="705">
        <v>8</v>
      </c>
      <c r="F21" s="704">
        <v>0</v>
      </c>
      <c r="G21" s="710">
        <v>9</v>
      </c>
      <c r="H21" s="729">
        <v>3</v>
      </c>
      <c r="I21" s="710">
        <v>12</v>
      </c>
      <c r="J21" s="730">
        <v>3</v>
      </c>
      <c r="K21" s="710">
        <v>7</v>
      </c>
      <c r="L21" s="730">
        <v>1</v>
      </c>
      <c r="M21" s="710">
        <v>7</v>
      </c>
      <c r="N21" s="729">
        <v>1</v>
      </c>
      <c r="O21" s="734">
        <v>10</v>
      </c>
      <c r="P21" s="729">
        <v>1</v>
      </c>
      <c r="Q21" s="734">
        <v>14</v>
      </c>
      <c r="R21" s="729">
        <v>2</v>
      </c>
      <c r="S21" s="734">
        <v>19</v>
      </c>
      <c r="T21" s="729">
        <v>4</v>
      </c>
      <c r="U21" s="734">
        <v>20</v>
      </c>
      <c r="V21" s="729">
        <v>4</v>
      </c>
      <c r="W21" s="734">
        <v>15</v>
      </c>
      <c r="X21" s="729">
        <v>2</v>
      </c>
      <c r="Y21" s="734">
        <v>19</v>
      </c>
      <c r="Z21" s="1647"/>
      <c r="AA21" s="1020"/>
      <c r="AB21" s="926">
        <f t="shared" si="3"/>
        <v>17.399999999999999</v>
      </c>
      <c r="AC21" s="928">
        <f t="shared" si="1"/>
        <v>2.6</v>
      </c>
    </row>
    <row r="22" spans="1:33" s="617" customFormat="1" ht="13.5" thickBot="1" x14ac:dyDescent="0.25">
      <c r="A22" s="618"/>
      <c r="B22" s="1549" t="s">
        <v>123</v>
      </c>
      <c r="C22" s="717">
        <v>11</v>
      </c>
      <c r="D22" s="712">
        <v>1</v>
      </c>
      <c r="E22" s="714">
        <v>18</v>
      </c>
      <c r="F22" s="713">
        <v>0</v>
      </c>
      <c r="G22" s="715">
        <v>19</v>
      </c>
      <c r="H22" s="716">
        <v>0</v>
      </c>
      <c r="I22" s="715">
        <v>15</v>
      </c>
      <c r="J22" s="718">
        <v>0</v>
      </c>
      <c r="K22" s="715">
        <v>17</v>
      </c>
      <c r="L22" s="718">
        <v>1</v>
      </c>
      <c r="M22" s="715">
        <v>18</v>
      </c>
      <c r="N22" s="716">
        <v>0</v>
      </c>
      <c r="O22" s="717">
        <v>15</v>
      </c>
      <c r="P22" s="716">
        <v>2</v>
      </c>
      <c r="Q22" s="717">
        <v>34</v>
      </c>
      <c r="R22" s="716">
        <v>3</v>
      </c>
      <c r="S22" s="717">
        <v>29</v>
      </c>
      <c r="T22" s="716">
        <v>1</v>
      </c>
      <c r="U22" s="717">
        <v>39</v>
      </c>
      <c r="V22" s="716">
        <v>5</v>
      </c>
      <c r="W22" s="717">
        <v>37</v>
      </c>
      <c r="X22" s="716">
        <v>3</v>
      </c>
      <c r="Y22" s="717">
        <v>30</v>
      </c>
      <c r="Z22" s="1648"/>
      <c r="AB22" s="929">
        <f t="shared" si="3"/>
        <v>33.799999999999997</v>
      </c>
      <c r="AC22" s="1021">
        <f t="shared" si="1"/>
        <v>2.8</v>
      </c>
    </row>
    <row r="23" spans="1:33" thickTop="1" x14ac:dyDescent="0.2">
      <c r="B23" s="70" t="s">
        <v>170</v>
      </c>
      <c r="C23" s="33"/>
      <c r="D23" s="34"/>
      <c r="E23" s="33"/>
      <c r="F23" s="34"/>
      <c r="G23" s="298"/>
      <c r="H23" s="135"/>
      <c r="I23" s="298"/>
      <c r="J23" s="135"/>
      <c r="K23" s="298"/>
      <c r="L23" s="135"/>
      <c r="M23" s="298"/>
      <c r="N23" s="135"/>
      <c r="O23" s="298"/>
      <c r="P23" s="135"/>
      <c r="Q23" s="298"/>
      <c r="R23" s="135"/>
      <c r="S23" s="298"/>
      <c r="T23" s="135"/>
      <c r="U23" s="298"/>
      <c r="V23" s="135"/>
      <c r="W23" s="298"/>
      <c r="X23" s="135"/>
      <c r="Y23" s="298"/>
      <c r="Z23" s="135"/>
      <c r="AB23" s="668"/>
      <c r="AC23" s="494"/>
    </row>
    <row r="24" spans="1:33" thickBot="1" x14ac:dyDescent="0.25">
      <c r="C24" s="3"/>
      <c r="D24" s="3"/>
      <c r="E24" s="3"/>
      <c r="F24" s="3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B24" s="668"/>
      <c r="AC24" s="494"/>
    </row>
    <row r="25" spans="1:33" ht="14.25" customHeight="1" thickTop="1" thickBot="1" x14ac:dyDescent="0.25">
      <c r="B25" s="340"/>
      <c r="C25" s="2013" t="s">
        <v>49</v>
      </c>
      <c r="D25" s="2014"/>
      <c r="E25" s="2015" t="s">
        <v>50</v>
      </c>
      <c r="F25" s="2015"/>
      <c r="G25" s="2002" t="s">
        <v>141</v>
      </c>
      <c r="H25" s="1982"/>
      <c r="I25" s="2081" t="s">
        <v>152</v>
      </c>
      <c r="J25" s="2081"/>
      <c r="K25" s="2082" t="s">
        <v>154</v>
      </c>
      <c r="L25" s="2081"/>
      <c r="M25" s="2082" t="s">
        <v>171</v>
      </c>
      <c r="N25" s="2083"/>
      <c r="O25" s="2081" t="s">
        <v>227</v>
      </c>
      <c r="P25" s="2083"/>
      <c r="Q25" s="2081" t="s">
        <v>237</v>
      </c>
      <c r="R25" s="2083"/>
      <c r="S25" s="2081" t="s">
        <v>272</v>
      </c>
      <c r="T25" s="2083"/>
      <c r="U25" s="2081" t="s">
        <v>274</v>
      </c>
      <c r="V25" s="2083"/>
      <c r="W25" s="2081" t="s">
        <v>280</v>
      </c>
      <c r="X25" s="2083"/>
      <c r="Y25" s="2081" t="s">
        <v>290</v>
      </c>
      <c r="Z25" s="2084"/>
      <c r="AB25" s="2003" t="s">
        <v>213</v>
      </c>
      <c r="AC25" s="2004"/>
    </row>
    <row r="26" spans="1:33" ht="12" x14ac:dyDescent="0.2">
      <c r="B26" s="73" t="s">
        <v>7</v>
      </c>
      <c r="C26" s="54"/>
      <c r="D26" s="92"/>
      <c r="E26" s="30"/>
      <c r="F26" s="30"/>
      <c r="G26" s="243"/>
      <c r="H26" s="244"/>
      <c r="I26" s="151"/>
      <c r="J26" s="151"/>
      <c r="K26" s="265"/>
      <c r="L26" s="151"/>
      <c r="M26" s="265"/>
      <c r="N26" s="248"/>
      <c r="O26" s="151"/>
      <c r="P26" s="248"/>
      <c r="Q26" s="151"/>
      <c r="R26" s="248"/>
      <c r="S26" s="151"/>
      <c r="T26" s="248"/>
      <c r="U26" s="151"/>
      <c r="V26" s="248"/>
      <c r="W26" s="151"/>
      <c r="X26" s="248"/>
      <c r="Y26" s="151"/>
      <c r="Z26" s="152"/>
      <c r="AB26" s="831"/>
      <c r="AC26" s="930"/>
    </row>
    <row r="27" spans="1:33" ht="12" x14ac:dyDescent="0.2">
      <c r="B27" s="78" t="s">
        <v>8</v>
      </c>
      <c r="C27" s="184"/>
      <c r="D27" s="93"/>
      <c r="E27" s="31"/>
      <c r="F27" s="31"/>
      <c r="G27" s="239"/>
      <c r="H27" s="245"/>
      <c r="I27" s="139"/>
      <c r="J27" s="139"/>
      <c r="K27" s="239"/>
      <c r="L27" s="139"/>
      <c r="M27" s="239"/>
      <c r="N27" s="245"/>
      <c r="O27" s="139"/>
      <c r="P27" s="245"/>
      <c r="Q27" s="139"/>
      <c r="R27" s="245"/>
      <c r="S27" s="139"/>
      <c r="T27" s="245"/>
      <c r="U27" s="139"/>
      <c r="V27" s="245"/>
      <c r="W27" s="139"/>
      <c r="X27" s="245"/>
      <c r="Y27" s="139"/>
      <c r="Z27" s="141"/>
      <c r="AB27" s="831"/>
      <c r="AC27" s="930"/>
    </row>
    <row r="28" spans="1:33" ht="12" x14ac:dyDescent="0.2">
      <c r="B28" s="78" t="s">
        <v>9</v>
      </c>
      <c r="C28" s="184"/>
      <c r="D28" s="165">
        <f>5602+755+1131</f>
        <v>7488</v>
      </c>
      <c r="E28" s="31"/>
      <c r="F28" s="171">
        <f>5891+674+1172</f>
        <v>7737</v>
      </c>
      <c r="G28" s="239"/>
      <c r="H28" s="261">
        <f>5720+416+1030</f>
        <v>7166</v>
      </c>
      <c r="I28" s="139"/>
      <c r="J28" s="183">
        <f>5253+451+1056</f>
        <v>6760</v>
      </c>
      <c r="K28" s="239"/>
      <c r="L28" s="183">
        <f>5587+447+1065</f>
        <v>7099</v>
      </c>
      <c r="M28" s="239"/>
      <c r="N28" s="261">
        <f>5977+603+829</f>
        <v>7409</v>
      </c>
      <c r="O28" s="139"/>
      <c r="P28" s="261">
        <f>5896+380+819</f>
        <v>7095</v>
      </c>
      <c r="Q28" s="139"/>
      <c r="R28" s="261">
        <f>511+3482+3528</f>
        <v>7521</v>
      </c>
      <c r="S28" s="139"/>
      <c r="T28" s="261">
        <f>6297+123+132+433+106+458</f>
        <v>7549</v>
      </c>
      <c r="U28" s="139"/>
      <c r="V28" s="261">
        <v>8283</v>
      </c>
      <c r="W28" s="139"/>
      <c r="X28" s="261">
        <v>8645</v>
      </c>
      <c r="Y28" s="139"/>
      <c r="Z28" s="1649"/>
      <c r="AB28" s="24"/>
      <c r="AC28" s="947">
        <f t="shared" ref="AC28:AC32" si="4">AVERAGE(X28,V28,R28,T28,P28)</f>
        <v>7818.6</v>
      </c>
    </row>
    <row r="29" spans="1:33" ht="12" x14ac:dyDescent="0.2">
      <c r="B29" s="78" t="s">
        <v>10</v>
      </c>
      <c r="C29" s="184"/>
      <c r="D29" s="165">
        <f>2997+468+1071</f>
        <v>4536</v>
      </c>
      <c r="E29" s="31"/>
      <c r="F29" s="171">
        <f>3140+407+1116</f>
        <v>4663</v>
      </c>
      <c r="G29" s="239"/>
      <c r="H29" s="261">
        <f>3316+709+1278</f>
        <v>5303</v>
      </c>
      <c r="I29" s="139"/>
      <c r="J29" s="183">
        <f>3185+641+1144</f>
        <v>4970</v>
      </c>
      <c r="K29" s="239"/>
      <c r="L29" s="183">
        <f>2862+648+1224</f>
        <v>4734</v>
      </c>
      <c r="M29" s="239"/>
      <c r="N29" s="261">
        <f>2433+614+1075</f>
        <v>4122</v>
      </c>
      <c r="O29" s="139"/>
      <c r="P29" s="261">
        <f>2757+733+974</f>
        <v>4464</v>
      </c>
      <c r="Q29" s="139"/>
      <c r="R29" s="261">
        <f>224+2149+2304</f>
        <v>4677</v>
      </c>
      <c r="S29" s="139"/>
      <c r="T29" s="261">
        <f>3006+57+40+301+382+475+468</f>
        <v>4729</v>
      </c>
      <c r="U29" s="139"/>
      <c r="V29" s="261">
        <v>4761</v>
      </c>
      <c r="W29" s="139"/>
      <c r="X29" s="261">
        <v>4997</v>
      </c>
      <c r="Y29" s="139"/>
      <c r="Z29" s="1649"/>
      <c r="AB29" s="12"/>
      <c r="AC29" s="947">
        <f t="shared" si="4"/>
        <v>4725.6000000000004</v>
      </c>
    </row>
    <row r="30" spans="1:33" ht="12" x14ac:dyDescent="0.2">
      <c r="B30" s="78" t="s">
        <v>11</v>
      </c>
      <c r="C30" s="184"/>
      <c r="D30" s="165">
        <f>450+398</f>
        <v>848</v>
      </c>
      <c r="E30" s="31"/>
      <c r="F30" s="171">
        <f>373+333</f>
        <v>706</v>
      </c>
      <c r="G30" s="239"/>
      <c r="H30" s="261">
        <f>503+474</f>
        <v>977</v>
      </c>
      <c r="I30" s="139"/>
      <c r="J30" s="183">
        <f>484+513</f>
        <v>997</v>
      </c>
      <c r="K30" s="239"/>
      <c r="L30" s="183">
        <f>631+468</f>
        <v>1099</v>
      </c>
      <c r="M30" s="239"/>
      <c r="N30" s="261">
        <f>523+356</f>
        <v>879</v>
      </c>
      <c r="O30" s="139"/>
      <c r="P30" s="261">
        <f>531+361</f>
        <v>892</v>
      </c>
      <c r="Q30" s="139"/>
      <c r="R30" s="261">
        <f>497+359+399</f>
        <v>1255</v>
      </c>
      <c r="S30" s="139"/>
      <c r="T30" s="261">
        <f>576+45+184+222</f>
        <v>1027</v>
      </c>
      <c r="U30" s="139"/>
      <c r="V30" s="261">
        <v>1006</v>
      </c>
      <c r="W30" s="139"/>
      <c r="X30" s="261">
        <v>1100</v>
      </c>
      <c r="Y30" s="139"/>
      <c r="Z30" s="1649"/>
      <c r="AA30" s="955"/>
      <c r="AB30" s="31"/>
      <c r="AC30" s="947">
        <f t="shared" si="4"/>
        <v>1056</v>
      </c>
    </row>
    <row r="31" spans="1:33" ht="12" x14ac:dyDescent="0.2">
      <c r="B31" s="78" t="s">
        <v>12</v>
      </c>
      <c r="C31" s="184"/>
      <c r="D31" s="94">
        <v>0</v>
      </c>
      <c r="E31" s="31"/>
      <c r="F31" s="39">
        <v>0</v>
      </c>
      <c r="G31" s="239"/>
      <c r="H31" s="240">
        <v>0</v>
      </c>
      <c r="I31" s="139"/>
      <c r="J31" s="241">
        <v>0</v>
      </c>
      <c r="K31" s="239"/>
      <c r="L31" s="241">
        <v>0</v>
      </c>
      <c r="M31" s="239"/>
      <c r="N31" s="240">
        <v>0</v>
      </c>
      <c r="O31" s="139"/>
      <c r="P31" s="240">
        <v>0</v>
      </c>
      <c r="Q31" s="139"/>
      <c r="R31" s="240">
        <v>0</v>
      </c>
      <c r="S31" s="139"/>
      <c r="T31" s="240">
        <v>0</v>
      </c>
      <c r="U31" s="139"/>
      <c r="V31" s="240">
        <v>0</v>
      </c>
      <c r="W31" s="139"/>
      <c r="X31" s="240">
        <v>0</v>
      </c>
      <c r="Y31" s="139"/>
      <c r="Z31" s="1650"/>
      <c r="AA31" s="955"/>
      <c r="AB31" s="31"/>
      <c r="AC31" s="947">
        <f t="shared" si="4"/>
        <v>0</v>
      </c>
      <c r="AG31" s="1633"/>
    </row>
    <row r="32" spans="1:33" thickBot="1" x14ac:dyDescent="0.25">
      <c r="B32" s="79" t="s">
        <v>13</v>
      </c>
      <c r="C32" s="185"/>
      <c r="D32" s="186">
        <f>SUM(D28:D31)</f>
        <v>12872</v>
      </c>
      <c r="E32" s="90"/>
      <c r="F32" s="58">
        <f>SUM(F28:F31)</f>
        <v>13106</v>
      </c>
      <c r="G32" s="246"/>
      <c r="H32" s="247">
        <f>SUM(H28:H31)</f>
        <v>13446</v>
      </c>
      <c r="I32" s="164"/>
      <c r="J32" s="242">
        <f>SUM(J28:J31)</f>
        <v>12727</v>
      </c>
      <c r="K32" s="246"/>
      <c r="L32" s="242">
        <f>SUM(L28:L31)</f>
        <v>12932</v>
      </c>
      <c r="M32" s="246"/>
      <c r="N32" s="247">
        <f>SUM(N28:N31)</f>
        <v>12410</v>
      </c>
      <c r="O32" s="164"/>
      <c r="P32" s="247">
        <f>SUM(P28:P31)</f>
        <v>12451</v>
      </c>
      <c r="Q32" s="164"/>
      <c r="R32" s="247">
        <f>SUM(R28:R31)</f>
        <v>13453</v>
      </c>
      <c r="S32" s="164"/>
      <c r="T32" s="247">
        <f>SUM(T28:T31)</f>
        <v>13305</v>
      </c>
      <c r="U32" s="164"/>
      <c r="V32" s="247">
        <f>SUM(V28:V31)</f>
        <v>14050</v>
      </c>
      <c r="W32" s="164"/>
      <c r="X32" s="247">
        <f>SUM(X28:X31)</f>
        <v>14742</v>
      </c>
      <c r="Y32" s="164"/>
      <c r="Z32" s="1651"/>
      <c r="AA32" s="955"/>
      <c r="AB32" s="182"/>
      <c r="AC32" s="1008">
        <f t="shared" si="4"/>
        <v>13600.2</v>
      </c>
      <c r="AE32" s="1633"/>
    </row>
    <row r="33" spans="1:32" customFormat="1" ht="12" customHeight="1" thickTop="1" thickBot="1" x14ac:dyDescent="0.25">
      <c r="A33" s="930"/>
      <c r="B33" s="931" t="s">
        <v>212</v>
      </c>
      <c r="C33" s="1992" t="s">
        <v>51</v>
      </c>
      <c r="D33" s="1997"/>
      <c r="E33" s="1992" t="s">
        <v>52</v>
      </c>
      <c r="F33" s="1997"/>
      <c r="G33" s="1989" t="s">
        <v>184</v>
      </c>
      <c r="H33" s="1981"/>
      <c r="I33" s="1989" t="s">
        <v>185</v>
      </c>
      <c r="J33" s="2005"/>
      <c r="K33" s="1989" t="s">
        <v>202</v>
      </c>
      <c r="L33" s="2005"/>
      <c r="M33" s="1991" t="s">
        <v>203</v>
      </c>
      <c r="N33" s="1981"/>
      <c r="O33" s="1970" t="s">
        <v>228</v>
      </c>
      <c r="P33" s="1981"/>
      <c r="Q33" s="1970" t="s">
        <v>238</v>
      </c>
      <c r="R33" s="1981"/>
      <c r="S33" s="1970" t="s">
        <v>273</v>
      </c>
      <c r="T33" s="1981"/>
      <c r="U33" s="1970" t="s">
        <v>275</v>
      </c>
      <c r="V33" s="1981"/>
      <c r="W33" s="1970" t="s">
        <v>281</v>
      </c>
      <c r="X33" s="1981"/>
      <c r="Y33" s="1970" t="s">
        <v>291</v>
      </c>
      <c r="Z33" s="1971"/>
      <c r="AA33" s="932"/>
      <c r="AB33" s="2009"/>
      <c r="AC33" s="2010"/>
      <c r="AD33" s="293"/>
      <c r="AE33" s="293"/>
      <c r="AF33" s="21"/>
    </row>
    <row r="34" spans="1:32" customFormat="1" ht="12" customHeight="1" x14ac:dyDescent="0.2">
      <c r="A34" s="930"/>
      <c r="B34" s="933" t="s">
        <v>189</v>
      </c>
      <c r="C34" s="2029"/>
      <c r="D34" s="2030"/>
      <c r="E34" s="2031"/>
      <c r="F34" s="2032"/>
      <c r="G34" s="2031"/>
      <c r="H34" s="2032"/>
      <c r="I34" s="2031"/>
      <c r="J34" s="2041"/>
      <c r="K34" s="1635"/>
      <c r="L34" s="1636"/>
      <c r="M34" s="1637"/>
      <c r="N34" s="1638"/>
      <c r="O34" s="1639"/>
      <c r="P34" s="1638"/>
      <c r="Q34" s="1639"/>
      <c r="R34" s="1638"/>
      <c r="S34" s="1639"/>
      <c r="T34" s="1638"/>
      <c r="U34" s="139"/>
      <c r="V34" s="1885">
        <v>0.36899999999999999</v>
      </c>
      <c r="W34" s="139"/>
      <c r="X34" s="1885">
        <v>0.34899999999999998</v>
      </c>
      <c r="Y34" s="139"/>
      <c r="Z34" s="1664">
        <v>0.34899999999999998</v>
      </c>
      <c r="AA34" s="937"/>
      <c r="AB34" s="938"/>
      <c r="AC34" s="1048">
        <f t="shared" ref="AC34:AC35" si="5">AVERAGE(X34,V34,R34,T34,Z34)</f>
        <v>0.35566666666666663</v>
      </c>
      <c r="AD34" s="293"/>
      <c r="AE34" s="293"/>
      <c r="AF34" s="21"/>
    </row>
    <row r="35" spans="1:32" customFormat="1" ht="12" customHeight="1" x14ac:dyDescent="0.2">
      <c r="A35" s="930"/>
      <c r="B35" s="940" t="s">
        <v>190</v>
      </c>
      <c r="C35" s="2025"/>
      <c r="D35" s="2026"/>
      <c r="E35" s="2034"/>
      <c r="F35" s="2036"/>
      <c r="G35" s="2034"/>
      <c r="H35" s="2036"/>
      <c r="I35" s="2034"/>
      <c r="J35" s="2035"/>
      <c r="K35" s="1640"/>
      <c r="L35" s="1641"/>
      <c r="M35" s="1640"/>
      <c r="N35" s="1641"/>
      <c r="O35" s="1642"/>
      <c r="P35" s="1641"/>
      <c r="Q35" s="1642"/>
      <c r="R35" s="1641"/>
      <c r="S35" s="1642"/>
      <c r="T35" s="1641"/>
      <c r="U35" s="139"/>
      <c r="V35" s="1885">
        <v>4.9000000000000002E-2</v>
      </c>
      <c r="W35" s="139"/>
      <c r="X35" s="1885">
        <v>4.3999999999999997E-2</v>
      </c>
      <c r="Y35" s="139"/>
      <c r="Z35" s="1664">
        <v>3.3000000000000002E-2</v>
      </c>
      <c r="AA35" s="937"/>
      <c r="AB35" s="938"/>
      <c r="AC35" s="1048">
        <f t="shared" si="5"/>
        <v>4.2000000000000003E-2</v>
      </c>
      <c r="AD35" s="293"/>
      <c r="AE35" s="293"/>
      <c r="AF35" s="21"/>
    </row>
    <row r="36" spans="1:32" customFormat="1" ht="12.75" customHeight="1" thickBot="1" x14ac:dyDescent="0.25">
      <c r="A36" s="3"/>
      <c r="B36" s="943" t="s">
        <v>191</v>
      </c>
      <c r="C36" s="2027"/>
      <c r="D36" s="2028"/>
      <c r="E36" s="2027"/>
      <c r="F36" s="2028"/>
      <c r="G36" s="2027"/>
      <c r="H36" s="2028"/>
      <c r="I36" s="2027"/>
      <c r="J36" s="2028"/>
      <c r="K36" s="2027"/>
      <c r="L36" s="2028"/>
      <c r="M36" s="2027"/>
      <c r="N36" s="2028"/>
      <c r="O36" s="2027"/>
      <c r="P36" s="2028"/>
      <c r="Q36" s="2066"/>
      <c r="R36" s="2028"/>
      <c r="S36" s="2066"/>
      <c r="T36" s="2028"/>
      <c r="U36" s="2090">
        <f>1-V34-V35</f>
        <v>0.58199999999999996</v>
      </c>
      <c r="V36" s="2086"/>
      <c r="W36" s="2085">
        <f>1-X34-X35</f>
        <v>0.60699999999999998</v>
      </c>
      <c r="X36" s="2086"/>
      <c r="Y36" s="2085">
        <f>1-Z34-Z35</f>
        <v>0.61799999999999999</v>
      </c>
      <c r="Z36" s="2087"/>
      <c r="AA36" s="937"/>
      <c r="AB36" s="2007">
        <f>1-AC34-AC35</f>
        <v>0.60233333333333339</v>
      </c>
      <c r="AC36" s="2008"/>
      <c r="AD36" s="1050"/>
      <c r="AE36" s="293"/>
      <c r="AF36" s="21"/>
    </row>
    <row r="37" spans="1:32" thickTop="1" x14ac:dyDescent="0.2">
      <c r="B37" s="109"/>
      <c r="C37" s="110"/>
      <c r="D37" s="111"/>
      <c r="E37" s="110"/>
      <c r="F37" s="111"/>
      <c r="G37" s="146"/>
      <c r="H37" s="147"/>
      <c r="I37" s="146"/>
      <c r="J37" s="147"/>
      <c r="K37" s="146"/>
      <c r="L37" s="147"/>
      <c r="M37" s="146"/>
      <c r="N37" s="147"/>
      <c r="O37" s="146"/>
      <c r="P37" s="147"/>
      <c r="Q37" s="146"/>
      <c r="R37" s="147"/>
      <c r="S37" s="146"/>
      <c r="T37" s="147"/>
      <c r="U37" s="146"/>
      <c r="V37" s="147"/>
      <c r="W37" s="146"/>
      <c r="X37" s="147"/>
      <c r="Y37" s="146"/>
      <c r="Z37" s="147"/>
    </row>
    <row r="38" spans="1:32" x14ac:dyDescent="0.2">
      <c r="A38" s="112" t="s">
        <v>68</v>
      </c>
      <c r="B38" s="96"/>
      <c r="C38" s="28"/>
      <c r="D38" s="28"/>
      <c r="E38" s="28"/>
      <c r="F38" s="28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</row>
    <row r="39" spans="1:32" ht="13.5" thickBot="1" x14ac:dyDescent="0.25">
      <c r="A39" s="112"/>
      <c r="B39" s="96"/>
      <c r="C39" s="28"/>
      <c r="D39" s="28"/>
      <c r="E39" s="28"/>
      <c r="F39" s="28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</row>
    <row r="40" spans="1:32" ht="14.25" thickTop="1" thickBot="1" x14ac:dyDescent="0.25">
      <c r="A40" s="2"/>
      <c r="B40" s="329" t="s">
        <v>69</v>
      </c>
      <c r="C40" s="2013" t="s">
        <v>49</v>
      </c>
      <c r="D40" s="2014"/>
      <c r="E40" s="2015" t="s">
        <v>50</v>
      </c>
      <c r="F40" s="2015"/>
      <c r="G40" s="2002" t="s">
        <v>141</v>
      </c>
      <c r="H40" s="1982"/>
      <c r="I40" s="2081" t="s">
        <v>152</v>
      </c>
      <c r="J40" s="2081"/>
      <c r="K40" s="2082" t="s">
        <v>154</v>
      </c>
      <c r="L40" s="2081"/>
      <c r="M40" s="2082" t="s">
        <v>171</v>
      </c>
      <c r="N40" s="2083"/>
      <c r="O40" s="2081" t="s">
        <v>227</v>
      </c>
      <c r="P40" s="2083"/>
      <c r="Q40" s="2081" t="s">
        <v>237</v>
      </c>
      <c r="R40" s="2083"/>
      <c r="S40" s="2081" t="s">
        <v>272</v>
      </c>
      <c r="T40" s="2083"/>
      <c r="U40" s="2081" t="s">
        <v>274</v>
      </c>
      <c r="V40" s="2083"/>
      <c r="W40" s="2081" t="s">
        <v>280</v>
      </c>
      <c r="X40" s="2083"/>
      <c r="Y40" s="2081" t="s">
        <v>290</v>
      </c>
      <c r="Z40" s="2084"/>
      <c r="AA40" s="955"/>
      <c r="AB40" s="2015" t="s">
        <v>213</v>
      </c>
      <c r="AC40" s="2004"/>
    </row>
    <row r="41" spans="1:32" x14ac:dyDescent="0.2">
      <c r="A41" s="2"/>
      <c r="B41" s="330" t="s">
        <v>70</v>
      </c>
      <c r="C41" s="184"/>
      <c r="D41" s="93"/>
      <c r="E41" s="31"/>
      <c r="F41" s="31"/>
      <c r="G41" s="239"/>
      <c r="H41" s="245"/>
      <c r="I41" s="265"/>
      <c r="J41" s="151"/>
      <c r="K41" s="1825"/>
      <c r="L41" s="1797"/>
      <c r="M41" s="265"/>
      <c r="N41" s="248"/>
      <c r="O41" s="151"/>
      <c r="P41" s="248"/>
      <c r="Q41" s="151"/>
      <c r="R41" s="248"/>
      <c r="S41" s="151"/>
      <c r="T41" s="248"/>
      <c r="U41" s="151"/>
      <c r="V41" s="248"/>
      <c r="W41" s="151"/>
      <c r="X41" s="248"/>
      <c r="Y41" s="151"/>
      <c r="Z41" s="152"/>
      <c r="AA41" s="955"/>
      <c r="AB41" s="28"/>
      <c r="AC41" s="930"/>
    </row>
    <row r="42" spans="1:32" x14ac:dyDescent="0.2">
      <c r="A42" s="2"/>
      <c r="B42" s="331" t="s">
        <v>71</v>
      </c>
      <c r="C42" s="54"/>
      <c r="D42" s="188"/>
      <c r="E42" s="30"/>
      <c r="F42" s="205"/>
      <c r="G42" s="243"/>
      <c r="H42" s="416"/>
      <c r="I42" s="138"/>
      <c r="J42" s="451"/>
      <c r="K42" s="1749"/>
      <c r="L42" s="1821"/>
      <c r="M42" s="243"/>
      <c r="N42" s="416">
        <v>2108349</v>
      </c>
      <c r="O42" s="138"/>
      <c r="P42" s="416">
        <v>2138955</v>
      </c>
      <c r="Q42" s="138"/>
      <c r="R42" s="416">
        <v>2208694</v>
      </c>
      <c r="S42" s="138"/>
      <c r="T42" s="416">
        <v>2303107</v>
      </c>
      <c r="U42" s="138"/>
      <c r="V42" s="416">
        <v>3791515</v>
      </c>
      <c r="W42" s="138"/>
      <c r="X42" s="416">
        <v>3744828</v>
      </c>
      <c r="Y42" s="138"/>
      <c r="Z42" s="294">
        <v>4032564</v>
      </c>
      <c r="AA42" s="955"/>
      <c r="AB42" s="30"/>
      <c r="AC42" s="947">
        <f>AVERAGE(X42,V42,R42,T42,Z42)</f>
        <v>3216141.6</v>
      </c>
    </row>
    <row r="43" spans="1:32" x14ac:dyDescent="0.2">
      <c r="A43" s="2"/>
      <c r="B43" s="331" t="s">
        <v>247</v>
      </c>
      <c r="C43" s="54"/>
      <c r="D43" s="188"/>
      <c r="E43" s="30"/>
      <c r="F43" s="205"/>
      <c r="G43" s="243"/>
      <c r="H43" s="416"/>
      <c r="I43" s="138"/>
      <c r="J43" s="451"/>
      <c r="K43" s="1749"/>
      <c r="L43" s="1821"/>
      <c r="M43" s="243"/>
      <c r="N43" s="416"/>
      <c r="O43" s="138"/>
      <c r="P43" s="416"/>
      <c r="Q43" s="138"/>
      <c r="R43" s="416"/>
      <c r="S43" s="138"/>
      <c r="T43" s="416"/>
      <c r="U43" s="138"/>
      <c r="V43" s="416"/>
      <c r="W43" s="138"/>
      <c r="X43" s="416"/>
      <c r="Y43" s="138"/>
      <c r="Z43" s="294"/>
      <c r="AA43" s="955"/>
      <c r="AB43" s="30"/>
      <c r="AC43" s="947"/>
    </row>
    <row r="44" spans="1:32" ht="36" x14ac:dyDescent="0.2">
      <c r="A44" s="2"/>
      <c r="B44" s="332" t="s">
        <v>248</v>
      </c>
      <c r="C44" s="184"/>
      <c r="D44" s="189"/>
      <c r="E44" s="31"/>
      <c r="F44" s="206"/>
      <c r="G44" s="239"/>
      <c r="H44" s="369"/>
      <c r="I44" s="139"/>
      <c r="J44" s="347"/>
      <c r="K44" s="1750"/>
      <c r="L44" s="1822"/>
      <c r="M44" s="239"/>
      <c r="N44" s="369">
        <v>21710</v>
      </c>
      <c r="O44" s="139"/>
      <c r="P44" s="369">
        <v>23230</v>
      </c>
      <c r="Q44" s="139"/>
      <c r="R44" s="369">
        <v>24433</v>
      </c>
      <c r="S44" s="139"/>
      <c r="T44" s="369">
        <v>24924</v>
      </c>
      <c r="U44" s="139"/>
      <c r="V44" s="369">
        <v>107412</v>
      </c>
      <c r="W44" s="139"/>
      <c r="X44" s="369">
        <v>316496</v>
      </c>
      <c r="Y44" s="139"/>
      <c r="Z44" s="282">
        <v>200578</v>
      </c>
      <c r="AA44" s="955"/>
      <c r="AB44" s="31"/>
      <c r="AC44" s="947">
        <f>AVERAGE(X44,V44,R44,T44,Z44)</f>
        <v>134768.6</v>
      </c>
    </row>
    <row r="45" spans="1:32" x14ac:dyDescent="0.2">
      <c r="A45" s="2"/>
      <c r="B45" s="333" t="s">
        <v>72</v>
      </c>
      <c r="C45" s="187"/>
      <c r="D45" s="190">
        <f>SUM(D42:D44)</f>
        <v>0</v>
      </c>
      <c r="E45" s="90"/>
      <c r="F45" s="207">
        <f>SUM(F42:F44)</f>
        <v>0</v>
      </c>
      <c r="G45" s="262"/>
      <c r="H45" s="263">
        <f>SUM(H42:H44)</f>
        <v>0</v>
      </c>
      <c r="I45" s="250"/>
      <c r="J45" s="249">
        <f>SUM(J42:J44)</f>
        <v>0</v>
      </c>
      <c r="K45" s="1823"/>
      <c r="L45" s="1824">
        <f>SUM(L42:L44)</f>
        <v>0</v>
      </c>
      <c r="M45" s="262"/>
      <c r="N45" s="263">
        <f>SUM(N42:N44)</f>
        <v>2130059</v>
      </c>
      <c r="O45" s="250"/>
      <c r="P45" s="263">
        <f>SUM(P42:P44)</f>
        <v>2162185</v>
      </c>
      <c r="Q45" s="250"/>
      <c r="R45" s="263">
        <f>SUM(R42:R44)</f>
        <v>2233127</v>
      </c>
      <c r="S45" s="250"/>
      <c r="T45" s="263">
        <f>SUM(T42:T44)</f>
        <v>2328031</v>
      </c>
      <c r="U45" s="250"/>
      <c r="V45" s="263">
        <f>SUM(V42:V44)</f>
        <v>3898927</v>
      </c>
      <c r="W45" s="250"/>
      <c r="X45" s="263">
        <f>SUM(X42:X44)</f>
        <v>4061324</v>
      </c>
      <c r="Y45" s="250"/>
      <c r="Z45" s="149">
        <f>SUM(Z42:Z44)</f>
        <v>4233142</v>
      </c>
      <c r="AA45" s="955"/>
      <c r="AB45" s="31"/>
      <c r="AC45" s="1008">
        <f>AVERAGE(X45,V45,R45,T45,Z45)</f>
        <v>3350910.2</v>
      </c>
    </row>
    <row r="46" spans="1:32" x14ac:dyDescent="0.2">
      <c r="A46" s="2"/>
      <c r="B46" s="330" t="s">
        <v>73</v>
      </c>
      <c r="C46" s="184"/>
      <c r="D46" s="189"/>
      <c r="E46" s="31"/>
      <c r="F46" s="206"/>
      <c r="G46" s="239"/>
      <c r="H46" s="369"/>
      <c r="I46" s="139"/>
      <c r="J46" s="347"/>
      <c r="K46" s="1750"/>
      <c r="L46" s="1822"/>
      <c r="M46" s="239"/>
      <c r="N46" s="369"/>
      <c r="O46" s="139"/>
      <c r="P46" s="369"/>
      <c r="Q46" s="139"/>
      <c r="R46" s="369"/>
      <c r="S46" s="139"/>
      <c r="T46" s="369"/>
      <c r="U46" s="139"/>
      <c r="V46" s="369"/>
      <c r="W46" s="139"/>
      <c r="X46" s="369"/>
      <c r="Y46" s="139"/>
      <c r="Z46" s="282"/>
      <c r="AA46" s="955"/>
      <c r="AB46" s="31"/>
      <c r="AC46" s="947"/>
    </row>
    <row r="47" spans="1:32" x14ac:dyDescent="0.2">
      <c r="A47" s="2"/>
      <c r="B47" s="331" t="s">
        <v>71</v>
      </c>
      <c r="C47" s="184"/>
      <c r="D47" s="189"/>
      <c r="E47" s="31"/>
      <c r="F47" s="206"/>
      <c r="G47" s="239"/>
      <c r="H47" s="369"/>
      <c r="I47" s="139"/>
      <c r="J47" s="347"/>
      <c r="K47" s="1750"/>
      <c r="L47" s="1822"/>
      <c r="M47" s="239"/>
      <c r="N47" s="369"/>
      <c r="O47" s="139"/>
      <c r="P47" s="369"/>
      <c r="Q47" s="139"/>
      <c r="R47" s="369"/>
      <c r="S47" s="139"/>
      <c r="T47" s="369"/>
      <c r="U47" s="139"/>
      <c r="V47" s="369"/>
      <c r="W47" s="139"/>
      <c r="X47" s="369"/>
      <c r="Y47" s="139"/>
      <c r="Z47" s="282"/>
      <c r="AA47" s="955"/>
      <c r="AB47" s="31"/>
      <c r="AC47" s="947"/>
    </row>
    <row r="48" spans="1:32" x14ac:dyDescent="0.2">
      <c r="A48" s="2"/>
      <c r="B48" s="331" t="s">
        <v>247</v>
      </c>
      <c r="C48" s="184"/>
      <c r="D48" s="189"/>
      <c r="E48" s="31"/>
      <c r="F48" s="206"/>
      <c r="G48" s="239"/>
      <c r="H48" s="369"/>
      <c r="I48" s="139"/>
      <c r="J48" s="347"/>
      <c r="K48" s="1750"/>
      <c r="L48" s="1822"/>
      <c r="M48" s="239"/>
      <c r="N48" s="369"/>
      <c r="O48" s="139"/>
      <c r="P48" s="369"/>
      <c r="Q48" s="139"/>
      <c r="R48" s="369"/>
      <c r="S48" s="139"/>
      <c r="T48" s="369"/>
      <c r="U48" s="139"/>
      <c r="V48" s="369"/>
      <c r="W48" s="139"/>
      <c r="X48" s="369"/>
      <c r="Y48" s="139"/>
      <c r="Z48" s="282"/>
      <c r="AA48" s="955"/>
      <c r="AB48" s="31"/>
      <c r="AC48" s="947"/>
    </row>
    <row r="49" spans="1:29" ht="36" x14ac:dyDescent="0.2">
      <c r="A49" s="2"/>
      <c r="B49" s="332" t="s">
        <v>248</v>
      </c>
      <c r="C49" s="184"/>
      <c r="D49" s="189"/>
      <c r="E49" s="31"/>
      <c r="F49" s="206"/>
      <c r="G49" s="239"/>
      <c r="H49" s="369"/>
      <c r="I49" s="139"/>
      <c r="J49" s="347"/>
      <c r="K49" s="1750"/>
      <c r="L49" s="1822"/>
      <c r="M49" s="239"/>
      <c r="N49" s="369"/>
      <c r="O49" s="139"/>
      <c r="P49" s="369"/>
      <c r="Q49" s="139"/>
      <c r="R49" s="369"/>
      <c r="S49" s="139"/>
      <c r="T49" s="369"/>
      <c r="U49" s="139"/>
      <c r="V49" s="369"/>
      <c r="W49" s="139"/>
      <c r="X49" s="369"/>
      <c r="Y49" s="139"/>
      <c r="Z49" s="282"/>
      <c r="AA49" s="955"/>
      <c r="AB49" s="31"/>
      <c r="AC49" s="947"/>
    </row>
    <row r="50" spans="1:29" x14ac:dyDescent="0.2">
      <c r="A50" s="2"/>
      <c r="B50" s="333" t="s">
        <v>74</v>
      </c>
      <c r="C50" s="187"/>
      <c r="D50" s="190">
        <f>SUM(D47:D49)</f>
        <v>0</v>
      </c>
      <c r="E50" s="90"/>
      <c r="F50" s="207">
        <f>SUM(F47:F49)</f>
        <v>0</v>
      </c>
      <c r="G50" s="262"/>
      <c r="H50" s="263">
        <f>SUM(H47:H49)</f>
        <v>0</v>
      </c>
      <c r="I50" s="250"/>
      <c r="J50" s="249">
        <f>SUM(J47:J49)</f>
        <v>0</v>
      </c>
      <c r="K50" s="1823"/>
      <c r="L50" s="1824">
        <f>SUM(L47:L49)</f>
        <v>0</v>
      </c>
      <c r="M50" s="262"/>
      <c r="N50" s="263">
        <f>SUM(N47:N49)</f>
        <v>0</v>
      </c>
      <c r="O50" s="250"/>
      <c r="P50" s="263">
        <f>SUM(P47:P49)</f>
        <v>0</v>
      </c>
      <c r="Q50" s="250"/>
      <c r="R50" s="263">
        <f>SUM(R47:R49)</f>
        <v>0</v>
      </c>
      <c r="S50" s="250"/>
      <c r="T50" s="263">
        <f>SUM(T47:T49)</f>
        <v>0</v>
      </c>
      <c r="U50" s="250"/>
      <c r="V50" s="263">
        <f>SUM(V47:V49)</f>
        <v>0</v>
      </c>
      <c r="W50" s="250"/>
      <c r="X50" s="263">
        <f>SUM(X47:X49)</f>
        <v>0</v>
      </c>
      <c r="Y50" s="250"/>
      <c r="Z50" s="149">
        <f>SUM(Z47:Z49)</f>
        <v>0</v>
      </c>
      <c r="AA50" s="955"/>
      <c r="AB50" s="31"/>
      <c r="AC50" s="1008">
        <f>AVERAGE(X50,V50,R50,T50,Z50)</f>
        <v>0</v>
      </c>
    </row>
    <row r="51" spans="1:29" ht="13.5" thickBot="1" x14ac:dyDescent="0.25">
      <c r="A51" s="2"/>
      <c r="B51" s="334" t="s">
        <v>75</v>
      </c>
      <c r="C51" s="239"/>
      <c r="D51" s="263">
        <f>SUM(D45,D50)</f>
        <v>0</v>
      </c>
      <c r="E51" s="31"/>
      <c r="F51" s="207">
        <f>SUM(F45,F50)</f>
        <v>0</v>
      </c>
      <c r="G51" s="239"/>
      <c r="H51" s="263">
        <f>SUM(H45,H50)</f>
        <v>0</v>
      </c>
      <c r="I51" s="139"/>
      <c r="J51" s="249">
        <f>SUM(J45,J50)</f>
        <v>0</v>
      </c>
      <c r="K51" s="1750"/>
      <c r="L51" s="1824">
        <f>SUM(L45,L50)</f>
        <v>0</v>
      </c>
      <c r="M51" s="239"/>
      <c r="N51" s="263">
        <f>SUM(N45,N50)</f>
        <v>2130059</v>
      </c>
      <c r="O51" s="139"/>
      <c r="P51" s="263">
        <f>SUM(P45,P50)</f>
        <v>2162185</v>
      </c>
      <c r="Q51" s="139"/>
      <c r="R51" s="263">
        <f>SUM(R45,R50)</f>
        <v>2233127</v>
      </c>
      <c r="S51" s="139"/>
      <c r="T51" s="263">
        <f>SUM(T45,T50)</f>
        <v>2328031</v>
      </c>
      <c r="U51" s="139"/>
      <c r="V51" s="263">
        <f>SUM(V45,V50)</f>
        <v>3898927</v>
      </c>
      <c r="W51" s="139"/>
      <c r="X51" s="263">
        <f>SUM(X45,X50)</f>
        <v>4061324</v>
      </c>
      <c r="Y51" s="139"/>
      <c r="Z51" s="149">
        <f>SUM(Z45,Z50)</f>
        <v>4233142</v>
      </c>
      <c r="AA51" s="955"/>
      <c r="AB51" s="327"/>
      <c r="AC51" s="1008">
        <f>AVERAGE(X51,V51,R51,T51,Z51)</f>
        <v>3350910.2</v>
      </c>
    </row>
    <row r="52" spans="1:29" ht="12" x14ac:dyDescent="0.2">
      <c r="B52" s="81" t="s">
        <v>259</v>
      </c>
      <c r="C52" s="265"/>
      <c r="D52" s="248"/>
      <c r="E52" s="36"/>
      <c r="F52" s="36"/>
      <c r="G52" s="265"/>
      <c r="H52" s="248"/>
      <c r="I52" s="151"/>
      <c r="J52" s="151"/>
      <c r="K52" s="1825"/>
      <c r="L52" s="1797"/>
      <c r="M52" s="265"/>
      <c r="N52" s="248"/>
      <c r="O52" s="1797"/>
      <c r="P52" s="1837"/>
      <c r="Q52" s="1797"/>
      <c r="R52" s="1837"/>
      <c r="S52" s="151"/>
      <c r="T52" s="248"/>
      <c r="U52" s="151"/>
      <c r="V52" s="248"/>
      <c r="W52" s="151"/>
      <c r="X52" s="248"/>
      <c r="Y52" s="151"/>
      <c r="Z52" s="152"/>
      <c r="AA52" s="955"/>
      <c r="AB52" s="28"/>
      <c r="AC52" s="978"/>
    </row>
    <row r="53" spans="1:29" ht="12" x14ac:dyDescent="0.2">
      <c r="B53" s="78" t="s">
        <v>14</v>
      </c>
      <c r="C53" s="266"/>
      <c r="D53" s="460"/>
      <c r="E53" s="38"/>
      <c r="F53" s="458"/>
      <c r="G53" s="432"/>
      <c r="H53" s="433"/>
      <c r="I53" s="463"/>
      <c r="J53" s="458"/>
      <c r="K53" s="1857"/>
      <c r="L53" s="1827"/>
      <c r="M53" s="432"/>
      <c r="N53" s="510"/>
      <c r="O53" s="1953"/>
      <c r="P53" s="1844"/>
      <c r="Q53" s="1799"/>
      <c r="R53" s="1777"/>
      <c r="S53" s="525"/>
      <c r="T53" s="1140">
        <v>2877438</v>
      </c>
      <c r="U53" s="525"/>
      <c r="V53" s="1140">
        <v>4400190</v>
      </c>
      <c r="W53" s="525"/>
      <c r="X53" s="1140">
        <v>4578285.62</v>
      </c>
      <c r="Y53" s="525"/>
      <c r="Z53" s="1568"/>
      <c r="AA53" s="955"/>
      <c r="AB53" s="30"/>
      <c r="AC53" s="949">
        <f>AVERAGE(X53,V53,R53,T53,P53)</f>
        <v>3951971.206666667</v>
      </c>
    </row>
    <row r="54" spans="1:29" thickBot="1" x14ac:dyDescent="0.25">
      <c r="B54" s="336" t="s">
        <v>15</v>
      </c>
      <c r="C54" s="268"/>
      <c r="D54" s="467"/>
      <c r="E54" s="40"/>
      <c r="F54" s="467"/>
      <c r="G54" s="268"/>
      <c r="H54" s="467"/>
      <c r="I54" s="154"/>
      <c r="J54" s="467"/>
      <c r="K54" s="1839"/>
      <c r="L54" s="1829"/>
      <c r="M54" s="596"/>
      <c r="N54" s="509"/>
      <c r="O54" s="1841"/>
      <c r="P54" s="1840"/>
      <c r="Q54" s="1801"/>
      <c r="R54" s="1842"/>
      <c r="S54" s="1481"/>
      <c r="T54" s="1152">
        <v>0</v>
      </c>
      <c r="U54" s="1481"/>
      <c r="V54" s="1152">
        <v>0</v>
      </c>
      <c r="W54" s="1481"/>
      <c r="X54" s="1152">
        <v>0</v>
      </c>
      <c r="Y54" s="1481"/>
      <c r="Z54" s="1569"/>
      <c r="AA54" s="955"/>
      <c r="AB54" s="113"/>
      <c r="AC54" s="949">
        <f>AVERAGE(X54,V54,R54,T54,P54)</f>
        <v>0</v>
      </c>
    </row>
    <row r="55" spans="1:29" ht="12" x14ac:dyDescent="0.2">
      <c r="B55" s="20"/>
      <c r="C55" s="308" t="s">
        <v>133</v>
      </c>
      <c r="D55" s="417" t="s">
        <v>139</v>
      </c>
      <c r="E55" s="166" t="s">
        <v>133</v>
      </c>
      <c r="F55" s="84" t="s">
        <v>139</v>
      </c>
      <c r="G55" s="380" t="s">
        <v>133</v>
      </c>
      <c r="H55" s="84" t="s">
        <v>139</v>
      </c>
      <c r="I55" s="380" t="s">
        <v>133</v>
      </c>
      <c r="J55" s="84" t="s">
        <v>139</v>
      </c>
      <c r="K55" s="1858" t="s">
        <v>133</v>
      </c>
      <c r="L55" s="1818" t="s">
        <v>139</v>
      </c>
      <c r="M55" s="386" t="s">
        <v>133</v>
      </c>
      <c r="N55" s="417" t="s">
        <v>139</v>
      </c>
      <c r="O55" s="352" t="s">
        <v>133</v>
      </c>
      <c r="P55" s="417" t="s">
        <v>139</v>
      </c>
      <c r="Q55" s="84" t="s">
        <v>133</v>
      </c>
      <c r="R55" s="194" t="s">
        <v>139</v>
      </c>
      <c r="S55" s="84" t="s">
        <v>133</v>
      </c>
      <c r="T55" s="194" t="s">
        <v>139</v>
      </c>
      <c r="U55" s="84" t="s">
        <v>133</v>
      </c>
      <c r="V55" s="194" t="s">
        <v>139</v>
      </c>
      <c r="W55" s="84" t="s">
        <v>133</v>
      </c>
      <c r="X55" s="417" t="s">
        <v>139</v>
      </c>
      <c r="Y55" s="84" t="s">
        <v>133</v>
      </c>
      <c r="Z55" s="84" t="s">
        <v>139</v>
      </c>
      <c r="AA55" s="955"/>
      <c r="AB55" s="323" t="s">
        <v>133</v>
      </c>
      <c r="AC55" s="295" t="s">
        <v>139</v>
      </c>
    </row>
    <row r="56" spans="1:29" ht="11.45" customHeight="1" x14ac:dyDescent="0.2">
      <c r="B56" s="80" t="s">
        <v>67</v>
      </c>
      <c r="C56" s="475"/>
      <c r="D56" s="1135"/>
      <c r="E56" s="108"/>
      <c r="F56" s="1139"/>
      <c r="G56" s="476"/>
      <c r="H56" s="1140"/>
      <c r="I56" s="477"/>
      <c r="J56" s="1123"/>
      <c r="K56" s="1843"/>
      <c r="L56" s="1832"/>
      <c r="M56" s="476"/>
      <c r="N56" s="510"/>
      <c r="O56" s="1831"/>
      <c r="P56" s="1844"/>
      <c r="Q56" s="1831"/>
      <c r="R56" s="1844"/>
      <c r="S56" s="1769"/>
      <c r="T56" s="1845"/>
      <c r="U56" s="108">
        <v>1</v>
      </c>
      <c r="V56" s="1141">
        <v>15950</v>
      </c>
      <c r="W56" s="108">
        <v>3</v>
      </c>
      <c r="X56" s="1141">
        <v>34950</v>
      </c>
      <c r="Y56" s="1769"/>
      <c r="Z56" s="1770"/>
      <c r="AA56" s="1124"/>
      <c r="AB56" s="108">
        <f>AVERAGE(W56,U56,Q56,S56,O56)</f>
        <v>2</v>
      </c>
      <c r="AC56" s="1125">
        <f>AVERAGE(X56,V56,R56,T56,P56)</f>
        <v>25450</v>
      </c>
    </row>
    <row r="57" spans="1:29" ht="11.45" customHeight="1" x14ac:dyDescent="0.2">
      <c r="B57" s="80"/>
      <c r="C57" s="916"/>
      <c r="D57" s="1136"/>
      <c r="E57" s="838"/>
      <c r="F57" s="1126"/>
      <c r="G57" s="551"/>
      <c r="H57" s="1127"/>
      <c r="I57" s="255"/>
      <c r="J57" s="1128"/>
      <c r="K57" s="1846"/>
      <c r="L57" s="1859"/>
      <c r="M57" s="551"/>
      <c r="N57" s="468"/>
      <c r="O57" s="1833"/>
      <c r="P57" s="1940"/>
      <c r="Q57" s="1833"/>
      <c r="R57" s="1940"/>
      <c r="S57" s="1771"/>
      <c r="T57" s="1778"/>
      <c r="U57" s="1013"/>
      <c r="V57" s="1131"/>
      <c r="W57" s="1013"/>
      <c r="X57" s="1131"/>
      <c r="Y57" s="1771"/>
      <c r="Z57" s="1772"/>
      <c r="AA57" s="1124"/>
      <c r="AB57" s="1013"/>
      <c r="AC57" s="1120"/>
    </row>
    <row r="58" spans="1:29" thickBot="1" x14ac:dyDescent="0.25">
      <c r="B58" s="167" t="s">
        <v>16</v>
      </c>
      <c r="C58" s="913"/>
      <c r="D58" s="1137"/>
      <c r="E58" s="839"/>
      <c r="F58" s="322"/>
      <c r="G58" s="552"/>
      <c r="H58" s="442"/>
      <c r="I58" s="550"/>
      <c r="J58" s="456"/>
      <c r="K58" s="1835"/>
      <c r="L58" s="1860"/>
      <c r="M58" s="552"/>
      <c r="N58" s="524"/>
      <c r="O58" s="1835"/>
      <c r="P58" s="1941"/>
      <c r="Q58" s="1835"/>
      <c r="R58" s="1941"/>
      <c r="S58" s="1773"/>
      <c r="T58" s="1931"/>
      <c r="U58" s="839">
        <v>1</v>
      </c>
      <c r="V58" s="1142">
        <v>15950</v>
      </c>
      <c r="W58" s="839">
        <v>1</v>
      </c>
      <c r="X58" s="1142">
        <v>15950</v>
      </c>
      <c r="Y58" s="1773"/>
      <c r="Z58" s="1819"/>
      <c r="AA58" s="1124"/>
      <c r="AB58" s="839">
        <f>AVERAGE(W58,U58,Q58,S58,O58)</f>
        <v>1</v>
      </c>
      <c r="AC58" s="1121">
        <f>AVERAGE(X58,V58,R58,T58,P58)</f>
        <v>15950</v>
      </c>
    </row>
    <row r="59" spans="1:29" thickTop="1" x14ac:dyDescent="0.2">
      <c r="B59" s="81" t="s">
        <v>84</v>
      </c>
      <c r="C59" s="199"/>
      <c r="D59" s="209"/>
      <c r="E59" s="45"/>
      <c r="F59" s="323"/>
      <c r="G59" s="269"/>
      <c r="H59" s="419"/>
      <c r="I59" s="156"/>
      <c r="J59" s="307"/>
      <c r="K59" s="269"/>
      <c r="L59" s="307"/>
      <c r="M59" s="269"/>
      <c r="N59" s="419"/>
      <c r="O59" s="156"/>
      <c r="P59" s="419"/>
      <c r="Q59" s="156"/>
      <c r="R59" s="419"/>
      <c r="S59" s="156"/>
      <c r="T59" s="419"/>
      <c r="U59" s="156"/>
      <c r="V59" s="419"/>
      <c r="W59" s="156"/>
      <c r="X59" s="419"/>
      <c r="Y59" s="156"/>
      <c r="Z59" s="158"/>
      <c r="AA59" s="955"/>
      <c r="AB59" s="109"/>
      <c r="AC59" s="1030"/>
    </row>
    <row r="60" spans="1:29" ht="12" x14ac:dyDescent="0.2">
      <c r="B60" s="337" t="s">
        <v>35</v>
      </c>
      <c r="C60" s="201"/>
      <c r="D60" s="210"/>
      <c r="E60" s="97"/>
      <c r="F60" s="135"/>
      <c r="G60" s="271"/>
      <c r="H60" s="420"/>
      <c r="I60" s="157"/>
      <c r="J60" s="135"/>
      <c r="K60" s="271"/>
      <c r="L60" s="135"/>
      <c r="M60" s="271"/>
      <c r="N60" s="420"/>
      <c r="O60" s="157"/>
      <c r="P60" s="420"/>
      <c r="Q60" s="157"/>
      <c r="R60" s="420"/>
      <c r="S60" s="157"/>
      <c r="T60" s="420"/>
      <c r="U60" s="157"/>
      <c r="V60" s="420"/>
      <c r="W60" s="157"/>
      <c r="X60" s="420"/>
      <c r="Y60" s="157"/>
      <c r="Z60" s="287"/>
      <c r="AA60" s="955"/>
      <c r="AB60" s="720"/>
      <c r="AC60" s="1011"/>
    </row>
    <row r="61" spans="1:29" ht="12" x14ac:dyDescent="0.2">
      <c r="B61" s="338" t="s">
        <v>85</v>
      </c>
      <c r="C61" s="202"/>
      <c r="D61" s="1251">
        <v>551980.68999999994</v>
      </c>
      <c r="E61" s="35"/>
      <c r="F61" s="345">
        <v>109358.74</v>
      </c>
      <c r="G61" s="272"/>
      <c r="H61" s="534">
        <v>97921.03</v>
      </c>
      <c r="I61" s="254"/>
      <c r="J61" s="542">
        <v>965519.43</v>
      </c>
      <c r="K61" s="272"/>
      <c r="L61" s="540">
        <v>138251.42000000001</v>
      </c>
      <c r="M61" s="272"/>
      <c r="N61" s="546">
        <v>249936.22</v>
      </c>
      <c r="O61" s="254"/>
      <c r="P61" s="546">
        <v>232519.08</v>
      </c>
      <c r="Q61" s="254"/>
      <c r="R61" s="546">
        <v>333361.53999999998</v>
      </c>
      <c r="S61" s="254"/>
      <c r="T61" s="546">
        <v>294944.98</v>
      </c>
      <c r="U61" s="254"/>
      <c r="V61" s="546">
        <v>1086155.05</v>
      </c>
      <c r="W61" s="254"/>
      <c r="X61" s="546">
        <v>1571091.83</v>
      </c>
      <c r="Y61" s="254"/>
      <c r="Z61" s="1577"/>
      <c r="AB61" s="1038"/>
      <c r="AC61" s="949">
        <f>AVERAGE(X61,V61,R61,T61,P61)</f>
        <v>703614.49600000004</v>
      </c>
    </row>
    <row r="62" spans="1:29" thickBot="1" x14ac:dyDescent="0.25">
      <c r="B62" s="339" t="s">
        <v>86</v>
      </c>
      <c r="C62" s="204"/>
      <c r="D62" s="211">
        <v>33551.1</v>
      </c>
      <c r="E62" s="37"/>
      <c r="F62" s="324">
        <v>34610.050000000003</v>
      </c>
      <c r="G62" s="274"/>
      <c r="H62" s="324">
        <v>36230.75</v>
      </c>
      <c r="I62" s="274"/>
      <c r="J62" s="455">
        <v>39856.050000000003</v>
      </c>
      <c r="K62" s="274"/>
      <c r="L62" s="324">
        <v>39757.769999999997</v>
      </c>
      <c r="M62" s="274"/>
      <c r="N62" s="485">
        <v>29546.6</v>
      </c>
      <c r="O62" s="260"/>
      <c r="P62" s="485">
        <v>31826.91</v>
      </c>
      <c r="Q62" s="260"/>
      <c r="R62" s="485">
        <v>36579.03</v>
      </c>
      <c r="S62" s="260"/>
      <c r="T62" s="485">
        <v>35134.199999999997</v>
      </c>
      <c r="U62" s="260"/>
      <c r="V62" s="485">
        <v>35170.69</v>
      </c>
      <c r="W62" s="260"/>
      <c r="X62" s="485">
        <v>37011.68</v>
      </c>
      <c r="Y62" s="260"/>
      <c r="Z62" s="1578"/>
      <c r="AB62" s="1015"/>
      <c r="AC62" s="1024">
        <f t="shared" ref="AC62" si="6">AVERAGE(X62,V62,R62,T62,P62)</f>
        <v>35144.501999999993</v>
      </c>
    </row>
    <row r="63" spans="1:29" thickTop="1" x14ac:dyDescent="0.2">
      <c r="B63" s="96"/>
      <c r="C63" s="97"/>
      <c r="D63" s="98"/>
      <c r="E63" s="97"/>
      <c r="F63" s="34"/>
      <c r="G63" s="157"/>
      <c r="H63" s="135" t="s">
        <v>157</v>
      </c>
      <c r="I63" s="157"/>
      <c r="J63" s="135"/>
      <c r="K63" s="157"/>
      <c r="L63" s="135"/>
      <c r="M63" s="157"/>
      <c r="N63" s="135"/>
      <c r="O63" s="157"/>
      <c r="P63" s="135"/>
      <c r="Q63" s="157"/>
      <c r="R63" s="135"/>
      <c r="S63" s="157"/>
      <c r="T63" s="135"/>
      <c r="U63" s="157"/>
      <c r="V63" s="135"/>
      <c r="W63" s="157"/>
      <c r="X63" s="135"/>
      <c r="Y63" s="157"/>
      <c r="Z63" s="135"/>
    </row>
    <row r="64" spans="1:29" x14ac:dyDescent="0.2">
      <c r="A64" s="2" t="s">
        <v>76</v>
      </c>
      <c r="B64" s="96"/>
      <c r="C64" s="97"/>
      <c r="D64" s="98"/>
      <c r="E64" s="97"/>
      <c r="F64" s="34"/>
      <c r="G64" s="157"/>
      <c r="H64" s="135"/>
      <c r="I64" s="157"/>
      <c r="J64" s="135"/>
      <c r="K64" s="157"/>
      <c r="L64" s="135"/>
      <c r="M64" s="157"/>
      <c r="N64" s="135"/>
      <c r="O64" s="157"/>
      <c r="P64" s="135"/>
      <c r="Q64" s="157"/>
      <c r="R64" s="135"/>
      <c r="S64" s="157"/>
      <c r="T64" s="135"/>
      <c r="U64" s="157"/>
      <c r="V64" s="135"/>
      <c r="W64" s="157"/>
      <c r="X64" s="135"/>
      <c r="Y64" s="157"/>
      <c r="Z64" s="135"/>
    </row>
    <row r="65" spans="2:29" thickBot="1" x14ac:dyDescent="0.25">
      <c r="B65" s="96"/>
      <c r="C65" s="97"/>
      <c r="D65" s="98"/>
      <c r="E65" s="97"/>
      <c r="F65" s="34"/>
      <c r="G65" s="157"/>
      <c r="H65" s="135"/>
      <c r="I65" s="157"/>
      <c r="J65" s="135"/>
      <c r="K65" s="157"/>
      <c r="L65" s="135"/>
      <c r="M65" s="157"/>
      <c r="N65" s="135"/>
      <c r="O65" s="157"/>
      <c r="P65" s="135"/>
      <c r="Q65" s="157"/>
      <c r="R65" s="135"/>
      <c r="S65" s="157"/>
      <c r="T65" s="135"/>
      <c r="U65" s="157"/>
      <c r="V65" s="135"/>
      <c r="W65" s="157"/>
      <c r="X65" s="135"/>
      <c r="Y65" s="157"/>
      <c r="Z65" s="135"/>
    </row>
    <row r="66" spans="2:29" ht="14.25" customHeight="1" thickTop="1" thickBot="1" x14ac:dyDescent="0.25">
      <c r="B66" s="19"/>
      <c r="C66" s="2013" t="s">
        <v>49</v>
      </c>
      <c r="D66" s="2014"/>
      <c r="E66" s="2015" t="s">
        <v>50</v>
      </c>
      <c r="F66" s="2015"/>
      <c r="G66" s="2002" t="s">
        <v>141</v>
      </c>
      <c r="H66" s="1982"/>
      <c r="I66" s="2089" t="s">
        <v>152</v>
      </c>
      <c r="J66" s="2077"/>
      <c r="K66" s="2089" t="s">
        <v>154</v>
      </c>
      <c r="L66" s="2077"/>
      <c r="M66" s="2089" t="s">
        <v>171</v>
      </c>
      <c r="N66" s="2078"/>
      <c r="O66" s="2077" t="s">
        <v>227</v>
      </c>
      <c r="P66" s="2078"/>
      <c r="Q66" s="2077" t="s">
        <v>237</v>
      </c>
      <c r="R66" s="2078"/>
      <c r="S66" s="2077" t="s">
        <v>272</v>
      </c>
      <c r="T66" s="2078"/>
      <c r="U66" s="1974" t="s">
        <v>274</v>
      </c>
      <c r="V66" s="1982"/>
      <c r="W66" s="1974" t="s">
        <v>280</v>
      </c>
      <c r="X66" s="1982"/>
      <c r="Y66" s="1974" t="s">
        <v>290</v>
      </c>
      <c r="Z66" s="1975"/>
      <c r="AB66" s="2003" t="s">
        <v>213</v>
      </c>
      <c r="AC66" s="2004"/>
    </row>
    <row r="67" spans="2:29" ht="12" x14ac:dyDescent="0.2">
      <c r="B67" s="81" t="s">
        <v>53</v>
      </c>
      <c r="C67" s="54"/>
      <c r="D67" s="92"/>
      <c r="E67" s="30"/>
      <c r="F67" s="30"/>
      <c r="G67" s="243"/>
      <c r="H67" s="244"/>
      <c r="I67" s="1706"/>
      <c r="J67" s="1706"/>
      <c r="K67" s="1722"/>
      <c r="L67" s="1706"/>
      <c r="M67" s="1722"/>
      <c r="N67" s="1707"/>
      <c r="O67" s="1706"/>
      <c r="P67" s="1707"/>
      <c r="Q67" s="1706"/>
      <c r="R67" s="1707"/>
      <c r="S67" s="1706"/>
      <c r="T67" s="1707"/>
      <c r="U67" s="138"/>
      <c r="V67" s="244"/>
      <c r="W67" s="138"/>
      <c r="X67" s="244"/>
      <c r="Y67" s="138"/>
      <c r="Z67" s="140"/>
      <c r="AB67" s="831"/>
      <c r="AC67" s="1249"/>
    </row>
    <row r="68" spans="2:29" ht="12" x14ac:dyDescent="0.2">
      <c r="B68" s="74" t="s">
        <v>54</v>
      </c>
      <c r="C68" s="184"/>
      <c r="D68" s="165"/>
      <c r="E68" s="31"/>
      <c r="F68" s="171"/>
      <c r="G68" s="239"/>
      <c r="H68" s="261"/>
      <c r="I68" s="1708"/>
      <c r="J68" s="1699"/>
      <c r="K68" s="1723"/>
      <c r="L68" s="1699"/>
      <c r="M68" s="1723"/>
      <c r="N68" s="1709"/>
      <c r="O68" s="1708"/>
      <c r="P68" s="1709"/>
      <c r="Q68" s="1708"/>
      <c r="R68" s="1709"/>
      <c r="S68" s="1708"/>
      <c r="T68" s="1709"/>
      <c r="U68" s="139"/>
      <c r="V68" s="261"/>
      <c r="W68" s="139"/>
      <c r="X68" s="261"/>
      <c r="Y68" s="139"/>
      <c r="Z68" s="142"/>
      <c r="AB68" s="24"/>
      <c r="AC68" s="1130"/>
    </row>
    <row r="69" spans="2:29" ht="12" x14ac:dyDescent="0.2">
      <c r="B69" s="75" t="s">
        <v>55</v>
      </c>
      <c r="C69" s="184"/>
      <c r="D69" s="165"/>
      <c r="E69" s="31"/>
      <c r="F69" s="171"/>
      <c r="G69" s="239"/>
      <c r="H69" s="261"/>
      <c r="I69" s="1708"/>
      <c r="J69" s="1699"/>
      <c r="K69" s="1723"/>
      <c r="L69" s="1699"/>
      <c r="M69" s="1723"/>
      <c r="N69" s="1709"/>
      <c r="O69" s="1708"/>
      <c r="P69" s="1709"/>
      <c r="Q69" s="1708"/>
      <c r="R69" s="1709"/>
      <c r="S69" s="1708"/>
      <c r="T69" s="1709"/>
      <c r="U69" s="139"/>
      <c r="V69" s="261">
        <v>46</v>
      </c>
      <c r="W69" s="139"/>
      <c r="X69" s="261">
        <v>48</v>
      </c>
      <c r="Y69" s="139"/>
      <c r="Z69" s="142">
        <v>46</v>
      </c>
      <c r="AB69" s="12"/>
      <c r="AC69" s="1113"/>
    </row>
    <row r="70" spans="2:29" ht="12" x14ac:dyDescent="0.2">
      <c r="B70" s="75" t="s">
        <v>181</v>
      </c>
      <c r="C70" s="184"/>
      <c r="D70" s="165"/>
      <c r="E70" s="31"/>
      <c r="F70" s="171"/>
      <c r="G70" s="239"/>
      <c r="H70" s="261"/>
      <c r="I70" s="1708"/>
      <c r="J70" s="1699"/>
      <c r="K70" s="1723"/>
      <c r="L70" s="1699"/>
      <c r="M70" s="1723"/>
      <c r="N70" s="1709"/>
      <c r="O70" s="1708"/>
      <c r="P70" s="1709"/>
      <c r="Q70" s="1708"/>
      <c r="R70" s="1709"/>
      <c r="S70" s="1708"/>
      <c r="T70" s="1709"/>
      <c r="U70" s="139"/>
      <c r="V70" s="261">
        <v>10</v>
      </c>
      <c r="W70" s="139"/>
      <c r="X70" s="261">
        <v>9</v>
      </c>
      <c r="Y70" s="139"/>
      <c r="Z70" s="142">
        <v>10</v>
      </c>
      <c r="AB70" s="12"/>
      <c r="AC70" s="1113"/>
    </row>
    <row r="71" spans="2:29" ht="12" x14ac:dyDescent="0.2">
      <c r="B71" s="74" t="s">
        <v>57</v>
      </c>
      <c r="C71" s="184"/>
      <c r="D71" s="94"/>
      <c r="E71" s="31"/>
      <c r="F71" s="39"/>
      <c r="G71" s="239"/>
      <c r="H71" s="240"/>
      <c r="I71" s="1708"/>
      <c r="J71" s="1735"/>
      <c r="K71" s="1723"/>
      <c r="L71" s="1735"/>
      <c r="M71" s="1723"/>
      <c r="N71" s="1710"/>
      <c r="O71" s="1708"/>
      <c r="P71" s="1710"/>
      <c r="Q71" s="1708"/>
      <c r="R71" s="1710"/>
      <c r="S71" s="1708"/>
      <c r="T71" s="1710"/>
      <c r="U71" s="139"/>
      <c r="V71" s="240"/>
      <c r="W71" s="139"/>
      <c r="X71" s="240"/>
      <c r="Y71" s="139"/>
      <c r="Z71" s="143"/>
      <c r="AB71" s="12"/>
      <c r="AC71" s="1113"/>
    </row>
    <row r="72" spans="2:29" ht="12" x14ac:dyDescent="0.2">
      <c r="B72" s="75" t="s">
        <v>55</v>
      </c>
      <c r="C72" s="184"/>
      <c r="D72" s="94"/>
      <c r="E72" s="31"/>
      <c r="F72" s="39"/>
      <c r="G72" s="239"/>
      <c r="H72" s="240"/>
      <c r="I72" s="1708"/>
      <c r="J72" s="1735"/>
      <c r="K72" s="1723"/>
      <c r="L72" s="1735"/>
      <c r="M72" s="1723"/>
      <c r="N72" s="1710"/>
      <c r="O72" s="1708"/>
      <c r="P72" s="1710"/>
      <c r="Q72" s="1708"/>
      <c r="R72" s="1710"/>
      <c r="S72" s="1708"/>
      <c r="T72" s="1710"/>
      <c r="U72" s="139"/>
      <c r="V72" s="240">
        <v>0</v>
      </c>
      <c r="W72" s="139"/>
      <c r="X72" s="240">
        <v>0</v>
      </c>
      <c r="Y72" s="139"/>
      <c r="Z72" s="143">
        <v>0</v>
      </c>
      <c r="AB72" s="12"/>
      <c r="AC72" s="1113"/>
    </row>
    <row r="73" spans="2:29" ht="12" x14ac:dyDescent="0.2">
      <c r="B73" s="341" t="s">
        <v>181</v>
      </c>
      <c r="C73" s="184"/>
      <c r="D73" s="94"/>
      <c r="E73" s="31"/>
      <c r="F73" s="39"/>
      <c r="G73" s="239"/>
      <c r="H73" s="240"/>
      <c r="I73" s="1708"/>
      <c r="J73" s="1735"/>
      <c r="K73" s="1723"/>
      <c r="L73" s="1735"/>
      <c r="M73" s="1723"/>
      <c r="N73" s="1710"/>
      <c r="O73" s="1708"/>
      <c r="P73" s="1710"/>
      <c r="Q73" s="1708"/>
      <c r="R73" s="1710"/>
      <c r="S73" s="1708"/>
      <c r="T73" s="1710"/>
      <c r="U73" s="139"/>
      <c r="V73" s="240">
        <v>0</v>
      </c>
      <c r="W73" s="139"/>
      <c r="X73" s="240">
        <v>0</v>
      </c>
      <c r="Y73" s="139"/>
      <c r="Z73" s="143">
        <v>0</v>
      </c>
      <c r="AB73" s="12"/>
      <c r="AC73" s="1113"/>
    </row>
    <row r="74" spans="2:29" thickBot="1" x14ac:dyDescent="0.25">
      <c r="B74" s="79" t="s">
        <v>13</v>
      </c>
      <c r="C74" s="233"/>
      <c r="D74" s="234">
        <f>SUM(D69:D73)</f>
        <v>0</v>
      </c>
      <c r="E74" s="107"/>
      <c r="F74" s="106">
        <f>SUM(F69:F73)</f>
        <v>0</v>
      </c>
      <c r="G74" s="297"/>
      <c r="H74" s="427">
        <v>0</v>
      </c>
      <c r="I74" s="1711"/>
      <c r="J74" s="1736">
        <f>SUM(J69:J73)</f>
        <v>0</v>
      </c>
      <c r="K74" s="1724"/>
      <c r="L74" s="1736">
        <f>SUM(L69:L73)</f>
        <v>0</v>
      </c>
      <c r="M74" s="1724"/>
      <c r="N74" s="1712">
        <f>SUM(N69:N73)</f>
        <v>0</v>
      </c>
      <c r="O74" s="1711"/>
      <c r="P74" s="1712">
        <f>SUM(P69:P73)</f>
        <v>0</v>
      </c>
      <c r="Q74" s="1711"/>
      <c r="R74" s="1712">
        <f>SUM(R69:R73)</f>
        <v>0</v>
      </c>
      <c r="S74" s="1711"/>
      <c r="T74" s="1712">
        <f>SUM(T69:T73)</f>
        <v>0</v>
      </c>
      <c r="U74" s="426"/>
      <c r="V74" s="427">
        <f>SUM(V69:V73)</f>
        <v>56</v>
      </c>
      <c r="W74" s="426"/>
      <c r="X74" s="427">
        <f>SUM(X69:X73)</f>
        <v>57</v>
      </c>
      <c r="Y74" s="426"/>
      <c r="Z74" s="374">
        <f>SUM(Z69:Z73)</f>
        <v>56</v>
      </c>
      <c r="AB74" s="831"/>
      <c r="AC74" s="1114"/>
    </row>
    <row r="75" spans="2:29" thickTop="1" x14ac:dyDescent="0.2">
      <c r="B75" s="342" t="s">
        <v>135</v>
      </c>
      <c r="C75" s="392"/>
      <c r="D75" s="393"/>
      <c r="E75" s="43" t="s">
        <v>133</v>
      </c>
      <c r="F75" s="41" t="s">
        <v>134</v>
      </c>
      <c r="G75" s="317"/>
      <c r="H75" s="412" t="s">
        <v>134</v>
      </c>
      <c r="I75" s="1713" t="s">
        <v>133</v>
      </c>
      <c r="J75" s="1737" t="s">
        <v>134</v>
      </c>
      <c r="K75" s="1725" t="s">
        <v>133</v>
      </c>
      <c r="L75" s="1737" t="s">
        <v>134</v>
      </c>
      <c r="M75" s="1725" t="s">
        <v>133</v>
      </c>
      <c r="N75" s="1726" t="s">
        <v>134</v>
      </c>
      <c r="O75" s="1713" t="s">
        <v>133</v>
      </c>
      <c r="P75" s="1714" t="s">
        <v>134</v>
      </c>
      <c r="Q75" s="1713" t="s">
        <v>133</v>
      </c>
      <c r="R75" s="1714" t="s">
        <v>134</v>
      </c>
      <c r="S75" s="1713" t="s">
        <v>133</v>
      </c>
      <c r="T75" s="1714" t="s">
        <v>134</v>
      </c>
      <c r="U75" s="411" t="s">
        <v>133</v>
      </c>
      <c r="V75" s="412" t="s">
        <v>134</v>
      </c>
      <c r="W75" s="411" t="s">
        <v>133</v>
      </c>
      <c r="X75" s="412" t="s">
        <v>134</v>
      </c>
      <c r="Y75" s="411" t="s">
        <v>133</v>
      </c>
      <c r="Z75" s="289" t="s">
        <v>134</v>
      </c>
      <c r="AB75" s="952" t="s">
        <v>133</v>
      </c>
      <c r="AC75" s="862" t="s">
        <v>134</v>
      </c>
    </row>
    <row r="76" spans="2:29" ht="12" x14ac:dyDescent="0.2">
      <c r="B76" s="75" t="s">
        <v>87</v>
      </c>
      <c r="C76" s="319"/>
      <c r="D76" s="216" t="e">
        <f>C76/D$74</f>
        <v>#DIV/0!</v>
      </c>
      <c r="E76" s="173"/>
      <c r="F76" s="221" t="e">
        <f t="shared" ref="F76:H83" si="7">E76/F$74</f>
        <v>#DIV/0!</v>
      </c>
      <c r="G76" s="215"/>
      <c r="H76" s="216" t="e">
        <f t="shared" si="7"/>
        <v>#DIV/0!</v>
      </c>
      <c r="I76" s="1696"/>
      <c r="J76" s="1738"/>
      <c r="K76" s="1727"/>
      <c r="L76" s="1738"/>
      <c r="M76" s="1727"/>
      <c r="N76" s="1715"/>
      <c r="O76" s="1696"/>
      <c r="P76" s="1715"/>
      <c r="Q76" s="1696"/>
      <c r="R76" s="1715"/>
      <c r="S76" s="1696"/>
      <c r="T76" s="1715"/>
      <c r="U76" s="173">
        <v>51</v>
      </c>
      <c r="V76" s="216">
        <f t="shared" ref="V76:V83" si="8">U76/V$74</f>
        <v>0.9107142857142857</v>
      </c>
      <c r="W76" s="173">
        <f>9+43</f>
        <v>52</v>
      </c>
      <c r="X76" s="216">
        <f t="shared" ref="X76:Z83" si="9">W76/X$74</f>
        <v>0.91228070175438591</v>
      </c>
      <c r="Y76" s="173">
        <v>51</v>
      </c>
      <c r="Z76" s="1494">
        <f t="shared" si="9"/>
        <v>0.9107142857142857</v>
      </c>
      <c r="AA76" s="955"/>
      <c r="AB76" s="1016"/>
      <c r="AC76" s="863"/>
    </row>
    <row r="77" spans="2:29" ht="12" x14ac:dyDescent="0.2">
      <c r="B77" s="85" t="s">
        <v>88</v>
      </c>
      <c r="C77" s="319"/>
      <c r="D77" s="216" t="e">
        <f t="shared" ref="D77:D94" si="10">C77/$D$74</f>
        <v>#DIV/0!</v>
      </c>
      <c r="E77" s="173"/>
      <c r="F77" s="221" t="e">
        <f t="shared" si="7"/>
        <v>#DIV/0!</v>
      </c>
      <c r="G77" s="215"/>
      <c r="H77" s="216" t="e">
        <f t="shared" si="7"/>
        <v>#DIV/0!</v>
      </c>
      <c r="I77" s="1696"/>
      <c r="J77" s="1738"/>
      <c r="K77" s="1727"/>
      <c r="L77" s="1738"/>
      <c r="M77" s="1727"/>
      <c r="N77" s="1715"/>
      <c r="O77" s="1696"/>
      <c r="P77" s="1715"/>
      <c r="Q77" s="1696"/>
      <c r="R77" s="1715"/>
      <c r="S77" s="1696"/>
      <c r="T77" s="1715"/>
      <c r="U77" s="173">
        <v>1</v>
      </c>
      <c r="V77" s="216">
        <f t="shared" si="8"/>
        <v>1.7857142857142856E-2</v>
      </c>
      <c r="W77" s="173">
        <v>1</v>
      </c>
      <c r="X77" s="216">
        <f t="shared" si="9"/>
        <v>1.7543859649122806E-2</v>
      </c>
      <c r="Y77" s="173">
        <v>1</v>
      </c>
      <c r="Z77" s="1494">
        <f t="shared" si="9"/>
        <v>1.7857142857142856E-2</v>
      </c>
      <c r="AA77" s="955"/>
      <c r="AB77" s="1016"/>
      <c r="AC77" s="863"/>
    </row>
    <row r="78" spans="2:29" ht="12" x14ac:dyDescent="0.2">
      <c r="B78" s="85" t="s">
        <v>89</v>
      </c>
      <c r="C78" s="319"/>
      <c r="D78" s="216" t="e">
        <f t="shared" si="10"/>
        <v>#DIV/0!</v>
      </c>
      <c r="E78" s="173"/>
      <c r="F78" s="221" t="e">
        <f t="shared" si="7"/>
        <v>#DIV/0!</v>
      </c>
      <c r="G78" s="215"/>
      <c r="H78" s="216" t="e">
        <f t="shared" si="7"/>
        <v>#DIV/0!</v>
      </c>
      <c r="I78" s="1696"/>
      <c r="J78" s="1738"/>
      <c r="K78" s="1727"/>
      <c r="L78" s="1738"/>
      <c r="M78" s="1727"/>
      <c r="N78" s="1715"/>
      <c r="O78" s="1696"/>
      <c r="P78" s="1715"/>
      <c r="Q78" s="1696"/>
      <c r="R78" s="1715"/>
      <c r="S78" s="1696"/>
      <c r="T78" s="1715"/>
      <c r="U78" s="173">
        <v>0</v>
      </c>
      <c r="V78" s="216">
        <f t="shared" si="8"/>
        <v>0</v>
      </c>
      <c r="W78" s="173">
        <v>0</v>
      </c>
      <c r="X78" s="216">
        <f t="shared" si="9"/>
        <v>0</v>
      </c>
      <c r="Y78" s="173">
        <v>0</v>
      </c>
      <c r="Z78" s="1494">
        <f t="shared" si="9"/>
        <v>0</v>
      </c>
      <c r="AA78" s="955"/>
      <c r="AB78" s="1016"/>
      <c r="AC78" s="863"/>
    </row>
    <row r="79" spans="2:29" ht="12" x14ac:dyDescent="0.2">
      <c r="B79" s="85" t="s">
        <v>90</v>
      </c>
      <c r="C79" s="319"/>
      <c r="D79" s="216" t="e">
        <f t="shared" si="10"/>
        <v>#DIV/0!</v>
      </c>
      <c r="E79" s="173"/>
      <c r="F79" s="221" t="e">
        <f t="shared" si="7"/>
        <v>#DIV/0!</v>
      </c>
      <c r="G79" s="215"/>
      <c r="H79" s="216" t="e">
        <f t="shared" si="7"/>
        <v>#DIV/0!</v>
      </c>
      <c r="I79" s="1696"/>
      <c r="J79" s="1738"/>
      <c r="K79" s="1727"/>
      <c r="L79" s="1738"/>
      <c r="M79" s="1727"/>
      <c r="N79" s="1715"/>
      <c r="O79" s="1696"/>
      <c r="P79" s="1715"/>
      <c r="Q79" s="1696"/>
      <c r="R79" s="1715"/>
      <c r="S79" s="1696"/>
      <c r="T79" s="1715"/>
      <c r="U79" s="173">
        <v>0</v>
      </c>
      <c r="V79" s="216">
        <f t="shared" si="8"/>
        <v>0</v>
      </c>
      <c r="W79" s="173">
        <v>0</v>
      </c>
      <c r="X79" s="216">
        <f t="shared" si="9"/>
        <v>0</v>
      </c>
      <c r="Y79" s="173">
        <v>0</v>
      </c>
      <c r="Z79" s="1494">
        <f t="shared" si="9"/>
        <v>0</v>
      </c>
      <c r="AA79" s="955"/>
      <c r="AB79" s="1016"/>
      <c r="AC79" s="863"/>
    </row>
    <row r="80" spans="2:29" ht="12" x14ac:dyDescent="0.2">
      <c r="B80" s="85" t="s">
        <v>91</v>
      </c>
      <c r="C80" s="319"/>
      <c r="D80" s="216" t="e">
        <f t="shared" si="10"/>
        <v>#DIV/0!</v>
      </c>
      <c r="E80" s="173"/>
      <c r="F80" s="221" t="e">
        <f t="shared" si="7"/>
        <v>#DIV/0!</v>
      </c>
      <c r="G80" s="215"/>
      <c r="H80" s="216" t="e">
        <f t="shared" si="7"/>
        <v>#DIV/0!</v>
      </c>
      <c r="I80" s="1696"/>
      <c r="J80" s="1738"/>
      <c r="K80" s="1727"/>
      <c r="L80" s="1738"/>
      <c r="M80" s="1727"/>
      <c r="N80" s="1715"/>
      <c r="O80" s="1696"/>
      <c r="P80" s="1715"/>
      <c r="Q80" s="1696"/>
      <c r="R80" s="1715"/>
      <c r="S80" s="1696"/>
      <c r="T80" s="1715"/>
      <c r="U80" s="173">
        <v>2</v>
      </c>
      <c r="V80" s="216">
        <f t="shared" si="8"/>
        <v>3.5714285714285712E-2</v>
      </c>
      <c r="W80" s="173">
        <v>2</v>
      </c>
      <c r="X80" s="216">
        <f t="shared" si="9"/>
        <v>3.5087719298245612E-2</v>
      </c>
      <c r="Y80" s="173">
        <v>2</v>
      </c>
      <c r="Z80" s="1494">
        <f t="shared" si="9"/>
        <v>3.5714285714285712E-2</v>
      </c>
      <c r="AA80" s="955"/>
      <c r="AB80" s="1016"/>
      <c r="AC80" s="863"/>
    </row>
    <row r="81" spans="1:29" ht="12" x14ac:dyDescent="0.2">
      <c r="B81" s="85" t="s">
        <v>92</v>
      </c>
      <c r="C81" s="319"/>
      <c r="D81" s="216" t="e">
        <f t="shared" si="10"/>
        <v>#DIV/0!</v>
      </c>
      <c r="E81" s="173"/>
      <c r="F81" s="221" t="e">
        <f t="shared" si="7"/>
        <v>#DIV/0!</v>
      </c>
      <c r="G81" s="215"/>
      <c r="H81" s="216" t="e">
        <f t="shared" si="7"/>
        <v>#DIV/0!</v>
      </c>
      <c r="I81" s="1696"/>
      <c r="J81" s="1738"/>
      <c r="K81" s="1727"/>
      <c r="L81" s="1738"/>
      <c r="M81" s="1727"/>
      <c r="N81" s="1715"/>
      <c r="O81" s="1696"/>
      <c r="P81" s="1715"/>
      <c r="Q81" s="1696"/>
      <c r="R81" s="1715"/>
      <c r="S81" s="1696"/>
      <c r="T81" s="1715"/>
      <c r="U81" s="173">
        <v>0</v>
      </c>
      <c r="V81" s="216">
        <f t="shared" si="8"/>
        <v>0</v>
      </c>
      <c r="W81" s="173">
        <v>0</v>
      </c>
      <c r="X81" s="216">
        <f t="shared" si="9"/>
        <v>0</v>
      </c>
      <c r="Y81" s="173">
        <v>0</v>
      </c>
      <c r="Z81" s="1494">
        <f t="shared" si="9"/>
        <v>0</v>
      </c>
      <c r="AA81" s="955"/>
      <c r="AB81" s="1016"/>
      <c r="AC81" s="863"/>
    </row>
    <row r="82" spans="1:29" ht="12" x14ac:dyDescent="0.2">
      <c r="B82" s="85" t="s">
        <v>256</v>
      </c>
      <c r="C82" s="346"/>
      <c r="D82" s="216"/>
      <c r="E82" s="174"/>
      <c r="F82" s="221"/>
      <c r="G82" s="1510"/>
      <c r="H82" s="1511"/>
      <c r="I82" s="1697"/>
      <c r="J82" s="1738"/>
      <c r="K82" s="1728"/>
      <c r="L82" s="1738"/>
      <c r="M82" s="1728"/>
      <c r="N82" s="1715"/>
      <c r="O82" s="1697"/>
      <c r="P82" s="1715"/>
      <c r="Q82" s="1697"/>
      <c r="R82" s="1715"/>
      <c r="S82" s="1697"/>
      <c r="T82" s="1715"/>
      <c r="U82" s="174">
        <v>1</v>
      </c>
      <c r="V82" s="216">
        <f t="shared" si="8"/>
        <v>1.7857142857142856E-2</v>
      </c>
      <c r="W82" s="174">
        <v>1</v>
      </c>
      <c r="X82" s="216">
        <f t="shared" si="9"/>
        <v>1.7543859649122806E-2</v>
      </c>
      <c r="Y82" s="174">
        <v>1</v>
      </c>
      <c r="Z82" s="1494">
        <f t="shared" si="9"/>
        <v>1.7857142857142856E-2</v>
      </c>
      <c r="AA82" s="955"/>
      <c r="AB82" s="1016"/>
      <c r="AC82" s="863"/>
    </row>
    <row r="83" spans="1:29" ht="12" x14ac:dyDescent="0.2">
      <c r="B83" s="85" t="s">
        <v>93</v>
      </c>
      <c r="C83" s="346"/>
      <c r="D83" s="216" t="e">
        <f t="shared" si="10"/>
        <v>#DIV/0!</v>
      </c>
      <c r="E83" s="174"/>
      <c r="F83" s="221" t="e">
        <f t="shared" si="7"/>
        <v>#DIV/0!</v>
      </c>
      <c r="G83" s="217"/>
      <c r="H83" s="216" t="e">
        <f t="shared" si="7"/>
        <v>#DIV/0!</v>
      </c>
      <c r="I83" s="1697"/>
      <c r="J83" s="1738"/>
      <c r="K83" s="1728"/>
      <c r="L83" s="1738"/>
      <c r="M83" s="1728"/>
      <c r="N83" s="1715"/>
      <c r="O83" s="1697"/>
      <c r="P83" s="1715"/>
      <c r="Q83" s="1697"/>
      <c r="R83" s="1715"/>
      <c r="S83" s="1697"/>
      <c r="T83" s="1715"/>
      <c r="U83" s="174">
        <v>1</v>
      </c>
      <c r="V83" s="216">
        <f t="shared" si="8"/>
        <v>1.7857142857142856E-2</v>
      </c>
      <c r="W83" s="174">
        <v>1</v>
      </c>
      <c r="X83" s="216">
        <f t="shared" si="9"/>
        <v>1.7543859649122806E-2</v>
      </c>
      <c r="Y83" s="174">
        <v>1</v>
      </c>
      <c r="Z83" s="1494">
        <f t="shared" si="9"/>
        <v>1.7857142857142856E-2</v>
      </c>
      <c r="AA83" s="955"/>
      <c r="AB83" s="1016"/>
      <c r="AC83" s="863"/>
    </row>
    <row r="84" spans="1:29" ht="12" x14ac:dyDescent="0.2">
      <c r="B84" s="343" t="s">
        <v>136</v>
      </c>
      <c r="C84" s="218"/>
      <c r="D84" s="216"/>
      <c r="E84" s="226"/>
      <c r="F84" s="310"/>
      <c r="G84" s="326"/>
      <c r="H84" s="394"/>
      <c r="I84" s="1698"/>
      <c r="J84" s="1739"/>
      <c r="K84" s="1729"/>
      <c r="L84" s="1739"/>
      <c r="M84" s="1729"/>
      <c r="N84" s="1716"/>
      <c r="O84" s="1698"/>
      <c r="P84" s="1716"/>
      <c r="Q84" s="1698"/>
      <c r="R84" s="1716"/>
      <c r="S84" s="1698"/>
      <c r="T84" s="1716"/>
      <c r="U84" s="226"/>
      <c r="V84" s="394"/>
      <c r="W84" s="226"/>
      <c r="X84" s="394"/>
      <c r="Y84" s="226"/>
      <c r="Z84" s="1500"/>
      <c r="AA84" s="955"/>
      <c r="AB84" s="1016"/>
      <c r="AC84" s="863"/>
    </row>
    <row r="85" spans="1:29" ht="12" x14ac:dyDescent="0.2">
      <c r="B85" s="75" t="s">
        <v>124</v>
      </c>
      <c r="C85" s="230"/>
      <c r="D85" s="216" t="e">
        <f t="shared" si="10"/>
        <v>#DIV/0!</v>
      </c>
      <c r="E85" s="171"/>
      <c r="F85" s="311" t="e">
        <f>E85/F$74</f>
        <v>#DIV/0!</v>
      </c>
      <c r="G85" s="229"/>
      <c r="H85" s="395" t="e">
        <f>G85/H$74</f>
        <v>#DIV/0!</v>
      </c>
      <c r="I85" s="1699"/>
      <c r="J85" s="1738"/>
      <c r="K85" s="1730"/>
      <c r="L85" s="1738"/>
      <c r="M85" s="1730"/>
      <c r="N85" s="1715"/>
      <c r="O85" s="1699"/>
      <c r="P85" s="1715"/>
      <c r="Q85" s="1699"/>
      <c r="R85" s="1715"/>
      <c r="S85" s="1699"/>
      <c r="T85" s="1715"/>
      <c r="U85" s="183">
        <v>31</v>
      </c>
      <c r="V85" s="216">
        <f>U85/V$74</f>
        <v>0.5535714285714286</v>
      </c>
      <c r="W85" s="183">
        <f>3+28</f>
        <v>31</v>
      </c>
      <c r="X85" s="216">
        <f>W85/X$74</f>
        <v>0.54385964912280704</v>
      </c>
      <c r="Y85" s="183">
        <v>28</v>
      </c>
      <c r="Z85" s="1494">
        <f>Y85/Z$74</f>
        <v>0.5</v>
      </c>
      <c r="AA85" s="955"/>
      <c r="AB85" s="1016"/>
      <c r="AC85" s="863"/>
    </row>
    <row r="86" spans="1:29" ht="12" x14ac:dyDescent="0.2">
      <c r="B86" s="75" t="s">
        <v>125</v>
      </c>
      <c r="C86" s="230"/>
      <c r="D86" s="216" t="e">
        <f t="shared" si="10"/>
        <v>#DIV/0!</v>
      </c>
      <c r="E86" s="223"/>
      <c r="F86" s="311" t="e">
        <f>E86/F$74</f>
        <v>#DIV/0!</v>
      </c>
      <c r="G86" s="230"/>
      <c r="H86" s="395" t="e">
        <f>G86/H$74</f>
        <v>#DIV/0!</v>
      </c>
      <c r="I86" s="1700"/>
      <c r="J86" s="1738"/>
      <c r="K86" s="1731"/>
      <c r="L86" s="1738"/>
      <c r="M86" s="1731"/>
      <c r="N86" s="1715"/>
      <c r="O86" s="1700"/>
      <c r="P86" s="1715"/>
      <c r="Q86" s="1700"/>
      <c r="R86" s="1715"/>
      <c r="S86" s="1700"/>
      <c r="T86" s="1715"/>
      <c r="U86" s="283">
        <v>25</v>
      </c>
      <c r="V86" s="216">
        <f>U86/V$74</f>
        <v>0.44642857142857145</v>
      </c>
      <c r="W86" s="283">
        <f>6+20</f>
        <v>26</v>
      </c>
      <c r="X86" s="216">
        <f>W86/X$74</f>
        <v>0.45614035087719296</v>
      </c>
      <c r="Y86" s="283">
        <v>28</v>
      </c>
      <c r="Z86" s="1494">
        <f>Y86/Z$74</f>
        <v>0.5</v>
      </c>
      <c r="AA86" s="955"/>
      <c r="AB86" s="1016"/>
      <c r="AC86" s="863"/>
    </row>
    <row r="87" spans="1:29" ht="12" x14ac:dyDescent="0.2">
      <c r="B87" s="343" t="s">
        <v>137</v>
      </c>
      <c r="C87" s="219"/>
      <c r="D87" s="216"/>
      <c r="E87" s="227"/>
      <c r="F87" s="311"/>
      <c r="G87" s="315"/>
      <c r="H87" s="395"/>
      <c r="I87" s="1701"/>
      <c r="J87" s="1738"/>
      <c r="K87" s="1732"/>
      <c r="L87" s="1738"/>
      <c r="M87" s="1732"/>
      <c r="N87" s="1715"/>
      <c r="O87" s="1701"/>
      <c r="P87" s="1715"/>
      <c r="Q87" s="1701"/>
      <c r="R87" s="1715"/>
      <c r="S87" s="1701"/>
      <c r="T87" s="1715"/>
      <c r="U87" s="285"/>
      <c r="V87" s="216"/>
      <c r="W87" s="285"/>
      <c r="X87" s="216"/>
      <c r="Y87" s="285"/>
      <c r="Z87" s="1494"/>
      <c r="AA87" s="955"/>
      <c r="AB87" s="1016"/>
      <c r="AC87" s="863"/>
    </row>
    <row r="88" spans="1:29" ht="12" x14ac:dyDescent="0.2">
      <c r="B88" s="75" t="s">
        <v>126</v>
      </c>
      <c r="C88" s="224"/>
      <c r="D88" s="216" t="e">
        <f t="shared" si="10"/>
        <v>#DIV/0!</v>
      </c>
      <c r="E88" s="223"/>
      <c r="F88" s="311" t="e">
        <f>E88/F$74</f>
        <v>#DIV/0!</v>
      </c>
      <c r="G88" s="230"/>
      <c r="H88" s="395" t="e">
        <f>G88/H$74</f>
        <v>#DIV/0!</v>
      </c>
      <c r="I88" s="1700"/>
      <c r="J88" s="1738"/>
      <c r="K88" s="1731"/>
      <c r="L88" s="1738"/>
      <c r="M88" s="1731"/>
      <c r="N88" s="1715"/>
      <c r="O88" s="1700"/>
      <c r="P88" s="1715"/>
      <c r="Q88" s="1700"/>
      <c r="R88" s="1715"/>
      <c r="S88" s="1700"/>
      <c r="T88" s="1715"/>
      <c r="U88" s="283">
        <v>27</v>
      </c>
      <c r="V88" s="216">
        <f>U88/V$74</f>
        <v>0.48214285714285715</v>
      </c>
      <c r="W88" s="283">
        <v>28</v>
      </c>
      <c r="X88" s="216">
        <f>W88/X$74</f>
        <v>0.49122807017543857</v>
      </c>
      <c r="Y88" s="283">
        <v>30</v>
      </c>
      <c r="Z88" s="1494">
        <f>Y88/Z$74</f>
        <v>0.5357142857142857</v>
      </c>
      <c r="AA88" s="955"/>
      <c r="AB88" s="1016"/>
      <c r="AC88" s="863"/>
    </row>
    <row r="89" spans="1:29" ht="12" x14ac:dyDescent="0.2">
      <c r="B89" s="75" t="s">
        <v>127</v>
      </c>
      <c r="C89" s="224"/>
      <c r="D89" s="216" t="e">
        <f t="shared" si="10"/>
        <v>#DIV/0!</v>
      </c>
      <c r="E89" s="223"/>
      <c r="F89" s="311" t="e">
        <f>E89/F$74</f>
        <v>#DIV/0!</v>
      </c>
      <c r="G89" s="230"/>
      <c r="H89" s="395" t="e">
        <f>G89/H$74</f>
        <v>#DIV/0!</v>
      </c>
      <c r="I89" s="1700"/>
      <c r="J89" s="1738"/>
      <c r="K89" s="1731"/>
      <c r="L89" s="1738"/>
      <c r="M89" s="1731"/>
      <c r="N89" s="1715"/>
      <c r="O89" s="1700"/>
      <c r="P89" s="1715"/>
      <c r="Q89" s="1700"/>
      <c r="R89" s="1715"/>
      <c r="S89" s="1700"/>
      <c r="T89" s="1715"/>
      <c r="U89" s="283">
        <v>13</v>
      </c>
      <c r="V89" s="216">
        <f>U89/V$74</f>
        <v>0.23214285714285715</v>
      </c>
      <c r="W89" s="283">
        <v>10</v>
      </c>
      <c r="X89" s="216">
        <f>W89/X$74</f>
        <v>0.17543859649122806</v>
      </c>
      <c r="Y89" s="283">
        <v>8</v>
      </c>
      <c r="Z89" s="1494">
        <f>Y89/Z$74</f>
        <v>0.14285714285714285</v>
      </c>
      <c r="AA89" s="955"/>
      <c r="AB89" s="1016"/>
      <c r="AC89" s="863"/>
    </row>
    <row r="90" spans="1:29" ht="12" x14ac:dyDescent="0.2">
      <c r="B90" s="75" t="s">
        <v>128</v>
      </c>
      <c r="C90" s="224"/>
      <c r="D90" s="216" t="e">
        <f t="shared" si="10"/>
        <v>#DIV/0!</v>
      </c>
      <c r="E90" s="223"/>
      <c r="F90" s="311" t="e">
        <f>E90/F$74</f>
        <v>#DIV/0!</v>
      </c>
      <c r="G90" s="230"/>
      <c r="H90" s="395" t="e">
        <f>G90/H$74</f>
        <v>#DIV/0!</v>
      </c>
      <c r="I90" s="1700"/>
      <c r="J90" s="1738"/>
      <c r="K90" s="1731"/>
      <c r="L90" s="1738"/>
      <c r="M90" s="1731"/>
      <c r="N90" s="1715"/>
      <c r="O90" s="1700"/>
      <c r="P90" s="1715"/>
      <c r="Q90" s="1700"/>
      <c r="R90" s="1715"/>
      <c r="S90" s="1700"/>
      <c r="T90" s="1715"/>
      <c r="U90" s="283">
        <v>16</v>
      </c>
      <c r="V90" s="216">
        <f>U90/V$74</f>
        <v>0.2857142857142857</v>
      </c>
      <c r="W90" s="283">
        <v>19</v>
      </c>
      <c r="X90" s="216">
        <f>W90/X$74</f>
        <v>0.33333333333333331</v>
      </c>
      <c r="Y90" s="283">
        <v>18</v>
      </c>
      <c r="Z90" s="1494">
        <f>Y90/Z$74</f>
        <v>0.32142857142857145</v>
      </c>
      <c r="AA90" s="955"/>
      <c r="AB90" s="1016"/>
      <c r="AC90" s="863"/>
    </row>
    <row r="91" spans="1:29" ht="12" x14ac:dyDescent="0.2">
      <c r="B91" s="343" t="s">
        <v>138</v>
      </c>
      <c r="C91" s="219"/>
      <c r="D91" s="216"/>
      <c r="E91" s="227"/>
      <c r="F91" s="311"/>
      <c r="G91" s="315"/>
      <c r="H91" s="395"/>
      <c r="I91" s="1701"/>
      <c r="J91" s="1738"/>
      <c r="K91" s="1732"/>
      <c r="L91" s="1738"/>
      <c r="M91" s="1732"/>
      <c r="N91" s="1715"/>
      <c r="O91" s="1701"/>
      <c r="P91" s="1715"/>
      <c r="Q91" s="1701"/>
      <c r="R91" s="1715"/>
      <c r="S91" s="1701"/>
      <c r="T91" s="1715"/>
      <c r="U91" s="285"/>
      <c r="V91" s="216"/>
      <c r="W91" s="285"/>
      <c r="X91" s="216"/>
      <c r="Y91" s="285"/>
      <c r="Z91" s="1494"/>
      <c r="AA91" s="955"/>
      <c r="AB91" s="1016"/>
      <c r="AC91" s="863"/>
    </row>
    <row r="92" spans="1:29" ht="12" x14ac:dyDescent="0.2">
      <c r="B92" s="75" t="s">
        <v>129</v>
      </c>
      <c r="C92" s="224"/>
      <c r="D92" s="216" t="e">
        <f t="shared" si="10"/>
        <v>#DIV/0!</v>
      </c>
      <c r="E92" s="223"/>
      <c r="F92" s="311" t="e">
        <f>E92/F$74</f>
        <v>#DIV/0!</v>
      </c>
      <c r="G92" s="230"/>
      <c r="H92" s="395" t="e">
        <f>G92/H$74</f>
        <v>#DIV/0!</v>
      </c>
      <c r="I92" s="1700"/>
      <c r="J92" s="1738"/>
      <c r="K92" s="1731"/>
      <c r="L92" s="1738"/>
      <c r="M92" s="1731"/>
      <c r="N92" s="1715"/>
      <c r="O92" s="1700"/>
      <c r="P92" s="1715"/>
      <c r="Q92" s="1700"/>
      <c r="R92" s="1715"/>
      <c r="S92" s="1700"/>
      <c r="T92" s="1715"/>
      <c r="U92" s="283">
        <v>27</v>
      </c>
      <c r="V92" s="216">
        <f>U92/V$74</f>
        <v>0.48214285714285715</v>
      </c>
      <c r="W92" s="283">
        <f>3+27</f>
        <v>30</v>
      </c>
      <c r="X92" s="216">
        <f>W92/X$74</f>
        <v>0.52631578947368418</v>
      </c>
      <c r="Y92" s="283">
        <v>29</v>
      </c>
      <c r="Z92" s="1494">
        <f>Y92/Z$74</f>
        <v>0.5178571428571429</v>
      </c>
      <c r="AA92" s="955"/>
      <c r="AB92" s="1016"/>
      <c r="AC92" s="863"/>
    </row>
    <row r="93" spans="1:29" ht="12" x14ac:dyDescent="0.2">
      <c r="B93" s="75" t="s">
        <v>130</v>
      </c>
      <c r="C93" s="224"/>
      <c r="D93" s="216" t="e">
        <f t="shared" si="10"/>
        <v>#DIV/0!</v>
      </c>
      <c r="E93" s="223"/>
      <c r="F93" s="311" t="e">
        <f>E93/F$74</f>
        <v>#DIV/0!</v>
      </c>
      <c r="G93" s="230"/>
      <c r="H93" s="395" t="e">
        <f>G93/H$74</f>
        <v>#DIV/0!</v>
      </c>
      <c r="I93" s="1700"/>
      <c r="J93" s="1738"/>
      <c r="K93" s="1731"/>
      <c r="L93" s="1738"/>
      <c r="M93" s="1731"/>
      <c r="N93" s="1715"/>
      <c r="O93" s="1700"/>
      <c r="P93" s="1715"/>
      <c r="Q93" s="1700"/>
      <c r="R93" s="1715"/>
      <c r="S93" s="1700"/>
      <c r="T93" s="1715"/>
      <c r="U93" s="283">
        <v>27</v>
      </c>
      <c r="V93" s="216">
        <f>U93/V$74</f>
        <v>0.48214285714285715</v>
      </c>
      <c r="W93" s="283">
        <f>5+20</f>
        <v>25</v>
      </c>
      <c r="X93" s="216">
        <f>W93/X$74</f>
        <v>0.43859649122807015</v>
      </c>
      <c r="Y93" s="283">
        <v>27</v>
      </c>
      <c r="Z93" s="1494">
        <f>Y93/Z$74</f>
        <v>0.48214285714285715</v>
      </c>
      <c r="AB93" s="1016"/>
      <c r="AC93" s="863"/>
    </row>
    <row r="94" spans="1:29" ht="12" x14ac:dyDescent="0.2">
      <c r="B94" s="75" t="s">
        <v>131</v>
      </c>
      <c r="C94" s="224"/>
      <c r="D94" s="216" t="e">
        <f t="shared" si="10"/>
        <v>#DIV/0!</v>
      </c>
      <c r="E94" s="223"/>
      <c r="F94" s="311" t="e">
        <f>E94/F$74</f>
        <v>#DIV/0!</v>
      </c>
      <c r="G94" s="230"/>
      <c r="H94" s="395" t="e">
        <f>G94/H$74</f>
        <v>#DIV/0!</v>
      </c>
      <c r="I94" s="1700"/>
      <c r="J94" s="1738"/>
      <c r="K94" s="1731"/>
      <c r="L94" s="1738"/>
      <c r="M94" s="1731"/>
      <c r="N94" s="1715"/>
      <c r="O94" s="1700"/>
      <c r="P94" s="1715"/>
      <c r="Q94" s="1700"/>
      <c r="R94" s="1715"/>
      <c r="S94" s="1700"/>
      <c r="T94" s="1715"/>
      <c r="U94" s="283">
        <v>2</v>
      </c>
      <c r="V94" s="216">
        <f>U94/V$74</f>
        <v>3.5714285714285712E-2</v>
      </c>
      <c r="W94" s="283">
        <f>1+1</f>
        <v>2</v>
      </c>
      <c r="X94" s="216">
        <f>W94/X$74</f>
        <v>3.5087719298245612E-2</v>
      </c>
      <c r="Y94" s="283">
        <v>0</v>
      </c>
      <c r="Z94" s="1494">
        <f>Y94/Z$74</f>
        <v>0</v>
      </c>
      <c r="AB94" s="1016"/>
      <c r="AC94" s="863"/>
    </row>
    <row r="95" spans="1:29" thickBot="1" x14ac:dyDescent="0.25">
      <c r="B95" s="344" t="s">
        <v>132</v>
      </c>
      <c r="C95" s="61"/>
      <c r="D95" s="220"/>
      <c r="E95" s="228"/>
      <c r="F95" s="312"/>
      <c r="G95" s="375"/>
      <c r="H95" s="397"/>
      <c r="I95" s="1702"/>
      <c r="J95" s="1740"/>
      <c r="K95" s="1733"/>
      <c r="L95" s="1740"/>
      <c r="M95" s="1733"/>
      <c r="N95" s="1717"/>
      <c r="O95" s="1702"/>
      <c r="P95" s="1717"/>
      <c r="Q95" s="1702"/>
      <c r="R95" s="1717"/>
      <c r="S95" s="1702"/>
      <c r="T95" s="1717"/>
      <c r="U95" s="284">
        <v>0</v>
      </c>
      <c r="V95" s="220">
        <f>U95/V$74</f>
        <v>0</v>
      </c>
      <c r="W95" s="284">
        <v>0</v>
      </c>
      <c r="X95" s="220">
        <f>W95/X$74</f>
        <v>0</v>
      </c>
      <c r="Y95" s="284">
        <v>0</v>
      </c>
      <c r="Z95" s="1495">
        <f>Y95/Z$74</f>
        <v>0</v>
      </c>
      <c r="AB95" s="1016"/>
      <c r="AC95" s="863"/>
    </row>
    <row r="96" spans="1:29" customFormat="1" ht="14.25" thickTop="1" thickBot="1" x14ac:dyDescent="0.25">
      <c r="A96" s="1"/>
      <c r="B96" s="956" t="s">
        <v>186</v>
      </c>
      <c r="C96" s="1992" t="s">
        <v>51</v>
      </c>
      <c r="D96" s="1993"/>
      <c r="E96" s="1992" t="s">
        <v>52</v>
      </c>
      <c r="F96" s="1993"/>
      <c r="G96" s="1989" t="s">
        <v>184</v>
      </c>
      <c r="H96" s="1990"/>
      <c r="I96" s="2088" t="s">
        <v>185</v>
      </c>
      <c r="J96" s="2080"/>
      <c r="K96" s="2088" t="s">
        <v>202</v>
      </c>
      <c r="L96" s="2080"/>
      <c r="M96" s="2088" t="s">
        <v>203</v>
      </c>
      <c r="N96" s="2080"/>
      <c r="O96" s="2079" t="s">
        <v>228</v>
      </c>
      <c r="P96" s="2080"/>
      <c r="Q96" s="2079" t="s">
        <v>238</v>
      </c>
      <c r="R96" s="2080"/>
      <c r="S96" s="2079" t="s">
        <v>273</v>
      </c>
      <c r="T96" s="2080"/>
      <c r="U96" s="1970" t="s">
        <v>275</v>
      </c>
      <c r="V96" s="1979"/>
      <c r="W96" s="1970" t="s">
        <v>281</v>
      </c>
      <c r="X96" s="1979"/>
      <c r="Y96" s="1970" t="s">
        <v>291</v>
      </c>
      <c r="Z96" s="1976"/>
      <c r="AB96" s="2003" t="s">
        <v>213</v>
      </c>
      <c r="AC96" s="2004"/>
    </row>
    <row r="97" spans="1:31" customFormat="1" x14ac:dyDescent="0.2">
      <c r="A97" s="1"/>
      <c r="B97" s="957"/>
      <c r="C97" s="958"/>
      <c r="D97" s="959"/>
      <c r="E97" s="1273"/>
      <c r="F97" s="1180"/>
      <c r="G97" s="958"/>
      <c r="H97" s="1242"/>
      <c r="I97" s="1721"/>
      <c r="J97" s="1734"/>
      <c r="K97" s="1721"/>
      <c r="L97" s="1734"/>
      <c r="M97" s="1721"/>
      <c r="N97" s="1734"/>
      <c r="O97" s="1721"/>
      <c r="P97" s="1718"/>
      <c r="Q97" s="1703"/>
      <c r="R97" s="1718"/>
      <c r="S97" s="1703"/>
      <c r="T97" s="1718"/>
      <c r="U97" s="1400" t="s">
        <v>133</v>
      </c>
      <c r="V97" s="959" t="s">
        <v>17</v>
      </c>
      <c r="W97" s="1400" t="s">
        <v>133</v>
      </c>
      <c r="X97" s="959" t="s">
        <v>17</v>
      </c>
      <c r="Y97" s="1400" t="s">
        <v>133</v>
      </c>
      <c r="Z97" s="954" t="s">
        <v>17</v>
      </c>
      <c r="AB97" s="953" t="s">
        <v>133</v>
      </c>
      <c r="AC97" s="954" t="s">
        <v>17</v>
      </c>
    </row>
    <row r="98" spans="1:31" customFormat="1" x14ac:dyDescent="0.2">
      <c r="A98" s="1"/>
      <c r="B98" s="341" t="s">
        <v>187</v>
      </c>
      <c r="C98" s="960"/>
      <c r="D98" s="961"/>
      <c r="E98" s="960"/>
      <c r="F98" s="961"/>
      <c r="G98" s="960"/>
      <c r="H98" s="961"/>
      <c r="I98" s="1704"/>
      <c r="J98" s="1719"/>
      <c r="K98" s="1704"/>
      <c r="L98" s="1719"/>
      <c r="M98" s="1704"/>
      <c r="N98" s="1719"/>
      <c r="O98" s="1704"/>
      <c r="P98" s="1719"/>
      <c r="Q98" s="1704"/>
      <c r="R98" s="1719"/>
      <c r="S98" s="1704"/>
      <c r="T98" s="1719"/>
      <c r="U98" s="960">
        <v>0</v>
      </c>
      <c r="V98" s="961">
        <v>0</v>
      </c>
      <c r="W98" s="960">
        <v>0</v>
      </c>
      <c r="X98" s="961">
        <v>0</v>
      </c>
      <c r="Y98" s="960">
        <v>0</v>
      </c>
      <c r="Z98" s="1517">
        <v>0</v>
      </c>
      <c r="AB98" s="1115"/>
      <c r="AC98" s="1116"/>
    </row>
    <row r="99" spans="1:31" customFormat="1" x14ac:dyDescent="0.2">
      <c r="A99" s="1"/>
      <c r="B99" s="341" t="s">
        <v>188</v>
      </c>
      <c r="C99" s="960"/>
      <c r="D99" s="961"/>
      <c r="E99" s="960"/>
      <c r="F99" s="961"/>
      <c r="G99" s="960"/>
      <c r="H99" s="961"/>
      <c r="I99" s="1704"/>
      <c r="J99" s="1719"/>
      <c r="K99" s="1704"/>
      <c r="L99" s="1719"/>
      <c r="M99" s="1704"/>
      <c r="N99" s="1719"/>
      <c r="O99" s="1704"/>
      <c r="P99" s="1719"/>
      <c r="Q99" s="1704"/>
      <c r="R99" s="1719"/>
      <c r="S99" s="1704"/>
      <c r="T99" s="1719"/>
      <c r="U99" s="960">
        <v>14</v>
      </c>
      <c r="V99" s="961">
        <v>7</v>
      </c>
      <c r="W99" s="960">
        <v>14</v>
      </c>
      <c r="X99" s="961">
        <v>7</v>
      </c>
      <c r="Y99" s="960">
        <v>16</v>
      </c>
      <c r="Z99" s="1517">
        <v>8</v>
      </c>
      <c r="AB99" s="1115"/>
      <c r="AC99" s="1116"/>
    </row>
    <row r="100" spans="1:31" customFormat="1" ht="13.5" thickBot="1" x14ac:dyDescent="0.25">
      <c r="A100" s="1"/>
      <c r="B100" s="344" t="s">
        <v>211</v>
      </c>
      <c r="C100" s="962"/>
      <c r="D100" s="963"/>
      <c r="E100" s="964"/>
      <c r="F100" s="963"/>
      <c r="G100" s="964"/>
      <c r="H100" s="963"/>
      <c r="I100" s="1705"/>
      <c r="J100" s="1720"/>
      <c r="K100" s="1705"/>
      <c r="L100" s="1720"/>
      <c r="M100" s="1705"/>
      <c r="N100" s="1720"/>
      <c r="O100" s="1705"/>
      <c r="P100" s="1720"/>
      <c r="Q100" s="1705"/>
      <c r="R100" s="1720"/>
      <c r="S100" s="1705"/>
      <c r="T100" s="1720"/>
      <c r="U100" s="964">
        <v>0</v>
      </c>
      <c r="V100" s="963">
        <v>0</v>
      </c>
      <c r="W100" s="964">
        <v>0</v>
      </c>
      <c r="X100" s="963">
        <v>0</v>
      </c>
      <c r="Y100" s="964">
        <v>0</v>
      </c>
      <c r="Z100" s="1518">
        <v>0</v>
      </c>
      <c r="AB100" s="1115"/>
      <c r="AC100" s="1116"/>
    </row>
    <row r="101" spans="1:31" customFormat="1" ht="17.25" thickTop="1" thickBot="1" x14ac:dyDescent="0.3">
      <c r="A101" s="966"/>
      <c r="B101" s="967"/>
      <c r="C101" s="1992" t="s">
        <v>51</v>
      </c>
      <c r="D101" s="1993"/>
      <c r="E101" s="1992" t="s">
        <v>52</v>
      </c>
      <c r="F101" s="1993"/>
      <c r="G101" s="1989" t="s">
        <v>184</v>
      </c>
      <c r="H101" s="1990"/>
      <c r="I101" s="2088" t="s">
        <v>185</v>
      </c>
      <c r="J101" s="2080"/>
      <c r="K101" s="2088" t="s">
        <v>202</v>
      </c>
      <c r="L101" s="2080"/>
      <c r="M101" s="2088" t="s">
        <v>203</v>
      </c>
      <c r="N101" s="2080"/>
      <c r="O101" s="2079" t="s">
        <v>228</v>
      </c>
      <c r="P101" s="2080"/>
      <c r="Q101" s="2079" t="s">
        <v>238</v>
      </c>
      <c r="R101" s="2080"/>
      <c r="S101" s="2079" t="s">
        <v>273</v>
      </c>
      <c r="T101" s="2080"/>
      <c r="U101" s="1970" t="s">
        <v>275</v>
      </c>
      <c r="V101" s="1979"/>
      <c r="W101" s="1970" t="s">
        <v>281</v>
      </c>
      <c r="X101" s="1979"/>
      <c r="Y101" s="1970" t="s">
        <v>291</v>
      </c>
      <c r="Z101" s="1976"/>
      <c r="AA101" s="968"/>
      <c r="AB101" s="1987"/>
      <c r="AC101" s="1988"/>
      <c r="AD101" s="28"/>
      <c r="AE101" s="3"/>
    </row>
    <row r="102" spans="1:31" customFormat="1" x14ac:dyDescent="0.2">
      <c r="A102" s="3"/>
      <c r="B102" s="342" t="s">
        <v>210</v>
      </c>
      <c r="C102" s="3"/>
      <c r="D102" s="969"/>
      <c r="E102" s="970"/>
      <c r="F102" s="971"/>
      <c r="G102" s="972"/>
      <c r="H102" s="973"/>
      <c r="I102" s="974"/>
      <c r="J102" s="593"/>
      <c r="K102" s="975"/>
      <c r="L102" s="976"/>
      <c r="M102" s="975"/>
      <c r="N102" s="991"/>
      <c r="O102" s="1874"/>
      <c r="P102" s="1875"/>
      <c r="Q102" s="975"/>
      <c r="R102" s="991"/>
      <c r="S102" s="975"/>
      <c r="T102" s="991"/>
      <c r="U102" s="117"/>
      <c r="V102" s="1422"/>
      <c r="W102" s="975"/>
      <c r="X102" s="991"/>
      <c r="Y102" s="975"/>
      <c r="Z102" s="977"/>
      <c r="AA102" s="28"/>
      <c r="AB102" s="28"/>
      <c r="AC102" s="28"/>
      <c r="AD102" s="3"/>
      <c r="AE102" s="3"/>
    </row>
    <row r="103" spans="1:31" customFormat="1" x14ac:dyDescent="0.2">
      <c r="A103" s="930"/>
      <c r="B103" s="979" t="s">
        <v>192</v>
      </c>
      <c r="C103" s="1983">
        <v>18.850000000000001</v>
      </c>
      <c r="D103" s="1984"/>
      <c r="E103" s="980"/>
      <c r="F103" s="981"/>
      <c r="G103" s="982"/>
      <c r="H103" s="983"/>
      <c r="I103" s="1983"/>
      <c r="J103" s="1984"/>
      <c r="K103" s="984"/>
      <c r="L103" s="985"/>
      <c r="M103" s="984"/>
      <c r="N103" s="991"/>
      <c r="O103" s="1876"/>
      <c r="P103" s="1886"/>
      <c r="Q103" s="984"/>
      <c r="R103" s="991"/>
      <c r="S103" s="984"/>
      <c r="T103" s="991"/>
      <c r="U103" s="136"/>
      <c r="V103" s="1401">
        <v>27.3</v>
      </c>
      <c r="W103" s="984"/>
      <c r="X103" s="991"/>
      <c r="Y103" s="984"/>
      <c r="Z103" s="977"/>
      <c r="AA103" s="28"/>
      <c r="AB103" s="28"/>
      <c r="AC103" s="1106"/>
      <c r="AD103" s="3"/>
      <c r="AE103" s="3"/>
    </row>
    <row r="104" spans="1:31" customFormat="1" x14ac:dyDescent="0.2">
      <c r="A104" s="930"/>
      <c r="B104" s="986" t="s">
        <v>193</v>
      </c>
      <c r="C104" s="1983"/>
      <c r="D104" s="1984"/>
      <c r="E104" s="980"/>
      <c r="F104" s="981"/>
      <c r="G104" s="982"/>
      <c r="H104" s="983"/>
      <c r="I104" s="1983"/>
      <c r="J104" s="1984"/>
      <c r="K104" s="984"/>
      <c r="L104" s="985"/>
      <c r="M104" s="984"/>
      <c r="N104" s="991"/>
      <c r="O104" s="1876"/>
      <c r="P104" s="1886"/>
      <c r="Q104" s="984"/>
      <c r="R104" s="991"/>
      <c r="S104" s="984"/>
      <c r="T104" s="991"/>
      <c r="U104" s="136"/>
      <c r="V104" s="1401"/>
      <c r="W104" s="984"/>
      <c r="X104" s="991"/>
      <c r="Y104" s="984"/>
      <c r="Z104" s="977"/>
      <c r="AA104" s="28"/>
      <c r="AB104" s="28"/>
      <c r="AC104" s="1106"/>
      <c r="AD104" s="3"/>
      <c r="AE104" s="3"/>
    </row>
    <row r="105" spans="1:31" customFormat="1" x14ac:dyDescent="0.2">
      <c r="A105" s="930"/>
      <c r="B105" s="986" t="s">
        <v>194</v>
      </c>
      <c r="C105" s="1983">
        <v>0</v>
      </c>
      <c r="D105" s="1984"/>
      <c r="E105" s="980"/>
      <c r="F105" s="981"/>
      <c r="G105" s="982"/>
      <c r="H105" s="983"/>
      <c r="I105" s="1983"/>
      <c r="J105" s="1984"/>
      <c r="K105" s="984"/>
      <c r="L105" s="985"/>
      <c r="M105" s="984"/>
      <c r="N105" s="991"/>
      <c r="O105" s="1876"/>
      <c r="P105" s="1886"/>
      <c r="Q105" s="984"/>
      <c r="R105" s="991"/>
      <c r="S105" s="984"/>
      <c r="T105" s="991"/>
      <c r="U105" s="136"/>
      <c r="V105" s="1401">
        <v>2</v>
      </c>
      <c r="W105" s="984"/>
      <c r="X105" s="991"/>
      <c r="Y105" s="984"/>
      <c r="Z105" s="977"/>
      <c r="AA105" s="28"/>
      <c r="AB105" s="28"/>
      <c r="AC105" s="1106"/>
      <c r="AD105" s="3"/>
      <c r="AE105" s="3"/>
    </row>
    <row r="106" spans="1:31" customFormat="1" x14ac:dyDescent="0.2">
      <c r="A106" s="930"/>
      <c r="B106" s="979" t="s">
        <v>195</v>
      </c>
      <c r="C106" s="1983">
        <v>7.4</v>
      </c>
      <c r="D106" s="1984"/>
      <c r="E106" s="980"/>
      <c r="F106" s="981"/>
      <c r="G106" s="982"/>
      <c r="H106" s="983"/>
      <c r="I106" s="1983"/>
      <c r="J106" s="1984"/>
      <c r="K106" s="984"/>
      <c r="L106" s="985"/>
      <c r="M106" s="984"/>
      <c r="N106" s="991"/>
      <c r="O106" s="1876"/>
      <c r="P106" s="1886"/>
      <c r="Q106" s="984"/>
      <c r="R106" s="991"/>
      <c r="S106" s="984"/>
      <c r="T106" s="991"/>
      <c r="U106" s="136"/>
      <c r="V106" s="1401">
        <v>5.5</v>
      </c>
      <c r="W106" s="984"/>
      <c r="X106" s="991"/>
      <c r="Y106" s="984"/>
      <c r="Z106" s="977"/>
      <c r="AA106" s="28"/>
      <c r="AB106" s="28"/>
      <c r="AC106" s="1106"/>
      <c r="AD106" s="3"/>
      <c r="AE106" s="3"/>
    </row>
    <row r="107" spans="1:31" customFormat="1" x14ac:dyDescent="0.2">
      <c r="A107" s="930"/>
      <c r="B107" s="987" t="s">
        <v>196</v>
      </c>
      <c r="C107" s="1983">
        <v>0.75</v>
      </c>
      <c r="D107" s="1984"/>
      <c r="E107" s="980"/>
      <c r="F107" s="981"/>
      <c r="G107" s="982"/>
      <c r="H107" s="983"/>
      <c r="I107" s="1983"/>
      <c r="J107" s="1984"/>
      <c r="K107" s="984"/>
      <c r="L107" s="985"/>
      <c r="M107" s="984"/>
      <c r="N107" s="991"/>
      <c r="O107" s="1876"/>
      <c r="P107" s="1886"/>
      <c r="Q107" s="984"/>
      <c r="R107" s="991"/>
      <c r="S107" s="984"/>
      <c r="T107" s="991"/>
      <c r="U107" s="136"/>
      <c r="V107" s="1401">
        <f>3+3.85</f>
        <v>6.85</v>
      </c>
      <c r="W107" s="984"/>
      <c r="X107" s="991"/>
      <c r="Y107" s="984"/>
      <c r="Z107" s="977"/>
      <c r="AA107" s="28"/>
      <c r="AB107" s="28"/>
      <c r="AC107" s="1106"/>
      <c r="AD107" s="3"/>
      <c r="AE107" s="3"/>
    </row>
    <row r="108" spans="1:31" customFormat="1" x14ac:dyDescent="0.2">
      <c r="A108" s="930"/>
      <c r="B108" s="987" t="s">
        <v>197</v>
      </c>
      <c r="C108" s="1983">
        <f>SUM(C103:D107)</f>
        <v>27</v>
      </c>
      <c r="D108" s="1984"/>
      <c r="E108" s="980"/>
      <c r="F108" s="981"/>
      <c r="G108" s="982"/>
      <c r="H108" s="983"/>
      <c r="I108" s="1983"/>
      <c r="J108" s="1984"/>
      <c r="K108" s="984"/>
      <c r="L108" s="985"/>
      <c r="M108" s="984"/>
      <c r="N108" s="991"/>
      <c r="O108" s="1876"/>
      <c r="P108" s="1886"/>
      <c r="Q108" s="984"/>
      <c r="R108" s="991"/>
      <c r="S108" s="984"/>
      <c r="T108" s="991"/>
      <c r="U108" s="136"/>
      <c r="V108" s="1401">
        <f>SUM(V103:V107)</f>
        <v>41.65</v>
      </c>
      <c r="W108" s="984"/>
      <c r="X108" s="991"/>
      <c r="Y108" s="984"/>
      <c r="Z108" s="977"/>
      <c r="AA108" s="28"/>
      <c r="AB108" s="28"/>
      <c r="AC108" s="1106"/>
      <c r="AD108" s="3"/>
      <c r="AE108" s="3"/>
    </row>
    <row r="109" spans="1:31" customFormat="1" ht="13.5" thickBot="1" x14ac:dyDescent="0.25">
      <c r="A109" s="930"/>
      <c r="B109" s="988" t="s">
        <v>204</v>
      </c>
      <c r="C109" s="2056"/>
      <c r="D109" s="2055"/>
      <c r="E109" s="989"/>
      <c r="F109" s="990"/>
      <c r="G109" s="975"/>
      <c r="H109" s="991"/>
      <c r="I109" s="2056"/>
      <c r="J109" s="2055"/>
      <c r="K109" s="984"/>
      <c r="L109" s="985"/>
      <c r="M109" s="984"/>
      <c r="N109" s="991"/>
      <c r="O109" s="1876"/>
      <c r="P109" s="1875"/>
      <c r="Q109" s="984"/>
      <c r="R109" s="991"/>
      <c r="S109" s="984"/>
      <c r="T109" s="991"/>
      <c r="U109" s="136"/>
      <c r="V109" s="1422"/>
      <c r="W109" s="984"/>
      <c r="X109" s="991"/>
      <c r="Y109" s="984"/>
      <c r="Z109" s="977"/>
      <c r="AA109" s="28"/>
      <c r="AB109" s="28"/>
      <c r="AC109" s="1106"/>
      <c r="AD109" s="3"/>
      <c r="AE109" s="3"/>
    </row>
    <row r="110" spans="1:31" customFormat="1" x14ac:dyDescent="0.2">
      <c r="A110" s="930"/>
      <c r="B110" s="979" t="s">
        <v>198</v>
      </c>
      <c r="C110" s="2043">
        <v>3598</v>
      </c>
      <c r="D110" s="2044"/>
      <c r="E110" s="992"/>
      <c r="F110" s="993"/>
      <c r="G110" s="994"/>
      <c r="H110" s="995"/>
      <c r="I110" s="2043"/>
      <c r="J110" s="2044"/>
      <c r="K110" s="984"/>
      <c r="L110" s="985"/>
      <c r="M110" s="984"/>
      <c r="N110" s="991"/>
      <c r="O110" s="1876"/>
      <c r="P110" s="1877"/>
      <c r="Q110" s="984"/>
      <c r="R110" s="991"/>
      <c r="S110" s="984"/>
      <c r="T110" s="991"/>
      <c r="U110" s="136"/>
      <c r="V110" s="1462">
        <v>4427</v>
      </c>
      <c r="W110" s="984"/>
      <c r="X110" s="991"/>
      <c r="Y110" s="984"/>
      <c r="Z110" s="977"/>
      <c r="AA110" s="28"/>
      <c r="AB110" s="28"/>
      <c r="AC110" s="1473"/>
      <c r="AD110" s="3"/>
      <c r="AE110" s="3"/>
    </row>
    <row r="111" spans="1:31" customFormat="1" x14ac:dyDescent="0.2">
      <c r="A111" s="930"/>
      <c r="B111" s="987" t="s">
        <v>199</v>
      </c>
      <c r="C111" s="2043">
        <v>0</v>
      </c>
      <c r="D111" s="2044"/>
      <c r="E111" s="992"/>
      <c r="F111" s="993"/>
      <c r="G111" s="994"/>
      <c r="H111" s="995"/>
      <c r="I111" s="2043"/>
      <c r="J111" s="2044"/>
      <c r="K111" s="984"/>
      <c r="L111" s="985"/>
      <c r="M111" s="984"/>
      <c r="N111" s="991"/>
      <c r="O111" s="1876"/>
      <c r="P111" s="1877"/>
      <c r="Q111" s="984"/>
      <c r="R111" s="991"/>
      <c r="S111" s="984"/>
      <c r="T111" s="991"/>
      <c r="U111" s="136"/>
      <c r="V111" s="1462">
        <v>221</v>
      </c>
      <c r="W111" s="984"/>
      <c r="X111" s="991"/>
      <c r="Y111" s="984"/>
      <c r="Z111" s="977"/>
      <c r="AA111" s="28"/>
      <c r="AB111" s="28"/>
      <c r="AC111" s="1473"/>
      <c r="AD111" s="3"/>
      <c r="AE111" s="3"/>
    </row>
    <row r="112" spans="1:31" customFormat="1" x14ac:dyDescent="0.2">
      <c r="A112" s="930"/>
      <c r="B112" s="987" t="s">
        <v>200</v>
      </c>
      <c r="C112" s="2043">
        <v>265</v>
      </c>
      <c r="D112" s="2044"/>
      <c r="E112" s="992"/>
      <c r="F112" s="993"/>
      <c r="G112" s="994"/>
      <c r="H112" s="995"/>
      <c r="I112" s="2043"/>
      <c r="J112" s="2044"/>
      <c r="K112" s="984"/>
      <c r="L112" s="985"/>
      <c r="M112" s="984"/>
      <c r="N112" s="991"/>
      <c r="O112" s="1876"/>
      <c r="P112" s="1877"/>
      <c r="Q112" s="984"/>
      <c r="R112" s="991"/>
      <c r="S112" s="984"/>
      <c r="T112" s="991"/>
      <c r="U112" s="136"/>
      <c r="V112" s="1462">
        <f>67+467</f>
        <v>534</v>
      </c>
      <c r="W112" s="984"/>
      <c r="X112" s="991"/>
      <c r="Y112" s="984"/>
      <c r="Z112" s="977"/>
      <c r="AA112" s="28"/>
      <c r="AB112" s="28"/>
      <c r="AC112" s="1473"/>
      <c r="AD112" s="3"/>
      <c r="AE112" s="3"/>
    </row>
    <row r="113" spans="1:31" customFormat="1" x14ac:dyDescent="0.2">
      <c r="A113" s="930"/>
      <c r="B113" s="987" t="s">
        <v>209</v>
      </c>
      <c r="C113" s="2043">
        <f>SUM(C110:D112)</f>
        <v>3863</v>
      </c>
      <c r="D113" s="2044"/>
      <c r="E113" s="992"/>
      <c r="F113" s="993"/>
      <c r="G113" s="994"/>
      <c r="H113" s="995"/>
      <c r="I113" s="2043"/>
      <c r="J113" s="2044"/>
      <c r="K113" s="984"/>
      <c r="L113" s="985"/>
      <c r="M113" s="984"/>
      <c r="N113" s="991"/>
      <c r="O113" s="1876"/>
      <c r="P113" s="1877"/>
      <c r="Q113" s="984"/>
      <c r="R113" s="991"/>
      <c r="S113" s="984"/>
      <c r="T113" s="991"/>
      <c r="U113" s="136"/>
      <c r="V113" s="1462">
        <f>SUM(V110:V112)</f>
        <v>5182</v>
      </c>
      <c r="W113" s="984"/>
      <c r="X113" s="991"/>
      <c r="Y113" s="984"/>
      <c r="Z113" s="977"/>
      <c r="AA113" s="28"/>
      <c r="AB113" s="28"/>
      <c r="AC113" s="1473"/>
      <c r="AD113" s="3"/>
      <c r="AE113" s="3"/>
    </row>
    <row r="114" spans="1:31" customFormat="1" ht="13.5" thickBot="1" x14ac:dyDescent="0.25">
      <c r="A114" s="930"/>
      <c r="B114" s="988" t="s">
        <v>205</v>
      </c>
      <c r="C114" s="2056"/>
      <c r="D114" s="2055"/>
      <c r="E114" s="989"/>
      <c r="F114" s="990"/>
      <c r="G114" s="975"/>
      <c r="H114" s="991"/>
      <c r="I114" s="2056"/>
      <c r="J114" s="2055"/>
      <c r="K114" s="984"/>
      <c r="L114" s="985"/>
      <c r="M114" s="984"/>
      <c r="N114" s="991"/>
      <c r="O114" s="1876"/>
      <c r="P114" s="1875"/>
      <c r="Q114" s="984"/>
      <c r="R114" s="991"/>
      <c r="S114" s="984"/>
      <c r="T114" s="991"/>
      <c r="U114" s="136"/>
      <c r="V114" s="1422"/>
      <c r="W114" s="984"/>
      <c r="X114" s="991"/>
      <c r="Y114" s="984"/>
      <c r="Z114" s="977"/>
      <c r="AA114" s="28"/>
      <c r="AB114" s="28"/>
      <c r="AC114" s="1106"/>
      <c r="AD114" s="28"/>
      <c r="AE114" s="28"/>
    </row>
    <row r="115" spans="1:31" customFormat="1" x14ac:dyDescent="0.2">
      <c r="A115" s="930"/>
      <c r="B115" s="979" t="s">
        <v>206</v>
      </c>
      <c r="C115" s="1985">
        <f>C110/C103</f>
        <v>190.87533156498671</v>
      </c>
      <c r="D115" s="1986"/>
      <c r="E115" s="996"/>
      <c r="F115" s="997"/>
      <c r="G115" s="998"/>
      <c r="H115" s="999"/>
      <c r="I115" s="1985"/>
      <c r="J115" s="1986"/>
      <c r="K115" s="1000"/>
      <c r="L115" s="1001"/>
      <c r="M115" s="1000"/>
      <c r="N115" s="999"/>
      <c r="O115" s="1863"/>
      <c r="P115" s="1878"/>
      <c r="Q115" s="1000"/>
      <c r="R115" s="999"/>
      <c r="S115" s="1000"/>
      <c r="T115" s="999"/>
      <c r="U115" s="494"/>
      <c r="V115" s="1402">
        <f>V110/V103</f>
        <v>162.16117216117215</v>
      </c>
      <c r="W115" s="1000"/>
      <c r="X115" s="999"/>
      <c r="Y115" s="1000"/>
      <c r="Z115" s="1460"/>
      <c r="AA115" s="668"/>
      <c r="AB115" s="668"/>
      <c r="AC115" s="1106"/>
      <c r="AD115" s="21"/>
      <c r="AE115" s="21"/>
    </row>
    <row r="116" spans="1:31" customFormat="1" x14ac:dyDescent="0.2">
      <c r="A116" s="930"/>
      <c r="B116" s="987" t="s">
        <v>207</v>
      </c>
      <c r="C116" s="1985">
        <v>0</v>
      </c>
      <c r="D116" s="1986"/>
      <c r="E116" s="996"/>
      <c r="F116" s="997"/>
      <c r="G116" s="998"/>
      <c r="H116" s="999"/>
      <c r="I116" s="1985"/>
      <c r="J116" s="1986"/>
      <c r="K116" s="1000"/>
      <c r="L116" s="1001"/>
      <c r="M116" s="1000"/>
      <c r="N116" s="999"/>
      <c r="O116" s="1863"/>
      <c r="P116" s="1878"/>
      <c r="Q116" s="1000"/>
      <c r="R116" s="999"/>
      <c r="S116" s="1000"/>
      <c r="T116" s="999"/>
      <c r="U116" s="494"/>
      <c r="V116" s="1402">
        <f>V111/(V105+V106)</f>
        <v>29.466666666666665</v>
      </c>
      <c r="W116" s="1000"/>
      <c r="X116" s="999"/>
      <c r="Y116" s="1000"/>
      <c r="Z116" s="1460"/>
      <c r="AA116" s="668"/>
      <c r="AB116" s="668"/>
      <c r="AC116" s="1106"/>
      <c r="AD116" s="21"/>
      <c r="AE116" s="21"/>
    </row>
    <row r="117" spans="1:31" customFormat="1" x14ac:dyDescent="0.2">
      <c r="A117" s="930"/>
      <c r="B117" s="987" t="s">
        <v>208</v>
      </c>
      <c r="C117" s="1985">
        <f>C112/C107</f>
        <v>353.33333333333331</v>
      </c>
      <c r="D117" s="1986"/>
      <c r="E117" s="996"/>
      <c r="F117" s="997"/>
      <c r="G117" s="998"/>
      <c r="H117" s="999"/>
      <c r="I117" s="1985"/>
      <c r="J117" s="1986"/>
      <c r="K117" s="1000"/>
      <c r="L117" s="1001"/>
      <c r="M117" s="1000"/>
      <c r="N117" s="999"/>
      <c r="O117" s="1863"/>
      <c r="P117" s="1878"/>
      <c r="Q117" s="1000"/>
      <c r="R117" s="999"/>
      <c r="S117" s="1000"/>
      <c r="T117" s="999"/>
      <c r="U117" s="494"/>
      <c r="V117" s="1402">
        <f>V112/V107</f>
        <v>77.956204379562053</v>
      </c>
      <c r="W117" s="1000"/>
      <c r="X117" s="999"/>
      <c r="Y117" s="1000"/>
      <c r="Z117" s="1460"/>
      <c r="AA117" s="668"/>
      <c r="AB117" s="668"/>
      <c r="AC117" s="1106"/>
      <c r="AD117" s="21"/>
      <c r="AE117" s="21"/>
    </row>
    <row r="118" spans="1:31" customFormat="1" ht="13.5" thickBot="1" x14ac:dyDescent="0.25">
      <c r="A118" s="930"/>
      <c r="B118" s="1002" t="s">
        <v>201</v>
      </c>
      <c r="C118" s="2045">
        <f>C113/C108</f>
        <v>143.07407407407408</v>
      </c>
      <c r="D118" s="2046"/>
      <c r="E118" s="1003"/>
      <c r="F118" s="1004"/>
      <c r="G118" s="1005"/>
      <c r="H118" s="1006"/>
      <c r="I118" s="2045"/>
      <c r="J118" s="2046"/>
      <c r="K118" s="1005"/>
      <c r="L118" s="1006"/>
      <c r="M118" s="1005"/>
      <c r="N118" s="1006"/>
      <c r="O118" s="1879"/>
      <c r="P118" s="1880"/>
      <c r="Q118" s="1005"/>
      <c r="R118" s="1006"/>
      <c r="S118" s="1005"/>
      <c r="T118" s="1006"/>
      <c r="U118" s="1233"/>
      <c r="V118" s="1423">
        <f>V113/V108</f>
        <v>124.41776710684275</v>
      </c>
      <c r="W118" s="1005"/>
      <c r="X118" s="1006"/>
      <c r="Y118" s="1005"/>
      <c r="Z118" s="1461"/>
      <c r="AA118" s="668"/>
      <c r="AB118" s="668"/>
      <c r="AC118" s="1106"/>
      <c r="AD118" s="21"/>
      <c r="AE118" s="21"/>
    </row>
    <row r="119" spans="1:31" ht="13.5" thickTop="1" x14ac:dyDescent="0.2">
      <c r="B119" s="3" t="str">
        <f>Dean_AS!B169</f>
        <v>*Note: Beginning with the 2009 collection cycle, Instructional FTE was defined according to the national Delaware Study of Instructional Costs and Productivity</v>
      </c>
      <c r="AC119" s="28"/>
    </row>
    <row r="120" spans="1:31" x14ac:dyDescent="0.2">
      <c r="P120" s="3" t="s">
        <v>29</v>
      </c>
    </row>
  </sheetData>
  <mergeCells count="141">
    <mergeCell ref="C117:D117"/>
    <mergeCell ref="I117:J117"/>
    <mergeCell ref="C118:D118"/>
    <mergeCell ref="I118:J118"/>
    <mergeCell ref="U96:V96"/>
    <mergeCell ref="U101:V101"/>
    <mergeCell ref="U7:V7"/>
    <mergeCell ref="U25:V25"/>
    <mergeCell ref="U33:V33"/>
    <mergeCell ref="U36:V36"/>
    <mergeCell ref="U40:V40"/>
    <mergeCell ref="U66:V66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AB101:AC101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W101:X101"/>
    <mergeCell ref="C101:D101"/>
    <mergeCell ref="E101:F101"/>
    <mergeCell ref="G101:H101"/>
    <mergeCell ref="I101:J101"/>
    <mergeCell ref="K101:L101"/>
    <mergeCell ref="M101:N101"/>
    <mergeCell ref="AB66:AC66"/>
    <mergeCell ref="C96:D96"/>
    <mergeCell ref="E96:F96"/>
    <mergeCell ref="G96:H96"/>
    <mergeCell ref="I96:J96"/>
    <mergeCell ref="K96:L96"/>
    <mergeCell ref="M96:N96"/>
    <mergeCell ref="O96:P96"/>
    <mergeCell ref="Q96:R96"/>
    <mergeCell ref="S96:T96"/>
    <mergeCell ref="AB96:AC96"/>
    <mergeCell ref="W96:X96"/>
    <mergeCell ref="W66:X66"/>
    <mergeCell ref="C66:D66"/>
    <mergeCell ref="E66:F66"/>
    <mergeCell ref="G66:H66"/>
    <mergeCell ref="I66:J66"/>
    <mergeCell ref="K66:L66"/>
    <mergeCell ref="M66:N66"/>
    <mergeCell ref="O66:P66"/>
    <mergeCell ref="Q66:R66"/>
    <mergeCell ref="Y66:Z66"/>
    <mergeCell ref="Y96:Z96"/>
    <mergeCell ref="AB36:AC36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AB40:AC40"/>
    <mergeCell ref="W36:X36"/>
    <mergeCell ref="W40:X40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Y36:Z36"/>
    <mergeCell ref="Y40:Z40"/>
    <mergeCell ref="AB33:AC33"/>
    <mergeCell ref="C34:D34"/>
    <mergeCell ref="E34:F34"/>
    <mergeCell ref="G34:H34"/>
    <mergeCell ref="I34:J34"/>
    <mergeCell ref="C35:D35"/>
    <mergeCell ref="E35:F35"/>
    <mergeCell ref="G35:H35"/>
    <mergeCell ref="I35:J35"/>
    <mergeCell ref="W33:X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Y33:Z33"/>
    <mergeCell ref="AB7:AC7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AB25:AC25"/>
    <mergeCell ref="W7:X7"/>
    <mergeCell ref="W25:X25"/>
    <mergeCell ref="Y7:Z7"/>
    <mergeCell ref="Y25:Z25"/>
    <mergeCell ref="Y101:Z101"/>
    <mergeCell ref="I7:J7"/>
    <mergeCell ref="K7:L7"/>
    <mergeCell ref="M7:N7"/>
    <mergeCell ref="O7:P7"/>
    <mergeCell ref="Q7:R7"/>
    <mergeCell ref="S7:T7"/>
    <mergeCell ref="S66:T66"/>
    <mergeCell ref="O101:P101"/>
    <mergeCell ref="Q101:R101"/>
    <mergeCell ref="S101:T101"/>
  </mergeCells>
  <printOptions horizontalCentered="1"/>
  <pageMargins left="0.5" right="0.5" top="0.5" bottom="0.5" header="0.5" footer="0.5"/>
  <pageSetup scale="66" orientation="landscape" r:id="rId1"/>
  <headerFooter alignWithMargins="0">
    <oddFooter>&amp;R&amp;P of &amp;N
&amp;D</oddFooter>
  </headerFooter>
  <rowBreaks count="1" manualBreakCount="1">
    <brk id="63" max="20" man="1"/>
  </rowBreaks>
  <ignoredErrors>
    <ignoredError sqref="W76:W94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0"/>
  <sheetViews>
    <sheetView view="pageBreakPreview" zoomScaleNormal="100" workbookViewId="0">
      <pane xSplit="2" ySplit="1" topLeftCell="C2" activePane="bottomRight" state="frozen"/>
      <selection activeCell="AF81" sqref="AF81"/>
      <selection pane="topRight" activeCell="AF81" sqref="AF81"/>
      <selection pane="bottomLeft" activeCell="AF81" sqref="AF81"/>
      <selection pane="bottomRight" activeCell="AF81" sqref="AF81"/>
    </sheetView>
  </sheetViews>
  <sheetFormatPr defaultColWidth="10.28515625" defaultRowHeight="12.75" x14ac:dyDescent="0.2"/>
  <cols>
    <col min="1" max="1" width="3.7109375" style="3" customWidth="1"/>
    <col min="2" max="2" width="29.7109375" style="3" customWidth="1"/>
    <col min="3" max="3" width="7.7109375" hidden="1" customWidth="1"/>
    <col min="4" max="4" width="10.85546875" hidden="1" customWidth="1"/>
    <col min="5" max="5" width="7.7109375" hidden="1" customWidth="1"/>
    <col min="6" max="6" width="10.85546875" hidden="1" customWidth="1"/>
    <col min="7" max="7" width="7.7109375" style="115" hidden="1" customWidth="1"/>
    <col min="8" max="8" width="10.85546875" style="115" hidden="1" customWidth="1"/>
    <col min="9" max="9" width="7.7109375" style="115" hidden="1" customWidth="1"/>
    <col min="10" max="10" width="10.85546875" style="115" hidden="1" customWidth="1"/>
    <col min="11" max="11" width="7.7109375" style="3" hidden="1" customWidth="1"/>
    <col min="12" max="12" width="10.85546875" style="3" hidden="1" customWidth="1"/>
    <col min="13" max="13" width="7.7109375" style="3" hidden="1" customWidth="1"/>
    <col min="14" max="14" width="10.85546875" style="3" hidden="1" customWidth="1"/>
    <col min="15" max="15" width="7.7109375" style="3" customWidth="1"/>
    <col min="16" max="16" width="10.85546875" style="3" customWidth="1"/>
    <col min="17" max="17" width="7.7109375" style="3" customWidth="1"/>
    <col min="18" max="18" width="10.85546875" style="3" customWidth="1"/>
    <col min="19" max="19" width="7.7109375" style="3" customWidth="1"/>
    <col min="20" max="20" width="9.85546875" style="3" customWidth="1"/>
    <col min="21" max="21" width="7.7109375" style="3" customWidth="1"/>
    <col min="22" max="22" width="10.5703125" style="3" customWidth="1"/>
    <col min="23" max="23" width="7.7109375" style="3" customWidth="1"/>
    <col min="24" max="24" width="10.5703125" style="3" customWidth="1"/>
    <col min="25" max="25" width="7.7109375" style="3" customWidth="1"/>
    <col min="26" max="26" width="10.5703125" style="3" customWidth="1"/>
    <col min="27" max="27" width="1.42578125" style="3" customWidth="1"/>
    <col min="28" max="28" width="7.7109375" style="3" customWidth="1"/>
    <col min="29" max="29" width="10.85546875" style="3" customWidth="1"/>
    <col min="30" max="30" width="1.85546875" style="3" customWidth="1"/>
    <col min="31" max="16384" width="10.28515625" style="3"/>
  </cols>
  <sheetData>
    <row r="1" spans="1:31" ht="18" x14ac:dyDescent="0.25">
      <c r="A1" s="1183" t="str">
        <f>Dean_AS!A1</f>
        <v>Department Profile Report - FY 2015</v>
      </c>
      <c r="B1" s="1183"/>
      <c r="C1" s="1183"/>
      <c r="D1" s="1183"/>
      <c r="E1" s="1183"/>
      <c r="F1" s="1183"/>
      <c r="G1" s="1183"/>
      <c r="H1" s="1183"/>
      <c r="I1" s="1239"/>
      <c r="J1" s="1239"/>
      <c r="K1" s="1228"/>
      <c r="L1" s="1228"/>
      <c r="M1" s="1228"/>
      <c r="N1" s="1228"/>
      <c r="O1" s="1228"/>
      <c r="P1" s="1228"/>
      <c r="Q1" s="1228"/>
      <c r="R1" s="1228"/>
      <c r="S1" s="1228"/>
      <c r="T1" s="1228"/>
      <c r="U1" s="1228"/>
      <c r="V1" s="1228"/>
      <c r="W1" s="1228"/>
      <c r="X1" s="1228"/>
      <c r="Y1" s="1228"/>
      <c r="Z1" s="1228"/>
      <c r="AA1" s="1228"/>
      <c r="AB1" s="1228"/>
      <c r="AC1" s="1228"/>
    </row>
    <row r="2" spans="1:31" ht="12" x14ac:dyDescent="0.2">
      <c r="C2" s="3"/>
      <c r="D2" s="3"/>
      <c r="E2" s="3"/>
      <c r="F2" s="3"/>
      <c r="G2" s="117"/>
      <c r="H2" s="117"/>
      <c r="I2" s="117"/>
      <c r="J2" s="117"/>
    </row>
    <row r="3" spans="1:31" x14ac:dyDescent="0.2">
      <c r="A3" s="2" t="s">
        <v>110</v>
      </c>
      <c r="B3" s="117"/>
      <c r="C3" s="3"/>
      <c r="D3" s="3"/>
      <c r="E3" s="3"/>
      <c r="F3" s="3"/>
      <c r="G3" s="117"/>
      <c r="H3" s="117"/>
      <c r="I3" s="117"/>
      <c r="J3" s="117"/>
    </row>
    <row r="4" spans="1:31" ht="12" x14ac:dyDescent="0.2">
      <c r="C4" s="3"/>
      <c r="D4" s="3"/>
      <c r="E4" s="3"/>
      <c r="F4" s="3"/>
      <c r="G4" s="117"/>
      <c r="H4" s="117"/>
      <c r="I4" s="117"/>
      <c r="J4" s="117"/>
    </row>
    <row r="5" spans="1:31" x14ac:dyDescent="0.2">
      <c r="A5" s="2" t="s">
        <v>77</v>
      </c>
      <c r="C5" s="3"/>
      <c r="D5" s="3"/>
      <c r="E5" s="3"/>
      <c r="F5" s="3"/>
      <c r="G5" s="117"/>
      <c r="H5" s="117"/>
      <c r="I5" s="117"/>
      <c r="J5" s="117"/>
    </row>
    <row r="6" spans="1:31" thickBot="1" x14ac:dyDescent="0.25">
      <c r="A6" s="4"/>
      <c r="C6" s="3"/>
      <c r="D6" s="3"/>
      <c r="E6" s="3"/>
      <c r="F6" s="3"/>
      <c r="G6" s="117"/>
      <c r="H6" s="117"/>
      <c r="I6" s="117"/>
      <c r="J6" s="117"/>
    </row>
    <row r="7" spans="1:31" ht="13.5" customHeight="1" thickTop="1" thickBot="1" x14ac:dyDescent="0.25">
      <c r="B7" s="22"/>
      <c r="C7" s="29" t="s">
        <v>49</v>
      </c>
      <c r="D7" s="51"/>
      <c r="E7" s="29" t="s">
        <v>50</v>
      </c>
      <c r="F7" s="7"/>
      <c r="G7" s="302" t="s">
        <v>141</v>
      </c>
      <c r="H7" s="121"/>
      <c r="I7" s="1968" t="s">
        <v>152</v>
      </c>
      <c r="J7" s="1968"/>
      <c r="K7" s="1994" t="s">
        <v>154</v>
      </c>
      <c r="L7" s="1968"/>
      <c r="M7" s="1994" t="s">
        <v>171</v>
      </c>
      <c r="N7" s="1980"/>
      <c r="O7" s="1968" t="s">
        <v>227</v>
      </c>
      <c r="P7" s="1980"/>
      <c r="Q7" s="1968" t="s">
        <v>237</v>
      </c>
      <c r="R7" s="1980"/>
      <c r="S7" s="1968" t="s">
        <v>272</v>
      </c>
      <c r="T7" s="1980"/>
      <c r="U7" s="1968" t="s">
        <v>274</v>
      </c>
      <c r="V7" s="1980"/>
      <c r="W7" s="1968" t="s">
        <v>280</v>
      </c>
      <c r="X7" s="1980"/>
      <c r="Y7" s="1968" t="s">
        <v>290</v>
      </c>
      <c r="Z7" s="1969"/>
      <c r="AB7" s="2003" t="s">
        <v>213</v>
      </c>
      <c r="AC7" s="2004"/>
    </row>
    <row r="8" spans="1:31" ht="12" x14ac:dyDescent="0.2">
      <c r="B8" s="71"/>
      <c r="C8" s="42" t="s">
        <v>1</v>
      </c>
      <c r="D8" s="47" t="s">
        <v>2</v>
      </c>
      <c r="E8" s="42" t="s">
        <v>1</v>
      </c>
      <c r="F8" s="8" t="s">
        <v>2</v>
      </c>
      <c r="G8" s="303" t="s">
        <v>1</v>
      </c>
      <c r="H8" s="125" t="s">
        <v>2</v>
      </c>
      <c r="I8" s="124" t="s">
        <v>1</v>
      </c>
      <c r="J8" s="300" t="s">
        <v>2</v>
      </c>
      <c r="K8" s="303" t="s">
        <v>1</v>
      </c>
      <c r="L8" s="300" t="s">
        <v>2</v>
      </c>
      <c r="M8" s="303" t="s">
        <v>1</v>
      </c>
      <c r="N8" s="125" t="s">
        <v>2</v>
      </c>
      <c r="O8" s="124" t="s">
        <v>1</v>
      </c>
      <c r="P8" s="125" t="s">
        <v>2</v>
      </c>
      <c r="Q8" s="124" t="s">
        <v>1</v>
      </c>
      <c r="R8" s="125" t="s">
        <v>2</v>
      </c>
      <c r="S8" s="124" t="s">
        <v>1</v>
      </c>
      <c r="T8" s="125" t="s">
        <v>2</v>
      </c>
      <c r="U8" s="124" t="s">
        <v>1</v>
      </c>
      <c r="V8" s="125" t="s">
        <v>2</v>
      </c>
      <c r="W8" s="124" t="s">
        <v>1</v>
      </c>
      <c r="X8" s="125" t="s">
        <v>2</v>
      </c>
      <c r="Y8" s="124" t="s">
        <v>1</v>
      </c>
      <c r="Z8" s="126" t="s">
        <v>2</v>
      </c>
      <c r="AB8" s="921" t="s">
        <v>214</v>
      </c>
      <c r="AC8" s="922" t="s">
        <v>215</v>
      </c>
    </row>
    <row r="9" spans="1:31" thickBot="1" x14ac:dyDescent="0.25">
      <c r="B9" s="72"/>
      <c r="C9" s="46" t="s">
        <v>3</v>
      </c>
      <c r="D9" s="48" t="s">
        <v>4</v>
      </c>
      <c r="E9" s="46" t="s">
        <v>3</v>
      </c>
      <c r="F9" s="26" t="s">
        <v>4</v>
      </c>
      <c r="G9" s="304" t="s">
        <v>3</v>
      </c>
      <c r="H9" s="123" t="s">
        <v>4</v>
      </c>
      <c r="I9" s="127" t="s">
        <v>3</v>
      </c>
      <c r="J9" s="301" t="s">
        <v>4</v>
      </c>
      <c r="K9" s="304" t="s">
        <v>3</v>
      </c>
      <c r="L9" s="301" t="s">
        <v>4</v>
      </c>
      <c r="M9" s="304" t="s">
        <v>3</v>
      </c>
      <c r="N9" s="123" t="s">
        <v>4</v>
      </c>
      <c r="O9" s="127" t="s">
        <v>3</v>
      </c>
      <c r="P9" s="123" t="s">
        <v>4</v>
      </c>
      <c r="Q9" s="127" t="s">
        <v>3</v>
      </c>
      <c r="R9" s="123" t="s">
        <v>4</v>
      </c>
      <c r="S9" s="127" t="s">
        <v>3</v>
      </c>
      <c r="T9" s="123" t="s">
        <v>4</v>
      </c>
      <c r="U9" s="127" t="s">
        <v>3</v>
      </c>
      <c r="V9" s="123" t="s">
        <v>4</v>
      </c>
      <c r="W9" s="127" t="s">
        <v>3</v>
      </c>
      <c r="X9" s="123" t="s">
        <v>4</v>
      </c>
      <c r="Y9" s="127" t="s">
        <v>3</v>
      </c>
      <c r="Z9" s="128" t="s">
        <v>4</v>
      </c>
      <c r="AB9" s="923" t="s">
        <v>3</v>
      </c>
      <c r="AC9" s="924" t="s">
        <v>4</v>
      </c>
    </row>
    <row r="10" spans="1:31" ht="12" x14ac:dyDescent="0.2">
      <c r="B10" s="73" t="s">
        <v>5</v>
      </c>
      <c r="C10" s="15"/>
      <c r="D10" s="49"/>
      <c r="E10" s="15"/>
      <c r="F10" s="13"/>
      <c r="G10" s="305"/>
      <c r="H10" s="131"/>
      <c r="I10" s="130"/>
      <c r="J10" s="150"/>
      <c r="K10" s="305"/>
      <c r="L10" s="150"/>
      <c r="M10" s="305"/>
      <c r="N10" s="131"/>
      <c r="O10" s="130"/>
      <c r="P10" s="131"/>
      <c r="Q10" s="130"/>
      <c r="R10" s="131"/>
      <c r="S10" s="130"/>
      <c r="T10" s="131"/>
      <c r="U10" s="130"/>
      <c r="V10" s="131"/>
      <c r="W10" s="130"/>
      <c r="X10" s="131"/>
      <c r="Y10" s="130"/>
      <c r="Z10" s="296"/>
      <c r="AB10" s="925"/>
      <c r="AC10" s="581"/>
    </row>
    <row r="11" spans="1:31" ht="12" x14ac:dyDescent="0.2">
      <c r="B11" s="74" t="s">
        <v>111</v>
      </c>
      <c r="C11" s="62"/>
      <c r="D11" s="59"/>
      <c r="E11" s="62"/>
      <c r="F11" s="27"/>
      <c r="G11" s="319"/>
      <c r="H11" s="435"/>
      <c r="I11" s="406"/>
      <c r="J11" s="407"/>
      <c r="K11" s="319"/>
      <c r="L11" s="407"/>
      <c r="M11" s="319"/>
      <c r="N11" s="435"/>
      <c r="O11" s="406"/>
      <c r="P11" s="435"/>
      <c r="Q11" s="406"/>
      <c r="R11" s="435"/>
      <c r="S11" s="406"/>
      <c r="T11" s="435"/>
      <c r="U11" s="406"/>
      <c r="V11" s="435"/>
      <c r="W11" s="406"/>
      <c r="X11" s="435"/>
      <c r="Y11" s="406"/>
      <c r="Z11" s="292"/>
      <c r="AB11" s="926"/>
      <c r="AC11" s="927"/>
    </row>
    <row r="12" spans="1:31" s="618" customFormat="1" ht="12" x14ac:dyDescent="0.2">
      <c r="B12" s="781" t="s">
        <v>221</v>
      </c>
      <c r="C12" s="705">
        <v>40</v>
      </c>
      <c r="D12" s="703">
        <f>4+3</f>
        <v>7</v>
      </c>
      <c r="E12" s="705">
        <f>34+6</f>
        <v>40</v>
      </c>
      <c r="F12" s="704">
        <f>6+1</f>
        <v>7</v>
      </c>
      <c r="G12" s="710">
        <v>47</v>
      </c>
      <c r="H12" s="729">
        <f>7+1</f>
        <v>8</v>
      </c>
      <c r="I12" s="734">
        <f>38+1+4+2+4</f>
        <v>49</v>
      </c>
      <c r="J12" s="730">
        <f>9+2</f>
        <v>11</v>
      </c>
      <c r="K12" s="710">
        <v>53</v>
      </c>
      <c r="L12" s="730">
        <v>8</v>
      </c>
      <c r="M12" s="710">
        <f>34+9</f>
        <v>43</v>
      </c>
      <c r="N12" s="729">
        <v>8</v>
      </c>
      <c r="O12" s="734">
        <v>43</v>
      </c>
      <c r="P12" s="729">
        <f>7+1</f>
        <v>8</v>
      </c>
      <c r="Q12" s="734">
        <v>35</v>
      </c>
      <c r="R12" s="729">
        <v>7</v>
      </c>
      <c r="S12" s="734">
        <v>37</v>
      </c>
      <c r="T12" s="729">
        <v>9</v>
      </c>
      <c r="U12" s="734">
        <f>40+1</f>
        <v>41</v>
      </c>
      <c r="V12" s="729">
        <v>12</v>
      </c>
      <c r="W12" s="734">
        <v>36</v>
      </c>
      <c r="X12" s="729">
        <v>4</v>
      </c>
      <c r="Y12" s="734">
        <v>38</v>
      </c>
      <c r="Z12" s="1647"/>
      <c r="AB12" s="926">
        <f>AVERAGE(W12,U12,Q12,S12,Y12)</f>
        <v>37.4</v>
      </c>
      <c r="AC12" s="928">
        <f>AVERAGE(X12,V12,R12,T12,P12)</f>
        <v>8</v>
      </c>
    </row>
    <row r="13" spans="1:31" s="618" customFormat="1" thickBot="1" x14ac:dyDescent="0.25">
      <c r="B13" s="737" t="s">
        <v>80</v>
      </c>
      <c r="C13" s="717">
        <v>7</v>
      </c>
      <c r="D13" s="712">
        <v>3</v>
      </c>
      <c r="E13" s="714">
        <v>10</v>
      </c>
      <c r="F13" s="713">
        <v>0</v>
      </c>
      <c r="G13" s="715">
        <v>10</v>
      </c>
      <c r="H13" s="716">
        <v>2</v>
      </c>
      <c r="I13" s="717">
        <v>16</v>
      </c>
      <c r="J13" s="718">
        <v>0</v>
      </c>
      <c r="K13" s="715">
        <v>17</v>
      </c>
      <c r="L13" s="718">
        <v>5</v>
      </c>
      <c r="M13" s="715">
        <v>7</v>
      </c>
      <c r="N13" s="716">
        <v>5</v>
      </c>
      <c r="O13" s="717">
        <v>5</v>
      </c>
      <c r="P13" s="716">
        <v>1</v>
      </c>
      <c r="Q13" s="717">
        <v>9</v>
      </c>
      <c r="R13" s="716">
        <v>0</v>
      </c>
      <c r="S13" s="717">
        <v>10</v>
      </c>
      <c r="T13" s="716">
        <v>1</v>
      </c>
      <c r="U13" s="717">
        <v>17</v>
      </c>
      <c r="V13" s="716">
        <v>3</v>
      </c>
      <c r="W13" s="717">
        <v>20</v>
      </c>
      <c r="X13" s="716">
        <v>5</v>
      </c>
      <c r="Y13" s="717">
        <v>21</v>
      </c>
      <c r="Z13" s="1648"/>
      <c r="AB13" s="929">
        <f>AVERAGE(W13,U13,Q13,S13,Y13)</f>
        <v>15.4</v>
      </c>
      <c r="AC13" s="1019">
        <f>AVERAGE(X13,V13,R13,T13,P13)</f>
        <v>2</v>
      </c>
    </row>
    <row r="14" spans="1:31" thickTop="1" x14ac:dyDescent="0.2">
      <c r="B14" s="70" t="s">
        <v>170</v>
      </c>
      <c r="C14" s="33"/>
      <c r="D14" s="34"/>
      <c r="E14" s="33"/>
      <c r="F14" s="34"/>
      <c r="G14" s="133"/>
      <c r="H14" s="135"/>
      <c r="I14" s="133"/>
      <c r="J14" s="135"/>
      <c r="K14" s="133"/>
      <c r="L14" s="135"/>
      <c r="M14" s="133"/>
      <c r="N14" s="135"/>
      <c r="O14" s="133"/>
      <c r="P14" s="135"/>
      <c r="Q14" s="133"/>
      <c r="R14" s="135"/>
      <c r="S14" s="133"/>
      <c r="T14" s="135"/>
      <c r="U14" s="133"/>
      <c r="V14" s="135"/>
      <c r="W14" s="133"/>
      <c r="X14" s="135"/>
      <c r="Y14" s="133"/>
      <c r="Z14" s="135"/>
      <c r="AB14" s="668"/>
      <c r="AC14" s="1551"/>
      <c r="AE14" s="3" t="s">
        <v>29</v>
      </c>
    </row>
    <row r="15" spans="1:31" thickBot="1" x14ac:dyDescent="0.25">
      <c r="C15" s="3"/>
      <c r="D15" s="3"/>
      <c r="E15" s="3"/>
      <c r="F15" s="3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B15" s="668"/>
      <c r="AC15" s="494"/>
    </row>
    <row r="16" spans="1:31" ht="14.25" customHeight="1" thickTop="1" thickBot="1" x14ac:dyDescent="0.25">
      <c r="B16" s="340"/>
      <c r="C16" s="2013" t="s">
        <v>49</v>
      </c>
      <c r="D16" s="2014"/>
      <c r="E16" s="2015" t="s">
        <v>50</v>
      </c>
      <c r="F16" s="2015"/>
      <c r="G16" s="2002" t="s">
        <v>141</v>
      </c>
      <c r="H16" s="1982"/>
      <c r="I16" s="2002" t="s">
        <v>152</v>
      </c>
      <c r="J16" s="1974"/>
      <c r="K16" s="2002" t="s">
        <v>154</v>
      </c>
      <c r="L16" s="1974"/>
      <c r="M16" s="2002" t="s">
        <v>171</v>
      </c>
      <c r="N16" s="1982"/>
      <c r="O16" s="1974" t="s">
        <v>227</v>
      </c>
      <c r="P16" s="1982"/>
      <c r="Q16" s="1974" t="s">
        <v>237</v>
      </c>
      <c r="R16" s="1982"/>
      <c r="S16" s="1974" t="s">
        <v>272</v>
      </c>
      <c r="T16" s="1982"/>
      <c r="U16" s="1974" t="s">
        <v>274</v>
      </c>
      <c r="V16" s="1982"/>
      <c r="W16" s="1974" t="s">
        <v>280</v>
      </c>
      <c r="X16" s="1982"/>
      <c r="Y16" s="1974" t="s">
        <v>290</v>
      </c>
      <c r="Z16" s="1975"/>
      <c r="AB16" s="2003" t="s">
        <v>213</v>
      </c>
      <c r="AC16" s="2004"/>
    </row>
    <row r="17" spans="1:32" ht="12" x14ac:dyDescent="0.2">
      <c r="B17" s="73" t="s">
        <v>7</v>
      </c>
      <c r="C17" s="54"/>
      <c r="D17" s="92"/>
      <c r="E17" s="30"/>
      <c r="F17" s="30"/>
      <c r="G17" s="243"/>
      <c r="H17" s="244"/>
      <c r="I17" s="138"/>
      <c r="J17" s="138"/>
      <c r="K17" s="243"/>
      <c r="L17" s="138"/>
      <c r="M17" s="243"/>
      <c r="N17" s="244"/>
      <c r="O17" s="138"/>
      <c r="P17" s="244"/>
      <c r="Q17" s="138"/>
      <c r="R17" s="244"/>
      <c r="S17" s="138"/>
      <c r="T17" s="244"/>
      <c r="U17" s="138"/>
      <c r="V17" s="244"/>
      <c r="W17" s="138"/>
      <c r="X17" s="244"/>
      <c r="Y17" s="138"/>
      <c r="Z17" s="140"/>
      <c r="AB17" s="831"/>
      <c r="AC17" s="930"/>
    </row>
    <row r="18" spans="1:32" ht="12" x14ac:dyDescent="0.2">
      <c r="B18" s="78" t="s">
        <v>8</v>
      </c>
      <c r="C18" s="184"/>
      <c r="D18" s="93"/>
      <c r="E18" s="31"/>
      <c r="F18" s="31"/>
      <c r="G18" s="239"/>
      <c r="H18" s="245"/>
      <c r="I18" s="139"/>
      <c r="J18" s="139"/>
      <c r="K18" s="239"/>
      <c r="L18" s="139"/>
      <c r="M18" s="239"/>
      <c r="N18" s="245"/>
      <c r="O18" s="139"/>
      <c r="P18" s="245"/>
      <c r="Q18" s="139"/>
      <c r="R18" s="245"/>
      <c r="S18" s="139"/>
      <c r="T18" s="245"/>
      <c r="U18" s="139"/>
      <c r="V18" s="245"/>
      <c r="W18" s="139"/>
      <c r="X18" s="245"/>
      <c r="Y18" s="139"/>
      <c r="Z18" s="141"/>
      <c r="AB18" s="831"/>
      <c r="AC18" s="930"/>
    </row>
    <row r="19" spans="1:32" ht="12" x14ac:dyDescent="0.2">
      <c r="B19" s="78" t="s">
        <v>9</v>
      </c>
      <c r="C19" s="184"/>
      <c r="D19" s="165">
        <v>4110</v>
      </c>
      <c r="E19" s="31"/>
      <c r="F19" s="171">
        <v>3963</v>
      </c>
      <c r="G19" s="239"/>
      <c r="H19" s="261">
        <v>3939</v>
      </c>
      <c r="I19" s="139"/>
      <c r="J19" s="183">
        <v>3933</v>
      </c>
      <c r="K19" s="239"/>
      <c r="L19" s="183">
        <v>4320</v>
      </c>
      <c r="M19" s="239"/>
      <c r="N19" s="261">
        <v>4629</v>
      </c>
      <c r="O19" s="139"/>
      <c r="P19" s="261">
        <v>4431</v>
      </c>
      <c r="Q19" s="139"/>
      <c r="R19" s="261">
        <v>4413</v>
      </c>
      <c r="S19" s="139"/>
      <c r="T19" s="261">
        <v>4866</v>
      </c>
      <c r="U19" s="139"/>
      <c r="V19" s="261">
        <v>5634</v>
      </c>
      <c r="W19" s="139"/>
      <c r="X19" s="261">
        <v>5634</v>
      </c>
      <c r="Y19" s="139"/>
      <c r="Z19" s="1649"/>
      <c r="AB19" s="24"/>
      <c r="AC19" s="947">
        <f t="shared" ref="AC19:AC23" si="0">AVERAGE(X19,V19,R19,T19,P19)</f>
        <v>4995.6000000000004</v>
      </c>
    </row>
    <row r="20" spans="1:32" ht="12" x14ac:dyDescent="0.2">
      <c r="B20" s="78" t="s">
        <v>10</v>
      </c>
      <c r="C20" s="184"/>
      <c r="D20" s="165">
        <v>849</v>
      </c>
      <c r="E20" s="31"/>
      <c r="F20" s="171">
        <v>912</v>
      </c>
      <c r="G20" s="239"/>
      <c r="H20" s="261">
        <v>1029</v>
      </c>
      <c r="I20" s="139"/>
      <c r="J20" s="183">
        <v>981</v>
      </c>
      <c r="K20" s="239"/>
      <c r="L20" s="183">
        <v>993</v>
      </c>
      <c r="M20" s="239"/>
      <c r="N20" s="261">
        <v>1072</v>
      </c>
      <c r="O20" s="139"/>
      <c r="P20" s="261">
        <v>955</v>
      </c>
      <c r="Q20" s="139"/>
      <c r="R20" s="261">
        <v>897</v>
      </c>
      <c r="S20" s="139"/>
      <c r="T20" s="261">
        <v>989</v>
      </c>
      <c r="U20" s="139"/>
      <c r="V20" s="261">
        <v>992</v>
      </c>
      <c r="W20" s="139"/>
      <c r="X20" s="261">
        <v>881</v>
      </c>
      <c r="Y20" s="139"/>
      <c r="Z20" s="1649"/>
      <c r="AB20" s="12"/>
      <c r="AC20" s="947">
        <f t="shared" si="0"/>
        <v>942.8</v>
      </c>
    </row>
    <row r="21" spans="1:32" ht="12" x14ac:dyDescent="0.2">
      <c r="B21" s="78" t="s">
        <v>11</v>
      </c>
      <c r="C21" s="184"/>
      <c r="D21" s="165">
        <v>0</v>
      </c>
      <c r="E21" s="31"/>
      <c r="F21" s="171">
        <v>0</v>
      </c>
      <c r="G21" s="239"/>
      <c r="H21" s="261">
        <v>0</v>
      </c>
      <c r="I21" s="139"/>
      <c r="J21" s="183">
        <v>0</v>
      </c>
      <c r="K21" s="239"/>
      <c r="L21" s="183">
        <v>0</v>
      </c>
      <c r="M21" s="239"/>
      <c r="N21" s="261">
        <v>3</v>
      </c>
      <c r="O21" s="139"/>
      <c r="P21" s="261">
        <v>0</v>
      </c>
      <c r="Q21" s="139"/>
      <c r="R21" s="261">
        <v>4</v>
      </c>
      <c r="S21" s="139"/>
      <c r="T21" s="261">
        <v>0</v>
      </c>
      <c r="U21" s="139"/>
      <c r="V21" s="261">
        <v>0</v>
      </c>
      <c r="W21" s="139"/>
      <c r="X21" s="261">
        <v>0</v>
      </c>
      <c r="Y21" s="139"/>
      <c r="Z21" s="1649"/>
      <c r="AA21" s="955"/>
      <c r="AB21" s="31"/>
      <c r="AC21" s="947">
        <f t="shared" si="0"/>
        <v>0.8</v>
      </c>
    </row>
    <row r="22" spans="1:32" ht="12" x14ac:dyDescent="0.2">
      <c r="B22" s="78" t="s">
        <v>12</v>
      </c>
      <c r="C22" s="184"/>
      <c r="D22" s="94">
        <v>0</v>
      </c>
      <c r="E22" s="31"/>
      <c r="F22" s="39">
        <v>0</v>
      </c>
      <c r="G22" s="239"/>
      <c r="H22" s="240">
        <v>0</v>
      </c>
      <c r="I22" s="139"/>
      <c r="J22" s="241">
        <v>0</v>
      </c>
      <c r="K22" s="239"/>
      <c r="L22" s="241">
        <v>0</v>
      </c>
      <c r="M22" s="239"/>
      <c r="N22" s="240">
        <v>0</v>
      </c>
      <c r="O22" s="139"/>
      <c r="P22" s="240">
        <v>0</v>
      </c>
      <c r="Q22" s="139"/>
      <c r="R22" s="240">
        <v>0</v>
      </c>
      <c r="S22" s="139"/>
      <c r="T22" s="240">
        <v>0</v>
      </c>
      <c r="U22" s="139"/>
      <c r="V22" s="240">
        <v>0</v>
      </c>
      <c r="W22" s="139"/>
      <c r="X22" s="240">
        <v>0</v>
      </c>
      <c r="Y22" s="139"/>
      <c r="Z22" s="1650"/>
      <c r="AA22" s="955"/>
      <c r="AB22" s="31"/>
      <c r="AC22" s="947">
        <f t="shared" si="0"/>
        <v>0</v>
      </c>
    </row>
    <row r="23" spans="1:32" thickBot="1" x14ac:dyDescent="0.25">
      <c r="B23" s="79" t="s">
        <v>13</v>
      </c>
      <c r="C23" s="185"/>
      <c r="D23" s="186">
        <f>SUM(D19:D22)</f>
        <v>4959</v>
      </c>
      <c r="E23" s="90"/>
      <c r="F23" s="58">
        <f>SUM(F19:F22)</f>
        <v>4875</v>
      </c>
      <c r="G23" s="246"/>
      <c r="H23" s="247">
        <f>SUM(H19:H22)</f>
        <v>4968</v>
      </c>
      <c r="I23" s="164"/>
      <c r="J23" s="242">
        <f>SUM(J19:J22)</f>
        <v>4914</v>
      </c>
      <c r="K23" s="246"/>
      <c r="L23" s="242">
        <f>SUM(L19:L22)</f>
        <v>5313</v>
      </c>
      <c r="M23" s="246"/>
      <c r="N23" s="247">
        <f>SUM(N19:N22)</f>
        <v>5704</v>
      </c>
      <c r="O23" s="164"/>
      <c r="P23" s="247">
        <f>SUM(P19:P22)</f>
        <v>5386</v>
      </c>
      <c r="Q23" s="164"/>
      <c r="R23" s="247">
        <f>SUM(R19:R22)</f>
        <v>5314</v>
      </c>
      <c r="S23" s="164"/>
      <c r="T23" s="247">
        <f>SUM(T19:T22)</f>
        <v>5855</v>
      </c>
      <c r="U23" s="164"/>
      <c r="V23" s="247">
        <f>SUM(V19:V22)</f>
        <v>6626</v>
      </c>
      <c r="W23" s="164"/>
      <c r="X23" s="247">
        <f>SUM(X19:X22)</f>
        <v>6515</v>
      </c>
      <c r="Y23" s="164"/>
      <c r="Z23" s="1651"/>
      <c r="AA23" s="955"/>
      <c r="AB23" s="182"/>
      <c r="AC23" s="1008">
        <f t="shared" si="0"/>
        <v>5939.2</v>
      </c>
    </row>
    <row r="24" spans="1:32" customFormat="1" ht="15" customHeight="1" thickTop="1" thickBot="1" x14ac:dyDescent="0.25">
      <c r="A24" s="930"/>
      <c r="B24" s="931" t="s">
        <v>212</v>
      </c>
      <c r="C24" s="1992" t="s">
        <v>51</v>
      </c>
      <c r="D24" s="1997"/>
      <c r="E24" s="1992" t="s">
        <v>52</v>
      </c>
      <c r="F24" s="1997"/>
      <c r="G24" s="1989" t="s">
        <v>184</v>
      </c>
      <c r="H24" s="1981"/>
      <c r="I24" s="1989" t="s">
        <v>185</v>
      </c>
      <c r="J24" s="2005"/>
      <c r="K24" s="1989" t="s">
        <v>202</v>
      </c>
      <c r="L24" s="2005"/>
      <c r="M24" s="1991" t="s">
        <v>203</v>
      </c>
      <c r="N24" s="1981"/>
      <c r="O24" s="1970" t="s">
        <v>228</v>
      </c>
      <c r="P24" s="1981"/>
      <c r="Q24" s="1970" t="s">
        <v>238</v>
      </c>
      <c r="R24" s="1981"/>
      <c r="S24" s="1970" t="s">
        <v>273</v>
      </c>
      <c r="T24" s="1981"/>
      <c r="U24" s="1970" t="s">
        <v>275</v>
      </c>
      <c r="V24" s="1981"/>
      <c r="W24" s="1970" t="s">
        <v>281</v>
      </c>
      <c r="X24" s="1981"/>
      <c r="Y24" s="1970" t="s">
        <v>291</v>
      </c>
      <c r="Z24" s="1971"/>
      <c r="AA24" s="932"/>
      <c r="AB24" s="2009"/>
      <c r="AC24" s="2010"/>
      <c r="AD24" s="293"/>
      <c r="AE24" s="293"/>
      <c r="AF24" s="21"/>
    </row>
    <row r="25" spans="1:32" customFormat="1" ht="12" customHeight="1" x14ac:dyDescent="0.2">
      <c r="A25" s="930"/>
      <c r="B25" s="933" t="s">
        <v>189</v>
      </c>
      <c r="C25" s="2016">
        <v>7.0000000000000007E-2</v>
      </c>
      <c r="D25" s="2017"/>
      <c r="E25" s="1995">
        <v>8.6999999999999994E-2</v>
      </c>
      <c r="F25" s="1996"/>
      <c r="G25" s="1995">
        <v>0.08</v>
      </c>
      <c r="H25" s="1996"/>
      <c r="I25" s="1995">
        <v>8.1000000000000003E-2</v>
      </c>
      <c r="J25" s="2006"/>
      <c r="K25" s="934"/>
      <c r="L25" s="935">
        <v>7.2999999999999995E-2</v>
      </c>
      <c r="M25" s="936"/>
      <c r="N25" s="1178">
        <v>7.3999999999999996E-2</v>
      </c>
      <c r="O25" s="1176"/>
      <c r="P25" s="1178">
        <v>6.3E-2</v>
      </c>
      <c r="Q25" s="1271"/>
      <c r="R25" s="1178">
        <v>5.5E-2</v>
      </c>
      <c r="S25" s="1271"/>
      <c r="T25" s="1178">
        <v>4.1000000000000002E-2</v>
      </c>
      <c r="U25" s="1271"/>
      <c r="V25" s="1178">
        <v>2.9000000000000001E-2</v>
      </c>
      <c r="W25" s="1271"/>
      <c r="X25" s="1178">
        <v>3.5000000000000003E-2</v>
      </c>
      <c r="Y25" s="1271"/>
      <c r="Z25" s="1479">
        <v>4.1000000000000002E-2</v>
      </c>
      <c r="AA25" s="937"/>
      <c r="AB25" s="938"/>
      <c r="AC25" s="1048">
        <f t="shared" ref="AC25:AC27" si="1">AVERAGE(X25,V25,R25,T25,Z25)</f>
        <v>4.02E-2</v>
      </c>
      <c r="AD25" s="293"/>
      <c r="AE25" s="293"/>
      <c r="AF25" s="21"/>
    </row>
    <row r="26" spans="1:32" customFormat="1" ht="12" customHeight="1" x14ac:dyDescent="0.2">
      <c r="A26" s="930"/>
      <c r="B26" s="940" t="s">
        <v>190</v>
      </c>
      <c r="C26" s="2018">
        <v>0</v>
      </c>
      <c r="D26" s="2019"/>
      <c r="E26" s="2000">
        <v>0</v>
      </c>
      <c r="F26" s="2001"/>
      <c r="G26" s="2000">
        <v>0</v>
      </c>
      <c r="H26" s="2001"/>
      <c r="I26" s="2000">
        <v>0</v>
      </c>
      <c r="J26" s="2011"/>
      <c r="K26" s="941"/>
      <c r="L26" s="942">
        <v>0</v>
      </c>
      <c r="M26" s="941"/>
      <c r="N26" s="1179">
        <v>0</v>
      </c>
      <c r="O26" s="1177"/>
      <c r="P26" s="1179">
        <v>0</v>
      </c>
      <c r="Q26" s="1272"/>
      <c r="R26" s="1179">
        <v>0</v>
      </c>
      <c r="S26" s="1272"/>
      <c r="T26" s="1179">
        <v>0</v>
      </c>
      <c r="U26" s="1272"/>
      <c r="V26" s="1179">
        <v>0</v>
      </c>
      <c r="W26" s="1272"/>
      <c r="X26" s="1179">
        <v>0</v>
      </c>
      <c r="Y26" s="1272"/>
      <c r="Z26" s="1480">
        <v>0</v>
      </c>
      <c r="AA26" s="937"/>
      <c r="AB26" s="938"/>
      <c r="AC26" s="1048">
        <f t="shared" si="1"/>
        <v>0</v>
      </c>
      <c r="AD26" s="293"/>
      <c r="AE26" s="293"/>
      <c r="AF26" s="21"/>
    </row>
    <row r="27" spans="1:32" customFormat="1" ht="12.75" customHeight="1" thickBot="1" x14ac:dyDescent="0.25">
      <c r="A27" s="3"/>
      <c r="B27" s="943" t="s">
        <v>191</v>
      </c>
      <c r="C27" s="1998">
        <f>1-C25-C26</f>
        <v>0.92999999999999994</v>
      </c>
      <c r="D27" s="1999"/>
      <c r="E27" s="1998">
        <f>1-E25-E26</f>
        <v>0.91300000000000003</v>
      </c>
      <c r="F27" s="1999"/>
      <c r="G27" s="1998">
        <f>1-G25-G26</f>
        <v>0.92</v>
      </c>
      <c r="H27" s="1999"/>
      <c r="I27" s="1998">
        <f>1-I25-I26</f>
        <v>0.91900000000000004</v>
      </c>
      <c r="J27" s="1999"/>
      <c r="K27" s="1998">
        <f>1-L25-L26</f>
        <v>0.92700000000000005</v>
      </c>
      <c r="L27" s="1999"/>
      <c r="M27" s="1998">
        <f>1-N25-N26</f>
        <v>0.92600000000000005</v>
      </c>
      <c r="N27" s="1999"/>
      <c r="O27" s="1998">
        <f>1-P25-P26</f>
        <v>0.93700000000000006</v>
      </c>
      <c r="P27" s="1999"/>
      <c r="Q27" s="1972">
        <f>1-R25-R26</f>
        <v>0.94499999999999995</v>
      </c>
      <c r="R27" s="1973"/>
      <c r="S27" s="1972">
        <f>1-T25-T26</f>
        <v>0.95899999999999996</v>
      </c>
      <c r="T27" s="1973"/>
      <c r="U27" s="1972">
        <f>1-V25-V26</f>
        <v>0.97099999999999997</v>
      </c>
      <c r="V27" s="1973"/>
      <c r="W27" s="1972">
        <f>1-X25-X26</f>
        <v>0.96499999999999997</v>
      </c>
      <c r="X27" s="1973"/>
      <c r="Y27" s="1972">
        <f>1-Z25-Z26</f>
        <v>0.95899999999999996</v>
      </c>
      <c r="Z27" s="1973"/>
      <c r="AA27" s="937"/>
      <c r="AB27" s="2007">
        <f t="shared" ref="AB27" si="2">AVERAGE(W27,U27,Q27,S27,Y27)</f>
        <v>0.95979999999999988</v>
      </c>
      <c r="AC27" s="2008" t="e">
        <f t="shared" si="1"/>
        <v>#DIV/0!</v>
      </c>
      <c r="AD27" s="1050"/>
      <c r="AE27" s="293"/>
      <c r="AF27" s="21"/>
    </row>
    <row r="28" spans="1:32" thickTop="1" x14ac:dyDescent="0.2">
      <c r="B28" s="109"/>
      <c r="C28" s="110"/>
      <c r="D28" s="111"/>
      <c r="E28" s="110"/>
      <c r="F28" s="111"/>
      <c r="G28" s="146"/>
      <c r="H28" s="147"/>
      <c r="I28" s="146"/>
      <c r="J28" s="147"/>
      <c r="K28" s="146"/>
      <c r="L28" s="147"/>
      <c r="M28" s="146"/>
      <c r="N28" s="147"/>
      <c r="O28" s="146"/>
      <c r="P28" s="147"/>
      <c r="Q28" s="146"/>
      <c r="R28" s="147"/>
      <c r="S28" s="146"/>
      <c r="T28" s="147"/>
      <c r="U28" s="146"/>
      <c r="V28" s="147"/>
      <c r="W28" s="146"/>
      <c r="X28" s="147"/>
      <c r="Y28" s="146"/>
      <c r="Z28" s="147"/>
      <c r="AC28" s="578"/>
    </row>
    <row r="29" spans="1:32" x14ac:dyDescent="0.2">
      <c r="A29" s="112" t="s">
        <v>68</v>
      </c>
      <c r="B29" s="96"/>
      <c r="C29" s="28"/>
      <c r="D29" s="28"/>
      <c r="E29" s="28"/>
      <c r="F29" s="28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</row>
    <row r="30" spans="1:32" ht="13.5" thickBot="1" x14ac:dyDescent="0.25">
      <c r="A30" s="112"/>
      <c r="B30" s="96"/>
      <c r="C30" s="28"/>
      <c r="D30" s="28"/>
      <c r="E30" s="28"/>
      <c r="F30" s="28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</row>
    <row r="31" spans="1:32" ht="14.25" thickTop="1" thickBot="1" x14ac:dyDescent="0.25">
      <c r="A31" s="2"/>
      <c r="B31" s="329" t="s">
        <v>69</v>
      </c>
      <c r="C31" s="2013" t="s">
        <v>49</v>
      </c>
      <c r="D31" s="2014"/>
      <c r="E31" s="2015" t="s">
        <v>50</v>
      </c>
      <c r="F31" s="2015"/>
      <c r="G31" s="2002" t="s">
        <v>141</v>
      </c>
      <c r="H31" s="1982"/>
      <c r="I31" s="2002" t="s">
        <v>152</v>
      </c>
      <c r="J31" s="1974"/>
      <c r="K31" s="2002" t="s">
        <v>154</v>
      </c>
      <c r="L31" s="1974"/>
      <c r="M31" s="2002" t="s">
        <v>171</v>
      </c>
      <c r="N31" s="1982"/>
      <c r="O31" s="1974" t="s">
        <v>227</v>
      </c>
      <c r="P31" s="1982"/>
      <c r="Q31" s="2002" t="s">
        <v>237</v>
      </c>
      <c r="R31" s="1982"/>
      <c r="S31" s="1974" t="s">
        <v>272</v>
      </c>
      <c r="T31" s="1982"/>
      <c r="U31" s="1974" t="s">
        <v>274</v>
      </c>
      <c r="V31" s="1982"/>
      <c r="W31" s="1974" t="s">
        <v>280</v>
      </c>
      <c r="X31" s="1982"/>
      <c r="Y31" s="1974" t="s">
        <v>290</v>
      </c>
      <c r="Z31" s="1975"/>
      <c r="AA31" s="955"/>
      <c r="AB31" s="2015" t="s">
        <v>213</v>
      </c>
      <c r="AC31" s="2004"/>
    </row>
    <row r="32" spans="1:32" x14ac:dyDescent="0.2">
      <c r="A32" s="2"/>
      <c r="B32" s="330" t="s">
        <v>70</v>
      </c>
      <c r="C32" s="184"/>
      <c r="D32" s="93"/>
      <c r="E32" s="31"/>
      <c r="F32" s="31"/>
      <c r="G32" s="239"/>
      <c r="H32" s="245"/>
      <c r="I32" s="138"/>
      <c r="J32" s="138"/>
      <c r="K32" s="243"/>
      <c r="L32" s="138"/>
      <c r="M32" s="243"/>
      <c r="N32" s="244"/>
      <c r="O32" s="138"/>
      <c r="P32" s="244"/>
      <c r="Q32" s="138"/>
      <c r="R32" s="248"/>
      <c r="S32" s="138"/>
      <c r="T32" s="244"/>
      <c r="U32" s="138"/>
      <c r="V32" s="244"/>
      <c r="W32" s="138"/>
      <c r="X32" s="244"/>
      <c r="Y32" s="138"/>
      <c r="Z32" s="140"/>
      <c r="AA32" s="955"/>
      <c r="AB32" s="28"/>
      <c r="AC32" s="930"/>
    </row>
    <row r="33" spans="1:29" x14ac:dyDescent="0.2">
      <c r="A33" s="2"/>
      <c r="B33" s="331" t="s">
        <v>71</v>
      </c>
      <c r="C33" s="54"/>
      <c r="D33" s="188">
        <v>528015</v>
      </c>
      <c r="E33" s="30"/>
      <c r="F33" s="205">
        <v>617160</v>
      </c>
      <c r="G33" s="243"/>
      <c r="H33" s="416">
        <v>774148</v>
      </c>
      <c r="I33" s="138"/>
      <c r="J33" s="451">
        <v>805365</v>
      </c>
      <c r="K33" s="243"/>
      <c r="L33" s="451">
        <v>850977</v>
      </c>
      <c r="M33" s="243"/>
      <c r="N33" s="416">
        <v>880829</v>
      </c>
      <c r="O33" s="138"/>
      <c r="P33" s="416">
        <v>865519</v>
      </c>
      <c r="Q33" s="138"/>
      <c r="R33" s="416">
        <v>886598</v>
      </c>
      <c r="S33" s="138"/>
      <c r="T33" s="416">
        <v>911389</v>
      </c>
      <c r="U33" s="138"/>
      <c r="V33" s="416">
        <v>895138</v>
      </c>
      <c r="W33" s="138"/>
      <c r="X33" s="416">
        <v>902888</v>
      </c>
      <c r="Y33" s="138"/>
      <c r="Z33" s="294">
        <v>1057298</v>
      </c>
      <c r="AA33" s="955"/>
      <c r="AB33" s="30"/>
      <c r="AC33" s="947">
        <f>AVERAGE(X33,V33,R33,T33,Z33)</f>
        <v>930662.2</v>
      </c>
    </row>
    <row r="34" spans="1:29" x14ac:dyDescent="0.2">
      <c r="A34" s="2"/>
      <c r="B34" s="331" t="s">
        <v>247</v>
      </c>
      <c r="C34" s="54"/>
      <c r="D34" s="188"/>
      <c r="E34" s="30"/>
      <c r="F34" s="205"/>
      <c r="G34" s="243"/>
      <c r="H34" s="416"/>
      <c r="I34" s="138"/>
      <c r="J34" s="451"/>
      <c r="K34" s="243"/>
      <c r="L34" s="451"/>
      <c r="M34" s="243"/>
      <c r="N34" s="416"/>
      <c r="O34" s="138"/>
      <c r="P34" s="416"/>
      <c r="Q34" s="138"/>
      <c r="R34" s="416"/>
      <c r="S34" s="138"/>
      <c r="T34" s="416"/>
      <c r="U34" s="138"/>
      <c r="V34" s="416"/>
      <c r="W34" s="138"/>
      <c r="X34" s="416"/>
      <c r="Y34" s="138"/>
      <c r="Z34" s="294"/>
      <c r="AA34" s="955"/>
      <c r="AB34" s="30"/>
      <c r="AC34" s="947"/>
    </row>
    <row r="35" spans="1:29" ht="36" x14ac:dyDescent="0.2">
      <c r="A35" s="2"/>
      <c r="B35" s="332" t="s">
        <v>248</v>
      </c>
      <c r="C35" s="184"/>
      <c r="D35" s="189"/>
      <c r="E35" s="31"/>
      <c r="F35" s="206"/>
      <c r="G35" s="239"/>
      <c r="H35" s="369"/>
      <c r="I35" s="139"/>
      <c r="J35" s="347"/>
      <c r="K35" s="239"/>
      <c r="L35" s="347"/>
      <c r="M35" s="239"/>
      <c r="N35" s="369"/>
      <c r="O35" s="139"/>
      <c r="P35" s="369">
        <v>60766</v>
      </c>
      <c r="Q35" s="139"/>
      <c r="R35" s="369">
        <v>61572</v>
      </c>
      <c r="S35" s="139"/>
      <c r="T35" s="369">
        <v>288606</v>
      </c>
      <c r="U35" s="139"/>
      <c r="V35" s="369">
        <v>332729</v>
      </c>
      <c r="W35" s="139"/>
      <c r="X35" s="369">
        <v>442103</v>
      </c>
      <c r="Y35" s="139"/>
      <c r="Z35" s="282">
        <v>438512</v>
      </c>
      <c r="AA35" s="955"/>
      <c r="AB35" s="31"/>
      <c r="AC35" s="947">
        <f t="shared" ref="AC35:AC36" si="3">AVERAGE(X35,V35,R35,T35,Z35)</f>
        <v>312704.40000000002</v>
      </c>
    </row>
    <row r="36" spans="1:29" x14ac:dyDescent="0.2">
      <c r="A36" s="2"/>
      <c r="B36" s="333" t="s">
        <v>72</v>
      </c>
      <c r="C36" s="187"/>
      <c r="D36" s="190">
        <f>SUM(D33:D35)</f>
        <v>528015</v>
      </c>
      <c r="E36" s="90"/>
      <c r="F36" s="207">
        <f>SUM(F33:F35)</f>
        <v>617160</v>
      </c>
      <c r="G36" s="262"/>
      <c r="H36" s="263">
        <f>SUM(H33:H35)</f>
        <v>774148</v>
      </c>
      <c r="I36" s="250"/>
      <c r="J36" s="249">
        <f>SUM(J33:J35)</f>
        <v>805365</v>
      </c>
      <c r="K36" s="262"/>
      <c r="L36" s="249">
        <f>SUM(L33:L35)</f>
        <v>850977</v>
      </c>
      <c r="M36" s="262"/>
      <c r="N36" s="263">
        <f>SUM(N33:N35)</f>
        <v>880829</v>
      </c>
      <c r="O36" s="250"/>
      <c r="P36" s="263">
        <f>SUM(P33:P35)</f>
        <v>926285</v>
      </c>
      <c r="Q36" s="250"/>
      <c r="R36" s="263">
        <f>SUM(R33:R35)</f>
        <v>948170</v>
      </c>
      <c r="S36" s="250"/>
      <c r="T36" s="263">
        <f>SUM(T33:T35)</f>
        <v>1199995</v>
      </c>
      <c r="U36" s="250"/>
      <c r="V36" s="263">
        <f>SUM(V33:V35)</f>
        <v>1227867</v>
      </c>
      <c r="W36" s="250"/>
      <c r="X36" s="263">
        <f>SUM(X33:X35)</f>
        <v>1344991</v>
      </c>
      <c r="Y36" s="250"/>
      <c r="Z36" s="149">
        <f>SUM(Z33:Z35)</f>
        <v>1495810</v>
      </c>
      <c r="AA36" s="955"/>
      <c r="AB36" s="31"/>
      <c r="AC36" s="1008">
        <f t="shared" si="3"/>
        <v>1243366.6000000001</v>
      </c>
    </row>
    <row r="37" spans="1:29" x14ac:dyDescent="0.2">
      <c r="A37" s="2"/>
      <c r="B37" s="330" t="s">
        <v>73</v>
      </c>
      <c r="C37" s="184"/>
      <c r="D37" s="189"/>
      <c r="E37" s="31"/>
      <c r="F37" s="206"/>
      <c r="G37" s="239"/>
      <c r="H37" s="369"/>
      <c r="I37" s="139"/>
      <c r="J37" s="347"/>
      <c r="K37" s="239"/>
      <c r="L37" s="347"/>
      <c r="M37" s="239"/>
      <c r="N37" s="369"/>
      <c r="O37" s="139"/>
      <c r="P37" s="369"/>
      <c r="Q37" s="139"/>
      <c r="R37" s="369"/>
      <c r="S37" s="139"/>
      <c r="T37" s="369"/>
      <c r="U37" s="139"/>
      <c r="V37" s="369"/>
      <c r="W37" s="139"/>
      <c r="X37" s="369"/>
      <c r="Y37" s="139"/>
      <c r="Z37" s="282"/>
      <c r="AA37" s="955"/>
      <c r="AB37" s="31"/>
      <c r="AC37" s="947"/>
    </row>
    <row r="38" spans="1:29" x14ac:dyDescent="0.2">
      <c r="A38" s="2"/>
      <c r="B38" s="331" t="s">
        <v>71</v>
      </c>
      <c r="C38" s="184"/>
      <c r="D38" s="189"/>
      <c r="E38" s="31"/>
      <c r="F38" s="206"/>
      <c r="G38" s="239"/>
      <c r="H38" s="369"/>
      <c r="I38" s="139"/>
      <c r="J38" s="347"/>
      <c r="K38" s="239"/>
      <c r="L38" s="347"/>
      <c r="M38" s="239"/>
      <c r="N38" s="369"/>
      <c r="O38" s="139"/>
      <c r="P38" s="369"/>
      <c r="Q38" s="139"/>
      <c r="R38" s="369"/>
      <c r="S38" s="139"/>
      <c r="T38" s="369"/>
      <c r="U38" s="139"/>
      <c r="V38" s="369"/>
      <c r="W38" s="139"/>
      <c r="X38" s="369"/>
      <c r="Y38" s="139"/>
      <c r="Z38" s="282"/>
      <c r="AA38" s="955"/>
      <c r="AB38" s="31"/>
      <c r="AC38" s="947"/>
    </row>
    <row r="39" spans="1:29" x14ac:dyDescent="0.2">
      <c r="A39" s="2"/>
      <c r="B39" s="331" t="s">
        <v>247</v>
      </c>
      <c r="C39" s="184"/>
      <c r="D39" s="189"/>
      <c r="E39" s="31"/>
      <c r="F39" s="206"/>
      <c r="G39" s="239"/>
      <c r="H39" s="369"/>
      <c r="I39" s="139"/>
      <c r="J39" s="347"/>
      <c r="K39" s="239"/>
      <c r="L39" s="347"/>
      <c r="M39" s="239"/>
      <c r="N39" s="369"/>
      <c r="O39" s="139"/>
      <c r="P39" s="369"/>
      <c r="Q39" s="139"/>
      <c r="R39" s="369"/>
      <c r="S39" s="139"/>
      <c r="T39" s="369"/>
      <c r="U39" s="139"/>
      <c r="V39" s="369"/>
      <c r="W39" s="139"/>
      <c r="X39" s="369"/>
      <c r="Y39" s="139"/>
      <c r="Z39" s="282"/>
      <c r="AA39" s="955"/>
      <c r="AB39" s="31"/>
      <c r="AC39" s="947"/>
    </row>
    <row r="40" spans="1:29" ht="36" x14ac:dyDescent="0.2">
      <c r="A40" s="2"/>
      <c r="B40" s="332" t="s">
        <v>248</v>
      </c>
      <c r="C40" s="184"/>
      <c r="D40" s="189"/>
      <c r="E40" s="31"/>
      <c r="F40" s="206"/>
      <c r="G40" s="239"/>
      <c r="H40" s="369"/>
      <c r="I40" s="139"/>
      <c r="J40" s="347"/>
      <c r="K40" s="239"/>
      <c r="L40" s="347"/>
      <c r="M40" s="239"/>
      <c r="N40" s="369"/>
      <c r="O40" s="139"/>
      <c r="P40" s="369"/>
      <c r="Q40" s="139"/>
      <c r="R40" s="369"/>
      <c r="S40" s="139"/>
      <c r="T40" s="369"/>
      <c r="U40" s="139"/>
      <c r="V40" s="369"/>
      <c r="W40" s="139"/>
      <c r="X40" s="369"/>
      <c r="Y40" s="139"/>
      <c r="Z40" s="282"/>
      <c r="AA40" s="955"/>
      <c r="AB40" s="31"/>
      <c r="AC40" s="947"/>
    </row>
    <row r="41" spans="1:29" x14ac:dyDescent="0.2">
      <c r="A41" s="2"/>
      <c r="B41" s="851" t="s">
        <v>74</v>
      </c>
      <c r="C41" s="262"/>
      <c r="D41" s="263">
        <f>SUM(D38:D40)</f>
        <v>0</v>
      </c>
      <c r="E41" s="90"/>
      <c r="F41" s="207">
        <f>SUM(F38:F40)</f>
        <v>0</v>
      </c>
      <c r="G41" s="262"/>
      <c r="H41" s="263">
        <f>SUM(H38:H40)</f>
        <v>0</v>
      </c>
      <c r="I41" s="250"/>
      <c r="J41" s="249">
        <f>SUM(J38:J40)</f>
        <v>0</v>
      </c>
      <c r="K41" s="262"/>
      <c r="L41" s="249">
        <f>SUM(L38:L40)</f>
        <v>0</v>
      </c>
      <c r="M41" s="262"/>
      <c r="N41" s="263">
        <f>SUM(N38:N40)</f>
        <v>0</v>
      </c>
      <c r="O41" s="250"/>
      <c r="P41" s="263">
        <f>SUM(P38:P40)</f>
        <v>0</v>
      </c>
      <c r="Q41" s="250"/>
      <c r="R41" s="263">
        <f>SUM(R38:R40)</f>
        <v>0</v>
      </c>
      <c r="S41" s="250"/>
      <c r="T41" s="263">
        <f>SUM(T38:T40)</f>
        <v>0</v>
      </c>
      <c r="U41" s="250"/>
      <c r="V41" s="263">
        <f>SUM(V38:V40)</f>
        <v>0</v>
      </c>
      <c r="W41" s="250"/>
      <c r="X41" s="263">
        <f>SUM(X38:X40)</f>
        <v>0</v>
      </c>
      <c r="Y41" s="250"/>
      <c r="Z41" s="149">
        <f>SUM(Z38:Z40)</f>
        <v>0</v>
      </c>
      <c r="AA41" s="955"/>
      <c r="AB41" s="31"/>
      <c r="AC41" s="1008">
        <f t="shared" ref="AC41:AC42" si="4">AVERAGE(X41,V41,R41,T41,Z41)</f>
        <v>0</v>
      </c>
    </row>
    <row r="42" spans="1:29" ht="13.5" thickBot="1" x14ac:dyDescent="0.25">
      <c r="A42" s="2"/>
      <c r="B42" s="1328" t="s">
        <v>75</v>
      </c>
      <c r="C42" s="239"/>
      <c r="D42" s="263">
        <f>SUM(D36,D41)</f>
        <v>528015</v>
      </c>
      <c r="E42" s="31"/>
      <c r="F42" s="207">
        <f>SUM(F36,F41)</f>
        <v>617160</v>
      </c>
      <c r="G42" s="239"/>
      <c r="H42" s="263">
        <f>SUM(H36,H41)</f>
        <v>774148</v>
      </c>
      <c r="I42" s="139"/>
      <c r="J42" s="249">
        <f>SUM(J36,J41)</f>
        <v>805365</v>
      </c>
      <c r="K42" s="239"/>
      <c r="L42" s="249">
        <f>SUM(L36,L41)</f>
        <v>850977</v>
      </c>
      <c r="M42" s="239"/>
      <c r="N42" s="263">
        <f>SUM(N36,N41)</f>
        <v>880829</v>
      </c>
      <c r="O42" s="139"/>
      <c r="P42" s="263">
        <f>SUM(P36,P41)</f>
        <v>926285</v>
      </c>
      <c r="Q42" s="139"/>
      <c r="R42" s="263">
        <f>SUM(R36,R41)</f>
        <v>948170</v>
      </c>
      <c r="S42" s="139"/>
      <c r="T42" s="263">
        <f>SUM(T36,T41)</f>
        <v>1199995</v>
      </c>
      <c r="U42" s="139"/>
      <c r="V42" s="263">
        <f>SUM(V36,V41)</f>
        <v>1227867</v>
      </c>
      <c r="W42" s="139"/>
      <c r="X42" s="263">
        <f>SUM(X36,X41)</f>
        <v>1344991</v>
      </c>
      <c r="Y42" s="139"/>
      <c r="Z42" s="149">
        <f>SUM(Z36,Z41)</f>
        <v>1495810</v>
      </c>
      <c r="AA42" s="955"/>
      <c r="AB42" s="327"/>
      <c r="AC42" s="1008">
        <f t="shared" si="4"/>
        <v>1243366.6000000001</v>
      </c>
    </row>
    <row r="43" spans="1:29" ht="12" x14ac:dyDescent="0.2">
      <c r="B43" s="586" t="s">
        <v>259</v>
      </c>
      <c r="C43" s="265"/>
      <c r="D43" s="248"/>
      <c r="E43" s="36"/>
      <c r="F43" s="36"/>
      <c r="G43" s="265"/>
      <c r="H43" s="248"/>
      <c r="I43" s="151"/>
      <c r="J43" s="151"/>
      <c r="K43" s="265"/>
      <c r="L43" s="151"/>
      <c r="M43" s="265"/>
      <c r="N43" s="248"/>
      <c r="O43" s="151"/>
      <c r="P43" s="248"/>
      <c r="Q43" s="151"/>
      <c r="R43" s="248"/>
      <c r="S43" s="151"/>
      <c r="T43" s="248"/>
      <c r="U43" s="151"/>
      <c r="V43" s="248"/>
      <c r="W43" s="151"/>
      <c r="X43" s="248"/>
      <c r="Y43" s="151"/>
      <c r="Z43" s="152"/>
      <c r="AA43" s="955"/>
      <c r="AB43" s="28"/>
      <c r="AC43" s="978"/>
    </row>
    <row r="44" spans="1:29" ht="12" x14ac:dyDescent="0.2">
      <c r="B44" s="161" t="s">
        <v>14</v>
      </c>
      <c r="C44" s="266"/>
      <c r="D44" s="460">
        <f>94663+551895</f>
        <v>646558</v>
      </c>
      <c r="E44" s="38"/>
      <c r="F44" s="458">
        <v>727793</v>
      </c>
      <c r="G44" s="432"/>
      <c r="H44" s="433">
        <v>822451.42</v>
      </c>
      <c r="I44" s="463"/>
      <c r="J44" s="458">
        <v>858266.16</v>
      </c>
      <c r="K44" s="432"/>
      <c r="L44" s="826">
        <f>47850+4465+866348</f>
        <v>918663</v>
      </c>
      <c r="M44" s="432"/>
      <c r="N44" s="510">
        <v>938906</v>
      </c>
      <c r="O44" s="463"/>
      <c r="P44" s="510">
        <v>893574</v>
      </c>
      <c r="Q44" s="252"/>
      <c r="R44" s="510">
        <v>965274</v>
      </c>
      <c r="S44" s="252"/>
      <c r="T44" s="510">
        <v>1129694</v>
      </c>
      <c r="U44" s="252"/>
      <c r="V44" s="510">
        <v>1087124</v>
      </c>
      <c r="W44" s="252"/>
      <c r="X44" s="510">
        <v>1166794.3899999999</v>
      </c>
      <c r="Y44" s="252"/>
      <c r="Z44" s="1584"/>
      <c r="AA44" s="955"/>
      <c r="AB44" s="30"/>
      <c r="AC44" s="949">
        <f>AVERAGE(X44,V44,R44,T44,P44)</f>
        <v>1048492.078</v>
      </c>
    </row>
    <row r="45" spans="1:29" thickBot="1" x14ac:dyDescent="0.25">
      <c r="B45" s="1265" t="s">
        <v>15</v>
      </c>
      <c r="C45" s="268"/>
      <c r="D45" s="467">
        <v>0</v>
      </c>
      <c r="E45" s="40"/>
      <c r="F45" s="208">
        <v>0</v>
      </c>
      <c r="G45" s="268"/>
      <c r="H45" s="208">
        <v>0</v>
      </c>
      <c r="I45" s="237"/>
      <c r="J45" s="208">
        <v>0</v>
      </c>
      <c r="K45" s="596"/>
      <c r="L45" s="827">
        <v>0</v>
      </c>
      <c r="M45" s="596"/>
      <c r="N45" s="509">
        <v>0</v>
      </c>
      <c r="O45" s="237"/>
      <c r="P45" s="509">
        <v>0</v>
      </c>
      <c r="Q45" s="253"/>
      <c r="R45" s="509">
        <v>0</v>
      </c>
      <c r="S45" s="253"/>
      <c r="T45" s="509">
        <v>0</v>
      </c>
      <c r="U45" s="253"/>
      <c r="V45" s="509">
        <v>0</v>
      </c>
      <c r="W45" s="253"/>
      <c r="X45" s="509">
        <v>0</v>
      </c>
      <c r="Y45" s="253"/>
      <c r="Z45" s="1580"/>
      <c r="AA45" s="955"/>
      <c r="AB45" s="113"/>
      <c r="AC45" s="949">
        <f>AVERAGE(X45,V45,R45,T45,P45)</f>
        <v>0</v>
      </c>
    </row>
    <row r="46" spans="1:29" ht="12" x14ac:dyDescent="0.2">
      <c r="B46" s="1553"/>
      <c r="C46" s="308" t="s">
        <v>133</v>
      </c>
      <c r="D46" s="417" t="s">
        <v>139</v>
      </c>
      <c r="E46" s="166" t="s">
        <v>133</v>
      </c>
      <c r="F46" s="194" t="s">
        <v>139</v>
      </c>
      <c r="G46" s="166" t="s">
        <v>133</v>
      </c>
      <c r="H46" s="194" t="s">
        <v>139</v>
      </c>
      <c r="I46" s="166" t="s">
        <v>133</v>
      </c>
      <c r="J46" s="84" t="s">
        <v>139</v>
      </c>
      <c r="K46" s="380" t="s">
        <v>133</v>
      </c>
      <c r="L46" s="84" t="s">
        <v>139</v>
      </c>
      <c r="M46" s="386" t="s">
        <v>133</v>
      </c>
      <c r="N46" s="417" t="s">
        <v>139</v>
      </c>
      <c r="O46" s="352" t="s">
        <v>133</v>
      </c>
      <c r="P46" s="417" t="s">
        <v>139</v>
      </c>
      <c r="Q46" s="84" t="s">
        <v>133</v>
      </c>
      <c r="R46" s="194" t="s">
        <v>139</v>
      </c>
      <c r="S46" s="84" t="s">
        <v>133</v>
      </c>
      <c r="T46" s="194" t="s">
        <v>139</v>
      </c>
      <c r="U46" s="84" t="s">
        <v>133</v>
      </c>
      <c r="V46" s="194" t="s">
        <v>139</v>
      </c>
      <c r="W46" s="352" t="s">
        <v>133</v>
      </c>
      <c r="X46" s="417" t="s">
        <v>139</v>
      </c>
      <c r="Y46" s="84" t="s">
        <v>133</v>
      </c>
      <c r="Z46" s="84" t="s">
        <v>139</v>
      </c>
      <c r="AA46" s="955"/>
      <c r="AB46" s="323" t="s">
        <v>133</v>
      </c>
      <c r="AC46" s="295" t="s">
        <v>139</v>
      </c>
    </row>
    <row r="47" spans="1:29" ht="11.45" customHeight="1" x14ac:dyDescent="0.2">
      <c r="B47" s="80" t="s">
        <v>67</v>
      </c>
      <c r="C47" s="475">
        <v>0</v>
      </c>
      <c r="D47" s="1135">
        <v>0</v>
      </c>
      <c r="E47" s="108">
        <v>0</v>
      </c>
      <c r="F47" s="1135">
        <v>0</v>
      </c>
      <c r="G47" s="108">
        <v>0</v>
      </c>
      <c r="H47" s="1135">
        <v>0</v>
      </c>
      <c r="I47" s="477">
        <v>2</v>
      </c>
      <c r="J47" s="252">
        <v>34000</v>
      </c>
      <c r="K47" s="532">
        <v>0</v>
      </c>
      <c r="L47" s="1123">
        <v>0</v>
      </c>
      <c r="M47" s="476">
        <v>2</v>
      </c>
      <c r="N47" s="510">
        <v>150660</v>
      </c>
      <c r="O47" s="532">
        <v>0</v>
      </c>
      <c r="P47" s="1140">
        <v>0</v>
      </c>
      <c r="Q47" s="532">
        <v>1</v>
      </c>
      <c r="R47" s="1140">
        <v>197451</v>
      </c>
      <c r="S47" s="532">
        <v>1</v>
      </c>
      <c r="T47" s="1140">
        <v>8996</v>
      </c>
      <c r="U47" s="532">
        <v>1</v>
      </c>
      <c r="V47" s="1140">
        <v>26198</v>
      </c>
      <c r="W47" s="532">
        <v>1</v>
      </c>
      <c r="X47" s="1140">
        <v>25728</v>
      </c>
      <c r="Y47" s="1592"/>
      <c r="Z47" s="1593"/>
      <c r="AA47" s="1124"/>
      <c r="AB47" s="108">
        <f>AVERAGE(W47,U47,Q47,S47,O47)</f>
        <v>0.8</v>
      </c>
      <c r="AC47" s="1125">
        <f>AVERAGE(X47,V47,R47,T47,P47)</f>
        <v>51674.6</v>
      </c>
    </row>
    <row r="48" spans="1:29" ht="11.45" customHeight="1" x14ac:dyDescent="0.2">
      <c r="B48" s="80"/>
      <c r="C48" s="916"/>
      <c r="D48" s="1136"/>
      <c r="E48" s="838"/>
      <c r="F48" s="1135"/>
      <c r="G48" s="838"/>
      <c r="H48" s="1136"/>
      <c r="I48" s="255"/>
      <c r="J48" s="1128"/>
      <c r="K48" s="530"/>
      <c r="L48" s="1129"/>
      <c r="M48" s="551"/>
      <c r="N48" s="1127"/>
      <c r="O48" s="530"/>
      <c r="P48" s="1266"/>
      <c r="Q48" s="530"/>
      <c r="R48" s="1266"/>
      <c r="S48" s="530"/>
      <c r="T48" s="1266"/>
      <c r="U48" s="530"/>
      <c r="V48" s="1266"/>
      <c r="W48" s="530"/>
      <c r="X48" s="1266"/>
      <c r="Y48" s="1594"/>
      <c r="Z48" s="1595"/>
      <c r="AA48" s="1124"/>
      <c r="AB48" s="1013"/>
      <c r="AC48" s="1120"/>
    </row>
    <row r="49" spans="1:29" thickBot="1" x14ac:dyDescent="0.25">
      <c r="B49" s="167" t="s">
        <v>16</v>
      </c>
      <c r="C49" s="913">
        <v>0</v>
      </c>
      <c r="D49" s="1137">
        <v>0</v>
      </c>
      <c r="E49" s="839">
        <v>0</v>
      </c>
      <c r="F49" s="1138">
        <v>0</v>
      </c>
      <c r="G49" s="839">
        <v>0</v>
      </c>
      <c r="H49" s="1138">
        <v>0</v>
      </c>
      <c r="I49" s="550">
        <v>0</v>
      </c>
      <c r="J49" s="1138">
        <v>0</v>
      </c>
      <c r="K49" s="552">
        <v>1</v>
      </c>
      <c r="L49" s="253">
        <v>34000</v>
      </c>
      <c r="M49" s="552">
        <v>0</v>
      </c>
      <c r="N49" s="1138">
        <v>0</v>
      </c>
      <c r="O49" s="552">
        <v>0</v>
      </c>
      <c r="P49" s="1152">
        <v>0</v>
      </c>
      <c r="Q49" s="552">
        <v>0</v>
      </c>
      <c r="R49" s="1152">
        <v>0</v>
      </c>
      <c r="S49" s="552">
        <v>0</v>
      </c>
      <c r="T49" s="1152">
        <v>0</v>
      </c>
      <c r="U49" s="552">
        <v>0</v>
      </c>
      <c r="V49" s="1152">
        <v>0</v>
      </c>
      <c r="W49" s="552">
        <v>0</v>
      </c>
      <c r="X49" s="1152">
        <v>0</v>
      </c>
      <c r="Y49" s="1596"/>
      <c r="Z49" s="1600"/>
      <c r="AA49" s="1124"/>
      <c r="AB49" s="839">
        <f>AVERAGE(W49,U49,Q49,S49,O49)</f>
        <v>0</v>
      </c>
      <c r="AC49" s="1121">
        <f>AVERAGE(X49,V49,R49,T49,P49)</f>
        <v>0</v>
      </c>
    </row>
    <row r="50" spans="1:29" thickTop="1" x14ac:dyDescent="0.2">
      <c r="B50" s="81" t="s">
        <v>84</v>
      </c>
      <c r="C50" s="199"/>
      <c r="D50" s="209"/>
      <c r="E50" s="45"/>
      <c r="F50" s="323"/>
      <c r="G50" s="269"/>
      <c r="H50" s="419"/>
      <c r="I50" s="156"/>
      <c r="J50" s="307"/>
      <c r="K50" s="269"/>
      <c r="L50" s="307"/>
      <c r="M50" s="269"/>
      <c r="N50" s="419"/>
      <c r="O50" s="156"/>
      <c r="P50" s="419"/>
      <c r="Q50" s="156"/>
      <c r="R50" s="419"/>
      <c r="S50" s="156"/>
      <c r="T50" s="419"/>
      <c r="U50" s="156"/>
      <c r="V50" s="419"/>
      <c r="W50" s="156"/>
      <c r="X50" s="419"/>
      <c r="Y50" s="156"/>
      <c r="Z50" s="158"/>
      <c r="AA50" s="955"/>
      <c r="AB50" s="109"/>
      <c r="AC50" s="1030"/>
    </row>
    <row r="51" spans="1:29" ht="12" x14ac:dyDescent="0.2">
      <c r="B51" s="337" t="s">
        <v>35</v>
      </c>
      <c r="C51" s="201"/>
      <c r="D51" s="210"/>
      <c r="E51" s="97"/>
      <c r="F51" s="34"/>
      <c r="G51" s="271"/>
      <c r="H51" s="420"/>
      <c r="I51" s="157"/>
      <c r="J51" s="135"/>
      <c r="K51" s="271"/>
      <c r="L51" s="135"/>
      <c r="M51" s="271"/>
      <c r="N51" s="420"/>
      <c r="O51" s="157"/>
      <c r="P51" s="420"/>
      <c r="Q51" s="157"/>
      <c r="R51" s="420"/>
      <c r="S51" s="157"/>
      <c r="T51" s="420"/>
      <c r="U51" s="157"/>
      <c r="V51" s="420"/>
      <c r="W51" s="157"/>
      <c r="X51" s="420"/>
      <c r="Y51" s="157"/>
      <c r="Z51" s="287"/>
      <c r="AA51" s="955"/>
      <c r="AB51" s="720"/>
      <c r="AC51" s="1011"/>
    </row>
    <row r="52" spans="1:29" ht="12" x14ac:dyDescent="0.2">
      <c r="B52" s="338" t="s">
        <v>85</v>
      </c>
      <c r="C52" s="202"/>
      <c r="D52" s="232">
        <v>2550</v>
      </c>
      <c r="E52" s="35"/>
      <c r="F52" s="345">
        <v>2520</v>
      </c>
      <c r="G52" s="272"/>
      <c r="H52" s="503">
        <v>3710</v>
      </c>
      <c r="I52" s="553"/>
      <c r="J52" s="555">
        <v>5760</v>
      </c>
      <c r="K52" s="559"/>
      <c r="L52" s="540">
        <v>2990</v>
      </c>
      <c r="M52" s="559"/>
      <c r="N52" s="546">
        <v>1305</v>
      </c>
      <c r="O52" s="553"/>
      <c r="P52" s="546">
        <v>3510</v>
      </c>
      <c r="Q52" s="553"/>
      <c r="R52" s="546">
        <v>3400</v>
      </c>
      <c r="S52" s="553"/>
      <c r="T52" s="546">
        <v>4230</v>
      </c>
      <c r="U52" s="553"/>
      <c r="V52" s="546">
        <v>2549.73</v>
      </c>
      <c r="W52" s="553"/>
      <c r="X52" s="546">
        <v>3799.83</v>
      </c>
      <c r="Y52" s="553"/>
      <c r="Z52" s="1577"/>
      <c r="AB52" s="1038"/>
      <c r="AC52" s="949">
        <f>AVERAGE(X52,V52,R52,T52,P52)</f>
        <v>3497.9119999999994</v>
      </c>
    </row>
    <row r="53" spans="1:29" thickBot="1" x14ac:dyDescent="0.25">
      <c r="B53" s="361" t="s">
        <v>86</v>
      </c>
      <c r="C53" s="204"/>
      <c r="D53" s="211">
        <v>0</v>
      </c>
      <c r="E53" s="37"/>
      <c r="F53" s="324">
        <v>0</v>
      </c>
      <c r="G53" s="274"/>
      <c r="H53" s="324">
        <v>0</v>
      </c>
      <c r="I53" s="274"/>
      <c r="J53" s="324">
        <v>0</v>
      </c>
      <c r="K53" s="274"/>
      <c r="L53" s="324">
        <v>0</v>
      </c>
      <c r="M53" s="274"/>
      <c r="N53" s="485">
        <v>0</v>
      </c>
      <c r="O53" s="260"/>
      <c r="P53" s="485">
        <v>0</v>
      </c>
      <c r="Q53" s="260"/>
      <c r="R53" s="485">
        <v>0</v>
      </c>
      <c r="S53" s="260"/>
      <c r="T53" s="485">
        <v>0</v>
      </c>
      <c r="U53" s="260"/>
      <c r="V53" s="485">
        <v>0</v>
      </c>
      <c r="W53" s="260"/>
      <c r="X53" s="485">
        <v>0</v>
      </c>
      <c r="Y53" s="260"/>
      <c r="Z53" s="1578"/>
      <c r="AB53" s="1015"/>
      <c r="AC53" s="1024">
        <f t="shared" ref="AC53" si="5">AVERAGE(X53,V53,R53,T53,P53)</f>
        <v>0</v>
      </c>
    </row>
    <row r="54" spans="1:29" thickTop="1" x14ac:dyDescent="0.2">
      <c r="B54" s="96"/>
      <c r="C54" s="97"/>
      <c r="D54" s="98"/>
      <c r="E54" s="97"/>
      <c r="F54" s="34"/>
      <c r="G54" s="157"/>
      <c r="H54" s="135"/>
      <c r="I54" s="157"/>
      <c r="J54" s="135"/>
      <c r="K54" s="157"/>
      <c r="L54" s="135"/>
      <c r="M54" s="157"/>
      <c r="N54" s="135"/>
      <c r="O54" s="157"/>
      <c r="P54" s="135"/>
      <c r="Q54" s="157"/>
      <c r="R54" s="135"/>
      <c r="S54" s="157"/>
      <c r="T54" s="135"/>
      <c r="U54" s="157"/>
      <c r="V54" s="135"/>
      <c r="W54" s="157"/>
      <c r="X54" s="135"/>
      <c r="Y54" s="157"/>
      <c r="Z54" s="135"/>
    </row>
    <row r="55" spans="1:29" x14ac:dyDescent="0.2">
      <c r="A55" s="2" t="s">
        <v>76</v>
      </c>
      <c r="B55" s="96"/>
      <c r="C55" s="97"/>
      <c r="D55" s="98"/>
      <c r="E55" s="97"/>
      <c r="F55" s="34"/>
      <c r="G55" s="157"/>
      <c r="H55" s="135"/>
      <c r="I55" s="157"/>
      <c r="J55" s="135"/>
      <c r="K55" s="157"/>
      <c r="L55" s="135"/>
      <c r="M55" s="157"/>
      <c r="N55" s="135"/>
      <c r="O55" s="157"/>
      <c r="P55" s="135"/>
      <c r="Q55" s="157"/>
      <c r="R55" s="135"/>
      <c r="S55" s="157"/>
      <c r="T55" s="135"/>
      <c r="U55" s="157"/>
      <c r="V55" s="135"/>
      <c r="W55" s="157"/>
      <c r="X55" s="135"/>
      <c r="Y55" s="157"/>
      <c r="Z55" s="135"/>
    </row>
    <row r="56" spans="1:29" thickBot="1" x14ac:dyDescent="0.25">
      <c r="B56" s="96"/>
      <c r="C56" s="97"/>
      <c r="D56" s="98"/>
      <c r="E56" s="97"/>
      <c r="F56" s="34"/>
      <c r="G56" s="157"/>
      <c r="H56" s="135"/>
      <c r="I56" s="157"/>
      <c r="J56" s="135"/>
      <c r="K56" s="157"/>
      <c r="L56" s="135"/>
      <c r="M56" s="157"/>
      <c r="N56" s="135"/>
      <c r="O56" s="157"/>
      <c r="P56" s="135"/>
      <c r="Q56" s="157"/>
      <c r="R56" s="135"/>
      <c r="S56" s="157"/>
      <c r="T56" s="135"/>
      <c r="U56" s="157"/>
      <c r="V56" s="135"/>
      <c r="W56" s="157"/>
      <c r="X56" s="135"/>
      <c r="Y56" s="157"/>
      <c r="Z56" s="135"/>
    </row>
    <row r="57" spans="1:29" ht="14.25" customHeight="1" thickTop="1" thickBot="1" x14ac:dyDescent="0.25">
      <c r="B57" s="19"/>
      <c r="C57" s="2013" t="s">
        <v>49</v>
      </c>
      <c r="D57" s="2014"/>
      <c r="E57" s="2015" t="s">
        <v>50</v>
      </c>
      <c r="F57" s="2015"/>
      <c r="G57" s="2002" t="s">
        <v>141</v>
      </c>
      <c r="H57" s="1982"/>
      <c r="I57" s="2002" t="s">
        <v>152</v>
      </c>
      <c r="J57" s="1974"/>
      <c r="K57" s="2002" t="s">
        <v>154</v>
      </c>
      <c r="L57" s="1974"/>
      <c r="M57" s="2002" t="s">
        <v>171</v>
      </c>
      <c r="N57" s="1982"/>
      <c r="O57" s="1974" t="s">
        <v>227</v>
      </c>
      <c r="P57" s="1982"/>
      <c r="Q57" s="1974" t="s">
        <v>237</v>
      </c>
      <c r="R57" s="1982"/>
      <c r="S57" s="1974" t="s">
        <v>272</v>
      </c>
      <c r="T57" s="1982"/>
      <c r="U57" s="1974" t="s">
        <v>274</v>
      </c>
      <c r="V57" s="1982"/>
      <c r="W57" s="1974" t="s">
        <v>280</v>
      </c>
      <c r="X57" s="1982"/>
      <c r="Y57" s="1974" t="s">
        <v>290</v>
      </c>
      <c r="Z57" s="1975"/>
      <c r="AB57" s="2003" t="s">
        <v>213</v>
      </c>
      <c r="AC57" s="2004"/>
    </row>
    <row r="58" spans="1:29" ht="12" x14ac:dyDescent="0.2">
      <c r="B58" s="81" t="s">
        <v>53</v>
      </c>
      <c r="C58" s="54"/>
      <c r="D58" s="92"/>
      <c r="E58" s="30"/>
      <c r="F58" s="30"/>
      <c r="G58" s="243"/>
      <c r="H58" s="244"/>
      <c r="I58" s="138"/>
      <c r="J58" s="138"/>
      <c r="K58" s="243"/>
      <c r="L58" s="138"/>
      <c r="M58" s="243"/>
      <c r="N58" s="244"/>
      <c r="O58" s="138"/>
      <c r="P58" s="244"/>
      <c r="Q58" s="138"/>
      <c r="R58" s="244"/>
      <c r="S58" s="138"/>
      <c r="T58" s="244"/>
      <c r="U58" s="138"/>
      <c r="V58" s="244"/>
      <c r="W58" s="138"/>
      <c r="X58" s="244"/>
      <c r="Y58" s="138"/>
      <c r="Z58" s="140"/>
      <c r="AB58" s="831"/>
      <c r="AC58" s="930"/>
    </row>
    <row r="59" spans="1:29" ht="12" x14ac:dyDescent="0.2">
      <c r="B59" s="74" t="s">
        <v>54</v>
      </c>
      <c r="C59" s="184"/>
      <c r="D59" s="165"/>
      <c r="E59" s="31"/>
      <c r="F59" s="171"/>
      <c r="G59" s="239"/>
      <c r="H59" s="261"/>
      <c r="I59" s="139"/>
      <c r="J59" s="183"/>
      <c r="K59" s="239"/>
      <c r="L59" s="183"/>
      <c r="M59" s="239"/>
      <c r="N59" s="261"/>
      <c r="O59" s="139"/>
      <c r="P59" s="261"/>
      <c r="Q59" s="139"/>
      <c r="R59" s="261"/>
      <c r="S59" s="139"/>
      <c r="T59" s="261"/>
      <c r="U59" s="139"/>
      <c r="V59" s="261"/>
      <c r="W59" s="139"/>
      <c r="X59" s="261"/>
      <c r="Y59" s="139"/>
      <c r="Z59" s="142"/>
      <c r="AB59" s="24"/>
      <c r="AC59" s="579"/>
    </row>
    <row r="60" spans="1:29" ht="12" x14ac:dyDescent="0.2">
      <c r="B60" s="75" t="s">
        <v>55</v>
      </c>
      <c r="C60" s="184"/>
      <c r="D60" s="165">
        <v>9</v>
      </c>
      <c r="E60" s="31"/>
      <c r="F60" s="171">
        <v>10</v>
      </c>
      <c r="G60" s="239"/>
      <c r="H60" s="261">
        <v>11</v>
      </c>
      <c r="I60" s="139"/>
      <c r="J60" s="183">
        <v>11</v>
      </c>
      <c r="K60" s="239"/>
      <c r="L60" s="183">
        <v>11</v>
      </c>
      <c r="M60" s="239"/>
      <c r="N60" s="261">
        <v>11</v>
      </c>
      <c r="O60" s="139"/>
      <c r="P60" s="261">
        <v>10</v>
      </c>
      <c r="Q60" s="139"/>
      <c r="R60" s="261">
        <v>12</v>
      </c>
      <c r="S60" s="139"/>
      <c r="T60" s="261">
        <v>10</v>
      </c>
      <c r="U60" s="139"/>
      <c r="V60" s="261">
        <v>10</v>
      </c>
      <c r="W60" s="139"/>
      <c r="X60" s="261">
        <v>11</v>
      </c>
      <c r="Y60" s="139"/>
      <c r="Z60" s="142">
        <v>12</v>
      </c>
      <c r="AB60" s="12"/>
      <c r="AC60" s="1113">
        <f>AVERAGE(X60,V60,R60,T60,Z60)</f>
        <v>11</v>
      </c>
    </row>
    <row r="61" spans="1:29" ht="12" x14ac:dyDescent="0.2">
      <c r="B61" s="75" t="s">
        <v>181</v>
      </c>
      <c r="C61" s="184"/>
      <c r="D61" s="165">
        <v>1</v>
      </c>
      <c r="E61" s="31"/>
      <c r="F61" s="171">
        <v>1</v>
      </c>
      <c r="G61" s="239"/>
      <c r="H61" s="261">
        <v>0</v>
      </c>
      <c r="I61" s="139"/>
      <c r="J61" s="183">
        <v>0</v>
      </c>
      <c r="K61" s="239"/>
      <c r="L61" s="183">
        <v>0</v>
      </c>
      <c r="M61" s="239"/>
      <c r="N61" s="261">
        <v>0</v>
      </c>
      <c r="O61" s="139"/>
      <c r="P61" s="261">
        <v>0</v>
      </c>
      <c r="Q61" s="139"/>
      <c r="R61" s="261">
        <v>1</v>
      </c>
      <c r="S61" s="139"/>
      <c r="T61" s="261">
        <v>1</v>
      </c>
      <c r="U61" s="139"/>
      <c r="V61" s="261">
        <v>2</v>
      </c>
      <c r="W61" s="139"/>
      <c r="X61" s="261">
        <v>2</v>
      </c>
      <c r="Y61" s="139"/>
      <c r="Z61" s="142">
        <v>2</v>
      </c>
      <c r="AB61" s="12"/>
      <c r="AC61" s="1113">
        <f t="shared" ref="AC61:AC65" si="6">AVERAGE(X61,V61,R61,T61,Z61)</f>
        <v>1.6</v>
      </c>
    </row>
    <row r="62" spans="1:29" ht="12" x14ac:dyDescent="0.2">
      <c r="B62" s="74" t="s">
        <v>57</v>
      </c>
      <c r="C62" s="184"/>
      <c r="D62" s="94"/>
      <c r="E62" s="31"/>
      <c r="F62" s="39"/>
      <c r="G62" s="239"/>
      <c r="H62" s="240"/>
      <c r="I62" s="139"/>
      <c r="J62" s="241"/>
      <c r="K62" s="239"/>
      <c r="L62" s="241"/>
      <c r="M62" s="239"/>
      <c r="N62" s="240"/>
      <c r="O62" s="139"/>
      <c r="P62" s="240"/>
      <c r="Q62" s="139"/>
      <c r="R62" s="240"/>
      <c r="S62" s="139"/>
      <c r="T62" s="240"/>
      <c r="U62" s="139"/>
      <c r="V62" s="240"/>
      <c r="W62" s="139"/>
      <c r="X62" s="240"/>
      <c r="Y62" s="139"/>
      <c r="Z62" s="143"/>
      <c r="AB62" s="12"/>
      <c r="AC62" s="1113"/>
    </row>
    <row r="63" spans="1:29" ht="12" x14ac:dyDescent="0.2">
      <c r="B63" s="75" t="s">
        <v>55</v>
      </c>
      <c r="C63" s="184"/>
      <c r="D63" s="94">
        <v>0</v>
      </c>
      <c r="E63" s="31"/>
      <c r="F63" s="39">
        <v>0</v>
      </c>
      <c r="G63" s="239"/>
      <c r="H63" s="240">
        <v>0</v>
      </c>
      <c r="I63" s="139"/>
      <c r="J63" s="241">
        <v>0</v>
      </c>
      <c r="K63" s="239"/>
      <c r="L63" s="241">
        <v>0</v>
      </c>
      <c r="M63" s="239"/>
      <c r="N63" s="240">
        <v>0</v>
      </c>
      <c r="O63" s="139"/>
      <c r="P63" s="240">
        <v>0</v>
      </c>
      <c r="Q63" s="139"/>
      <c r="R63" s="240">
        <v>0</v>
      </c>
      <c r="S63" s="139"/>
      <c r="T63" s="240">
        <v>0</v>
      </c>
      <c r="U63" s="139"/>
      <c r="V63" s="240">
        <v>0</v>
      </c>
      <c r="W63" s="139"/>
      <c r="X63" s="240">
        <v>0</v>
      </c>
      <c r="Y63" s="139"/>
      <c r="Z63" s="143">
        <v>0</v>
      </c>
      <c r="AB63" s="12"/>
      <c r="AC63" s="1113">
        <f t="shared" si="6"/>
        <v>0</v>
      </c>
    </row>
    <row r="64" spans="1:29" ht="12" x14ac:dyDescent="0.2">
      <c r="B64" s="341" t="s">
        <v>181</v>
      </c>
      <c r="C64" s="184"/>
      <c r="D64" s="94">
        <v>0</v>
      </c>
      <c r="E64" s="31"/>
      <c r="F64" s="39">
        <v>0</v>
      </c>
      <c r="G64" s="239"/>
      <c r="H64" s="240">
        <v>0</v>
      </c>
      <c r="I64" s="139"/>
      <c r="J64" s="241">
        <v>0</v>
      </c>
      <c r="K64" s="239"/>
      <c r="L64" s="241">
        <v>0</v>
      </c>
      <c r="M64" s="239"/>
      <c r="N64" s="240">
        <v>0</v>
      </c>
      <c r="O64" s="139"/>
      <c r="P64" s="240">
        <v>0</v>
      </c>
      <c r="Q64" s="139"/>
      <c r="R64" s="240">
        <v>0</v>
      </c>
      <c r="S64" s="139"/>
      <c r="T64" s="240">
        <v>0</v>
      </c>
      <c r="U64" s="139"/>
      <c r="V64" s="240">
        <v>0</v>
      </c>
      <c r="W64" s="139"/>
      <c r="X64" s="240">
        <v>0</v>
      </c>
      <c r="Y64" s="139"/>
      <c r="Z64" s="143">
        <v>0</v>
      </c>
      <c r="AB64" s="12"/>
      <c r="AC64" s="1113">
        <f t="shared" si="6"/>
        <v>0</v>
      </c>
    </row>
    <row r="65" spans="2:29" thickBot="1" x14ac:dyDescent="0.25">
      <c r="B65" s="79" t="s">
        <v>13</v>
      </c>
      <c r="C65" s="233"/>
      <c r="D65" s="234">
        <f>SUM(D60:D64)</f>
        <v>10</v>
      </c>
      <c r="E65" s="107"/>
      <c r="F65" s="106">
        <f>SUM(F60:F64)</f>
        <v>11</v>
      </c>
      <c r="G65" s="297"/>
      <c r="H65" s="427">
        <f>SUM(H60:H64)</f>
        <v>11</v>
      </c>
      <c r="I65" s="426"/>
      <c r="J65" s="454">
        <f>SUM(J60:J64)</f>
        <v>11</v>
      </c>
      <c r="K65" s="297"/>
      <c r="L65" s="454">
        <f>SUM(L60:L64)</f>
        <v>11</v>
      </c>
      <c r="M65" s="297"/>
      <c r="N65" s="427">
        <f>SUM(N60:N64)</f>
        <v>11</v>
      </c>
      <c r="O65" s="426"/>
      <c r="P65" s="427">
        <f>SUM(P60:P64)</f>
        <v>10</v>
      </c>
      <c r="Q65" s="426"/>
      <c r="R65" s="427">
        <f>SUM(R60:R64)</f>
        <v>13</v>
      </c>
      <c r="S65" s="426"/>
      <c r="T65" s="427">
        <f>SUM(T60:T64)</f>
        <v>11</v>
      </c>
      <c r="U65" s="426"/>
      <c r="V65" s="427">
        <f>SUM(V60:V64)</f>
        <v>12</v>
      </c>
      <c r="W65" s="426"/>
      <c r="X65" s="427">
        <f>SUM(X60:X64)</f>
        <v>13</v>
      </c>
      <c r="Y65" s="426"/>
      <c r="Z65" s="374">
        <f>SUM(Z60:Z64)</f>
        <v>14</v>
      </c>
      <c r="AB65" s="831"/>
      <c r="AC65" s="1114">
        <f t="shared" si="6"/>
        <v>12.6</v>
      </c>
    </row>
    <row r="66" spans="2:29" thickTop="1" x14ac:dyDescent="0.2">
      <c r="B66" s="342" t="s">
        <v>135</v>
      </c>
      <c r="C66" s="392"/>
      <c r="D66" s="393"/>
      <c r="E66" s="43" t="s">
        <v>133</v>
      </c>
      <c r="F66" s="41" t="s">
        <v>134</v>
      </c>
      <c r="G66" s="317" t="s">
        <v>133</v>
      </c>
      <c r="H66" s="412" t="s">
        <v>134</v>
      </c>
      <c r="I66" s="411" t="s">
        <v>133</v>
      </c>
      <c r="J66" s="449" t="s">
        <v>134</v>
      </c>
      <c r="K66" s="317" t="s">
        <v>133</v>
      </c>
      <c r="L66" s="449" t="s">
        <v>134</v>
      </c>
      <c r="M66" s="317" t="s">
        <v>133</v>
      </c>
      <c r="N66" s="441" t="s">
        <v>134</v>
      </c>
      <c r="O66" s="411" t="s">
        <v>133</v>
      </c>
      <c r="P66" s="412" t="s">
        <v>134</v>
      </c>
      <c r="Q66" s="411" t="s">
        <v>133</v>
      </c>
      <c r="R66" s="412" t="s">
        <v>134</v>
      </c>
      <c r="S66" s="411" t="s">
        <v>133</v>
      </c>
      <c r="T66" s="412" t="s">
        <v>134</v>
      </c>
      <c r="U66" s="411" t="s">
        <v>133</v>
      </c>
      <c r="V66" s="412" t="s">
        <v>134</v>
      </c>
      <c r="W66" s="411" t="s">
        <v>133</v>
      </c>
      <c r="X66" s="412" t="s">
        <v>134</v>
      </c>
      <c r="Y66" s="411" t="s">
        <v>133</v>
      </c>
      <c r="Z66" s="289" t="s">
        <v>134</v>
      </c>
      <c r="AB66" s="952" t="s">
        <v>133</v>
      </c>
      <c r="AC66" s="862" t="s">
        <v>134</v>
      </c>
    </row>
    <row r="67" spans="2:29" ht="12" x14ac:dyDescent="0.2">
      <c r="B67" s="75" t="s">
        <v>87</v>
      </c>
      <c r="C67" s="319">
        <v>8</v>
      </c>
      <c r="D67" s="216">
        <f>C67/D$65</f>
        <v>0.8</v>
      </c>
      <c r="E67" s="173">
        <v>8</v>
      </c>
      <c r="F67" s="221">
        <f t="shared" ref="F67:H74" si="7">E67/F$65</f>
        <v>0.72727272727272729</v>
      </c>
      <c r="G67" s="215">
        <v>7</v>
      </c>
      <c r="H67" s="216">
        <f t="shared" si="7"/>
        <v>0.63636363636363635</v>
      </c>
      <c r="I67" s="173">
        <v>7</v>
      </c>
      <c r="J67" s="221">
        <f t="shared" ref="J67:L74" si="8">I67/J$65</f>
        <v>0.63636363636363635</v>
      </c>
      <c r="K67" s="215">
        <v>8</v>
      </c>
      <c r="L67" s="221">
        <f t="shared" si="8"/>
        <v>0.72727272727272729</v>
      </c>
      <c r="M67" s="215">
        <v>8</v>
      </c>
      <c r="N67" s="216">
        <f t="shared" ref="N67:T74" si="9">M67/N$65</f>
        <v>0.72727272727272729</v>
      </c>
      <c r="O67" s="173">
        <v>8</v>
      </c>
      <c r="P67" s="216">
        <f t="shared" si="9"/>
        <v>0.8</v>
      </c>
      <c r="Q67" s="173">
        <v>10</v>
      </c>
      <c r="R67" s="216">
        <f t="shared" si="9"/>
        <v>0.76923076923076927</v>
      </c>
      <c r="S67" s="173">
        <f>1+5</f>
        <v>6</v>
      </c>
      <c r="T67" s="216">
        <f t="shared" si="9"/>
        <v>0.54545454545454541</v>
      </c>
      <c r="U67" s="173">
        <v>6</v>
      </c>
      <c r="V67" s="216">
        <f t="shared" ref="V67:V74" si="10">U67/V$65</f>
        <v>0.5</v>
      </c>
      <c r="W67" s="173">
        <f>1+9</f>
        <v>10</v>
      </c>
      <c r="X67" s="216">
        <f t="shared" ref="X67:Z74" si="11">W67/X$65</f>
        <v>0.76923076923076927</v>
      </c>
      <c r="Y67" s="173">
        <v>11</v>
      </c>
      <c r="Z67" s="1494">
        <f t="shared" si="11"/>
        <v>0.7857142857142857</v>
      </c>
      <c r="AA67" s="955"/>
      <c r="AB67" s="1016">
        <f t="shared" ref="AB67:AB86" si="12">AVERAGE(W67,U67,Q67,S67,Y67)</f>
        <v>8.6</v>
      </c>
      <c r="AC67" s="863">
        <f t="shared" ref="AC67:AC86" si="13">AVERAGE(X67,V67,R67,T67,Z67)</f>
        <v>0.67392607392607384</v>
      </c>
    </row>
    <row r="68" spans="2:29" ht="12" x14ac:dyDescent="0.2">
      <c r="B68" s="85" t="s">
        <v>88</v>
      </c>
      <c r="C68" s="319">
        <v>0</v>
      </c>
      <c r="D68" s="216">
        <f t="shared" ref="D68:D86" si="14">C68/$D$65</f>
        <v>0</v>
      </c>
      <c r="E68" s="173">
        <v>0</v>
      </c>
      <c r="F68" s="221">
        <f t="shared" si="7"/>
        <v>0</v>
      </c>
      <c r="G68" s="215">
        <v>0</v>
      </c>
      <c r="H68" s="216">
        <f t="shared" si="7"/>
        <v>0</v>
      </c>
      <c r="I68" s="173">
        <v>0</v>
      </c>
      <c r="J68" s="221">
        <f t="shared" si="8"/>
        <v>0</v>
      </c>
      <c r="K68" s="215">
        <v>0</v>
      </c>
      <c r="L68" s="221">
        <f t="shared" si="8"/>
        <v>0</v>
      </c>
      <c r="M68" s="215">
        <v>0</v>
      </c>
      <c r="N68" s="216">
        <f t="shared" si="9"/>
        <v>0</v>
      </c>
      <c r="O68" s="173">
        <v>0</v>
      </c>
      <c r="P68" s="216">
        <f t="shared" si="9"/>
        <v>0</v>
      </c>
      <c r="Q68" s="173">
        <v>0</v>
      </c>
      <c r="R68" s="216">
        <f t="shared" si="9"/>
        <v>0</v>
      </c>
      <c r="S68" s="173">
        <f>0</f>
        <v>0</v>
      </c>
      <c r="T68" s="216">
        <f t="shared" si="9"/>
        <v>0</v>
      </c>
      <c r="U68" s="173">
        <v>0</v>
      </c>
      <c r="V68" s="216">
        <f t="shared" si="10"/>
        <v>0</v>
      </c>
      <c r="W68" s="173">
        <v>0</v>
      </c>
      <c r="X68" s="216">
        <f t="shared" si="11"/>
        <v>0</v>
      </c>
      <c r="Y68" s="173">
        <v>0</v>
      </c>
      <c r="Z68" s="1494">
        <f t="shared" si="11"/>
        <v>0</v>
      </c>
      <c r="AA68" s="955"/>
      <c r="AB68" s="1016">
        <f t="shared" si="12"/>
        <v>0</v>
      </c>
      <c r="AC68" s="863">
        <f t="shared" si="13"/>
        <v>0</v>
      </c>
    </row>
    <row r="69" spans="2:29" ht="12" x14ac:dyDescent="0.2">
      <c r="B69" s="85" t="s">
        <v>89</v>
      </c>
      <c r="C69" s="319">
        <v>1</v>
      </c>
      <c r="D69" s="216">
        <f t="shared" si="14"/>
        <v>0.1</v>
      </c>
      <c r="E69" s="173">
        <v>3</v>
      </c>
      <c r="F69" s="221">
        <f t="shared" si="7"/>
        <v>0.27272727272727271</v>
      </c>
      <c r="G69" s="215">
        <v>3</v>
      </c>
      <c r="H69" s="216">
        <f t="shared" si="7"/>
        <v>0.27272727272727271</v>
      </c>
      <c r="I69" s="173">
        <v>3</v>
      </c>
      <c r="J69" s="221">
        <f t="shared" si="8"/>
        <v>0.27272727272727271</v>
      </c>
      <c r="K69" s="215">
        <v>3</v>
      </c>
      <c r="L69" s="221">
        <f t="shared" si="8"/>
        <v>0.27272727272727271</v>
      </c>
      <c r="M69" s="215">
        <v>3</v>
      </c>
      <c r="N69" s="216">
        <f t="shared" si="9"/>
        <v>0.27272727272727271</v>
      </c>
      <c r="O69" s="173">
        <v>2</v>
      </c>
      <c r="P69" s="216">
        <f t="shared" si="9"/>
        <v>0.2</v>
      </c>
      <c r="Q69" s="173">
        <v>3</v>
      </c>
      <c r="R69" s="216">
        <f t="shared" si="9"/>
        <v>0.23076923076923078</v>
      </c>
      <c r="S69" s="173">
        <f>2</f>
        <v>2</v>
      </c>
      <c r="T69" s="216">
        <f t="shared" si="9"/>
        <v>0.18181818181818182</v>
      </c>
      <c r="U69" s="173">
        <v>1</v>
      </c>
      <c r="V69" s="216">
        <f t="shared" si="10"/>
        <v>8.3333333333333329E-2</v>
      </c>
      <c r="W69" s="173">
        <v>1</v>
      </c>
      <c r="X69" s="216">
        <f t="shared" si="11"/>
        <v>7.6923076923076927E-2</v>
      </c>
      <c r="Y69" s="173">
        <v>1</v>
      </c>
      <c r="Z69" s="1494">
        <f t="shared" si="11"/>
        <v>7.1428571428571425E-2</v>
      </c>
      <c r="AA69" s="955"/>
      <c r="AB69" s="1016">
        <f t="shared" si="12"/>
        <v>1.6</v>
      </c>
      <c r="AC69" s="863">
        <f t="shared" si="13"/>
        <v>0.12885447885447884</v>
      </c>
    </row>
    <row r="70" spans="2:29" ht="12" x14ac:dyDescent="0.2">
      <c r="B70" s="85" t="s">
        <v>90</v>
      </c>
      <c r="C70" s="319">
        <v>0</v>
      </c>
      <c r="D70" s="216">
        <f t="shared" si="14"/>
        <v>0</v>
      </c>
      <c r="E70" s="173">
        <v>0</v>
      </c>
      <c r="F70" s="221">
        <f t="shared" si="7"/>
        <v>0</v>
      </c>
      <c r="G70" s="215">
        <v>0</v>
      </c>
      <c r="H70" s="216">
        <f t="shared" si="7"/>
        <v>0</v>
      </c>
      <c r="I70" s="173">
        <v>0</v>
      </c>
      <c r="J70" s="221">
        <f t="shared" si="8"/>
        <v>0</v>
      </c>
      <c r="K70" s="215">
        <v>0</v>
      </c>
      <c r="L70" s="221">
        <f t="shared" si="8"/>
        <v>0</v>
      </c>
      <c r="M70" s="215">
        <v>0</v>
      </c>
      <c r="N70" s="216">
        <f t="shared" si="9"/>
        <v>0</v>
      </c>
      <c r="O70" s="173">
        <v>0</v>
      </c>
      <c r="P70" s="216">
        <f t="shared" si="9"/>
        <v>0</v>
      </c>
      <c r="Q70" s="173">
        <v>0</v>
      </c>
      <c r="R70" s="216">
        <f t="shared" si="9"/>
        <v>0</v>
      </c>
      <c r="S70" s="173">
        <f>0</f>
        <v>0</v>
      </c>
      <c r="T70" s="216">
        <f t="shared" si="9"/>
        <v>0</v>
      </c>
      <c r="U70" s="173">
        <v>0</v>
      </c>
      <c r="V70" s="216">
        <f t="shared" si="10"/>
        <v>0</v>
      </c>
      <c r="W70" s="173">
        <v>0</v>
      </c>
      <c r="X70" s="216">
        <f t="shared" si="11"/>
        <v>0</v>
      </c>
      <c r="Y70" s="173">
        <v>0</v>
      </c>
      <c r="Z70" s="1494">
        <f t="shared" si="11"/>
        <v>0</v>
      </c>
      <c r="AA70" s="955"/>
      <c r="AB70" s="1016">
        <f t="shared" si="12"/>
        <v>0</v>
      </c>
      <c r="AC70" s="863">
        <f t="shared" si="13"/>
        <v>0</v>
      </c>
    </row>
    <row r="71" spans="2:29" ht="12" x14ac:dyDescent="0.2">
      <c r="B71" s="85" t="s">
        <v>91</v>
      </c>
      <c r="C71" s="319">
        <v>0</v>
      </c>
      <c r="D71" s="216">
        <f t="shared" si="14"/>
        <v>0</v>
      </c>
      <c r="E71" s="173">
        <v>0</v>
      </c>
      <c r="F71" s="221">
        <f t="shared" si="7"/>
        <v>0</v>
      </c>
      <c r="G71" s="215">
        <v>0</v>
      </c>
      <c r="H71" s="216">
        <f t="shared" si="7"/>
        <v>0</v>
      </c>
      <c r="I71" s="173">
        <v>0</v>
      </c>
      <c r="J71" s="221">
        <f t="shared" si="8"/>
        <v>0</v>
      </c>
      <c r="K71" s="215">
        <v>0</v>
      </c>
      <c r="L71" s="221">
        <f t="shared" si="8"/>
        <v>0</v>
      </c>
      <c r="M71" s="215">
        <v>0</v>
      </c>
      <c r="N71" s="216">
        <f t="shared" si="9"/>
        <v>0</v>
      </c>
      <c r="O71" s="173">
        <v>0</v>
      </c>
      <c r="P71" s="216">
        <f t="shared" si="9"/>
        <v>0</v>
      </c>
      <c r="Q71" s="173">
        <v>0</v>
      </c>
      <c r="R71" s="216">
        <f t="shared" si="9"/>
        <v>0</v>
      </c>
      <c r="S71" s="173">
        <f>1</f>
        <v>1</v>
      </c>
      <c r="T71" s="216">
        <f t="shared" si="9"/>
        <v>9.0909090909090912E-2</v>
      </c>
      <c r="U71" s="173">
        <v>2</v>
      </c>
      <c r="V71" s="216">
        <f t="shared" si="10"/>
        <v>0.16666666666666666</v>
      </c>
      <c r="W71" s="173">
        <v>0</v>
      </c>
      <c r="X71" s="216">
        <f t="shared" si="11"/>
        <v>0</v>
      </c>
      <c r="Y71" s="173">
        <v>0</v>
      </c>
      <c r="Z71" s="1494">
        <f t="shared" si="11"/>
        <v>0</v>
      </c>
      <c r="AA71" s="955"/>
      <c r="AB71" s="1016">
        <f t="shared" si="12"/>
        <v>0.6</v>
      </c>
      <c r="AC71" s="863">
        <f t="shared" si="13"/>
        <v>5.1515151515151514E-2</v>
      </c>
    </row>
    <row r="72" spans="2:29" ht="12" x14ac:dyDescent="0.2">
      <c r="B72" s="85" t="s">
        <v>92</v>
      </c>
      <c r="C72" s="319">
        <v>1</v>
      </c>
      <c r="D72" s="216">
        <f t="shared" si="14"/>
        <v>0.1</v>
      </c>
      <c r="E72" s="173">
        <v>0</v>
      </c>
      <c r="F72" s="221">
        <f t="shared" si="7"/>
        <v>0</v>
      </c>
      <c r="G72" s="215">
        <v>1</v>
      </c>
      <c r="H72" s="216">
        <f t="shared" si="7"/>
        <v>9.0909090909090912E-2</v>
      </c>
      <c r="I72" s="173">
        <v>1</v>
      </c>
      <c r="J72" s="221">
        <f t="shared" si="8"/>
        <v>9.0909090909090912E-2</v>
      </c>
      <c r="K72" s="215">
        <v>0</v>
      </c>
      <c r="L72" s="221">
        <f t="shared" si="8"/>
        <v>0</v>
      </c>
      <c r="M72" s="215">
        <v>0</v>
      </c>
      <c r="N72" s="216">
        <f t="shared" si="9"/>
        <v>0</v>
      </c>
      <c r="O72" s="173">
        <v>0</v>
      </c>
      <c r="P72" s="216">
        <f t="shared" si="9"/>
        <v>0</v>
      </c>
      <c r="Q72" s="173">
        <v>0</v>
      </c>
      <c r="R72" s="216">
        <f t="shared" si="9"/>
        <v>0</v>
      </c>
      <c r="S72" s="173">
        <f>1</f>
        <v>1</v>
      </c>
      <c r="T72" s="216">
        <f t="shared" si="9"/>
        <v>9.0909090909090912E-2</v>
      </c>
      <c r="U72" s="173">
        <v>2</v>
      </c>
      <c r="V72" s="216">
        <f t="shared" si="10"/>
        <v>0.16666666666666666</v>
      </c>
      <c r="W72" s="173">
        <v>1</v>
      </c>
      <c r="X72" s="216">
        <f t="shared" si="11"/>
        <v>7.6923076923076927E-2</v>
      </c>
      <c r="Y72" s="173">
        <v>0</v>
      </c>
      <c r="Z72" s="1494">
        <f t="shared" si="11"/>
        <v>0</v>
      </c>
      <c r="AA72" s="955"/>
      <c r="AB72" s="1016">
        <f t="shared" si="12"/>
        <v>0.8</v>
      </c>
      <c r="AC72" s="863">
        <f t="shared" si="13"/>
        <v>6.6899766899766899E-2</v>
      </c>
    </row>
    <row r="73" spans="2:29" ht="12" x14ac:dyDescent="0.2">
      <c r="B73" s="85" t="s">
        <v>256</v>
      </c>
      <c r="C73" s="346"/>
      <c r="D73" s="216"/>
      <c r="E73" s="174"/>
      <c r="F73" s="221"/>
      <c r="G73" s="1510"/>
      <c r="H73" s="1511"/>
      <c r="I73" s="1512"/>
      <c r="J73" s="1513"/>
      <c r="K73" s="1510"/>
      <c r="L73" s="1513"/>
      <c r="M73" s="1510"/>
      <c r="N73" s="1511"/>
      <c r="O73" s="1512"/>
      <c r="P73" s="1511"/>
      <c r="Q73" s="174">
        <v>0</v>
      </c>
      <c r="R73" s="216">
        <f t="shared" si="9"/>
        <v>0</v>
      </c>
      <c r="S73" s="174">
        <f>0</f>
        <v>0</v>
      </c>
      <c r="T73" s="216">
        <f t="shared" si="9"/>
        <v>0</v>
      </c>
      <c r="U73" s="174">
        <v>0</v>
      </c>
      <c r="V73" s="216">
        <f t="shared" si="10"/>
        <v>0</v>
      </c>
      <c r="W73" s="174">
        <v>0</v>
      </c>
      <c r="X73" s="216">
        <f t="shared" si="11"/>
        <v>0</v>
      </c>
      <c r="Y73" s="174">
        <v>0</v>
      </c>
      <c r="Z73" s="1494">
        <f t="shared" si="11"/>
        <v>0</v>
      </c>
      <c r="AA73" s="955"/>
      <c r="AB73" s="1016">
        <f t="shared" si="12"/>
        <v>0</v>
      </c>
      <c r="AC73" s="863">
        <f t="shared" si="13"/>
        <v>0</v>
      </c>
    </row>
    <row r="74" spans="2:29" ht="12" x14ac:dyDescent="0.2">
      <c r="B74" s="85" t="s">
        <v>93</v>
      </c>
      <c r="C74" s="346">
        <v>0</v>
      </c>
      <c r="D74" s="216">
        <f t="shared" si="14"/>
        <v>0</v>
      </c>
      <c r="E74" s="174">
        <v>0</v>
      </c>
      <c r="F74" s="221">
        <f t="shared" si="7"/>
        <v>0</v>
      </c>
      <c r="G74" s="217">
        <v>0</v>
      </c>
      <c r="H74" s="216">
        <f t="shared" si="7"/>
        <v>0</v>
      </c>
      <c r="I74" s="174">
        <v>0</v>
      </c>
      <c r="J74" s="221">
        <f t="shared" si="8"/>
        <v>0</v>
      </c>
      <c r="K74" s="217">
        <v>0</v>
      </c>
      <c r="L74" s="221">
        <f t="shared" si="8"/>
        <v>0</v>
      </c>
      <c r="M74" s="217">
        <v>0</v>
      </c>
      <c r="N74" s="216">
        <f t="shared" si="9"/>
        <v>0</v>
      </c>
      <c r="O74" s="174">
        <v>0</v>
      </c>
      <c r="P74" s="216">
        <f t="shared" si="9"/>
        <v>0</v>
      </c>
      <c r="Q74" s="174">
        <v>0</v>
      </c>
      <c r="R74" s="216">
        <f t="shared" si="9"/>
        <v>0</v>
      </c>
      <c r="S74" s="174">
        <f>1</f>
        <v>1</v>
      </c>
      <c r="T74" s="216">
        <f t="shared" si="9"/>
        <v>9.0909090909090912E-2</v>
      </c>
      <c r="U74" s="174">
        <v>1</v>
      </c>
      <c r="V74" s="216">
        <f t="shared" si="10"/>
        <v>8.3333333333333329E-2</v>
      </c>
      <c r="W74" s="174">
        <v>1</v>
      </c>
      <c r="X74" s="216">
        <f t="shared" si="11"/>
        <v>7.6923076923076927E-2</v>
      </c>
      <c r="Y74" s="174">
        <v>2</v>
      </c>
      <c r="Z74" s="1494">
        <f t="shared" si="11"/>
        <v>0.14285714285714285</v>
      </c>
      <c r="AA74" s="955"/>
      <c r="AB74" s="1016">
        <f t="shared" si="12"/>
        <v>1</v>
      </c>
      <c r="AC74" s="863">
        <f t="shared" si="13"/>
        <v>7.8804528804528803E-2</v>
      </c>
    </row>
    <row r="75" spans="2:29" ht="12" x14ac:dyDescent="0.2">
      <c r="B75" s="343" t="s">
        <v>136</v>
      </c>
      <c r="C75" s="218"/>
      <c r="D75" s="216"/>
      <c r="E75" s="226"/>
      <c r="F75" s="310"/>
      <c r="G75" s="326"/>
      <c r="H75" s="394"/>
      <c r="I75" s="226"/>
      <c r="J75" s="310"/>
      <c r="K75" s="326"/>
      <c r="L75" s="310"/>
      <c r="M75" s="326"/>
      <c r="N75" s="394"/>
      <c r="O75" s="226"/>
      <c r="P75" s="394"/>
      <c r="Q75" s="226"/>
      <c r="R75" s="394"/>
      <c r="S75" s="226"/>
      <c r="T75" s="394"/>
      <c r="U75" s="226"/>
      <c r="V75" s="394"/>
      <c r="W75" s="226"/>
      <c r="X75" s="394"/>
      <c r="Y75" s="226"/>
      <c r="Z75" s="1500"/>
      <c r="AA75" s="955"/>
      <c r="AB75" s="1016"/>
      <c r="AC75" s="863"/>
    </row>
    <row r="76" spans="2:29" ht="12" x14ac:dyDescent="0.2">
      <c r="B76" s="75" t="s">
        <v>124</v>
      </c>
      <c r="C76" s="230">
        <v>9</v>
      </c>
      <c r="D76" s="216">
        <f t="shared" si="14"/>
        <v>0.9</v>
      </c>
      <c r="E76" s="171">
        <v>10</v>
      </c>
      <c r="F76" s="311">
        <f>E76/F$65</f>
        <v>0.90909090909090906</v>
      </c>
      <c r="G76" s="229">
        <v>9</v>
      </c>
      <c r="H76" s="395">
        <f>G76/H$65</f>
        <v>0.81818181818181823</v>
      </c>
      <c r="I76" s="183">
        <v>9</v>
      </c>
      <c r="J76" s="221">
        <f>I76/J$65</f>
        <v>0.81818181818181823</v>
      </c>
      <c r="K76" s="229">
        <v>9</v>
      </c>
      <c r="L76" s="221">
        <f>K76/L$65</f>
        <v>0.81818181818181823</v>
      </c>
      <c r="M76" s="229">
        <v>9</v>
      </c>
      <c r="N76" s="216">
        <f>M76/N$65</f>
        <v>0.81818181818181823</v>
      </c>
      <c r="O76" s="183">
        <v>8</v>
      </c>
      <c r="P76" s="216">
        <f>O76/P$65</f>
        <v>0.8</v>
      </c>
      <c r="Q76" s="183">
        <v>10</v>
      </c>
      <c r="R76" s="216">
        <f>Q76/R$65</f>
        <v>0.76923076923076927</v>
      </c>
      <c r="S76" s="183">
        <f>0+9</f>
        <v>9</v>
      </c>
      <c r="T76" s="216">
        <f>S76/T$65</f>
        <v>0.81818181818181823</v>
      </c>
      <c r="U76" s="183">
        <v>10</v>
      </c>
      <c r="V76" s="216">
        <f>U76/V$65</f>
        <v>0.83333333333333337</v>
      </c>
      <c r="W76" s="183">
        <f>2+8</f>
        <v>10</v>
      </c>
      <c r="X76" s="216">
        <f>W76/X$65</f>
        <v>0.76923076923076927</v>
      </c>
      <c r="Y76" s="183">
        <v>11</v>
      </c>
      <c r="Z76" s="1494">
        <f>Y76/Z$65</f>
        <v>0.7857142857142857</v>
      </c>
      <c r="AA76" s="955"/>
      <c r="AB76" s="1016">
        <f t="shared" si="12"/>
        <v>10</v>
      </c>
      <c r="AC76" s="863">
        <f t="shared" si="13"/>
        <v>0.79513819513819517</v>
      </c>
    </row>
    <row r="77" spans="2:29" ht="12" x14ac:dyDescent="0.2">
      <c r="B77" s="75" t="s">
        <v>125</v>
      </c>
      <c r="C77" s="230">
        <v>1</v>
      </c>
      <c r="D77" s="216">
        <f t="shared" si="14"/>
        <v>0.1</v>
      </c>
      <c r="E77" s="223">
        <v>1</v>
      </c>
      <c r="F77" s="311">
        <f>E77/F$65</f>
        <v>9.0909090909090912E-2</v>
      </c>
      <c r="G77" s="230">
        <v>2</v>
      </c>
      <c r="H77" s="395">
        <f>G77/H$65</f>
        <v>0.18181818181818182</v>
      </c>
      <c r="I77" s="283">
        <v>2</v>
      </c>
      <c r="J77" s="221">
        <f>I77/J$65</f>
        <v>0.18181818181818182</v>
      </c>
      <c r="K77" s="230">
        <v>2</v>
      </c>
      <c r="L77" s="221">
        <f>K77/L$65</f>
        <v>0.18181818181818182</v>
      </c>
      <c r="M77" s="230">
        <v>2</v>
      </c>
      <c r="N77" s="216">
        <f>M77/N$65</f>
        <v>0.18181818181818182</v>
      </c>
      <c r="O77" s="283">
        <v>2</v>
      </c>
      <c r="P77" s="216">
        <f>O77/P$65</f>
        <v>0.2</v>
      </c>
      <c r="Q77" s="283">
        <v>3</v>
      </c>
      <c r="R77" s="216">
        <f>Q77/R$65</f>
        <v>0.23076923076923078</v>
      </c>
      <c r="S77" s="283">
        <f>1+1</f>
        <v>2</v>
      </c>
      <c r="T77" s="216">
        <f>S77/T$65</f>
        <v>0.18181818181818182</v>
      </c>
      <c r="U77" s="283">
        <v>2</v>
      </c>
      <c r="V77" s="216">
        <f>U77/V$65</f>
        <v>0.16666666666666666</v>
      </c>
      <c r="W77" s="283">
        <v>3</v>
      </c>
      <c r="X77" s="216">
        <f>W77/X$65</f>
        <v>0.23076923076923078</v>
      </c>
      <c r="Y77" s="283">
        <v>3</v>
      </c>
      <c r="Z77" s="1494">
        <f>Y77/Z$65</f>
        <v>0.21428571428571427</v>
      </c>
      <c r="AA77" s="955"/>
      <c r="AB77" s="1016">
        <f t="shared" si="12"/>
        <v>2.6</v>
      </c>
      <c r="AC77" s="863">
        <f t="shared" si="13"/>
        <v>0.20486180486180486</v>
      </c>
    </row>
    <row r="78" spans="2:29" ht="12" x14ac:dyDescent="0.2">
      <c r="B78" s="343" t="s">
        <v>137</v>
      </c>
      <c r="C78" s="219"/>
      <c r="D78" s="216"/>
      <c r="E78" s="227"/>
      <c r="F78" s="311"/>
      <c r="G78" s="315"/>
      <c r="H78" s="395"/>
      <c r="I78" s="285"/>
      <c r="J78" s="221"/>
      <c r="K78" s="315"/>
      <c r="L78" s="221"/>
      <c r="M78" s="315"/>
      <c r="N78" s="216"/>
      <c r="O78" s="285"/>
      <c r="P78" s="216"/>
      <c r="Q78" s="285"/>
      <c r="R78" s="216"/>
      <c r="S78" s="285"/>
      <c r="T78" s="216"/>
      <c r="U78" s="285"/>
      <c r="V78" s="216"/>
      <c r="W78" s="285"/>
      <c r="X78" s="216"/>
      <c r="Y78" s="285"/>
      <c r="Z78" s="1494"/>
      <c r="AA78" s="955"/>
      <c r="AB78" s="1016"/>
      <c r="AC78" s="863"/>
    </row>
    <row r="79" spans="2:29" ht="12" x14ac:dyDescent="0.2">
      <c r="B79" s="75" t="s">
        <v>126</v>
      </c>
      <c r="C79" s="224">
        <v>4</v>
      </c>
      <c r="D79" s="216">
        <f t="shared" si="14"/>
        <v>0.4</v>
      </c>
      <c r="E79" s="223">
        <v>4</v>
      </c>
      <c r="F79" s="311">
        <f>E79/F$65</f>
        <v>0.36363636363636365</v>
      </c>
      <c r="G79" s="230">
        <v>4</v>
      </c>
      <c r="H79" s="395">
        <f>G79/H$65</f>
        <v>0.36363636363636365</v>
      </c>
      <c r="I79" s="283">
        <v>5</v>
      </c>
      <c r="J79" s="221">
        <f>I79/J$65</f>
        <v>0.45454545454545453</v>
      </c>
      <c r="K79" s="230">
        <v>6</v>
      </c>
      <c r="L79" s="221">
        <f>K79/L$65</f>
        <v>0.54545454545454541</v>
      </c>
      <c r="M79" s="230">
        <v>5</v>
      </c>
      <c r="N79" s="216">
        <f>M79/N$65</f>
        <v>0.45454545454545453</v>
      </c>
      <c r="O79" s="283">
        <v>8</v>
      </c>
      <c r="P79" s="216">
        <f>O79/P$65</f>
        <v>0.8</v>
      </c>
      <c r="Q79" s="283">
        <v>9</v>
      </c>
      <c r="R79" s="216">
        <f>Q79/R$65</f>
        <v>0.69230769230769229</v>
      </c>
      <c r="S79" s="283">
        <f>0+5</f>
        <v>5</v>
      </c>
      <c r="T79" s="216">
        <f>S79/T$65</f>
        <v>0.45454545454545453</v>
      </c>
      <c r="U79" s="283">
        <v>8</v>
      </c>
      <c r="V79" s="216">
        <f>U79/V$65</f>
        <v>0.66666666666666663</v>
      </c>
      <c r="W79" s="283">
        <f>2+6</f>
        <v>8</v>
      </c>
      <c r="X79" s="216">
        <f>W79/X$65</f>
        <v>0.61538461538461542</v>
      </c>
      <c r="Y79" s="283">
        <v>7</v>
      </c>
      <c r="Z79" s="1494">
        <f>Y79/Z$65</f>
        <v>0.5</v>
      </c>
      <c r="AA79" s="955"/>
      <c r="AB79" s="1016">
        <f t="shared" si="12"/>
        <v>7.4</v>
      </c>
      <c r="AC79" s="863">
        <f t="shared" si="13"/>
        <v>0.58578088578088572</v>
      </c>
    </row>
    <row r="80" spans="2:29" ht="12" x14ac:dyDescent="0.2">
      <c r="B80" s="75" t="s">
        <v>127</v>
      </c>
      <c r="C80" s="224">
        <v>3</v>
      </c>
      <c r="D80" s="216">
        <f t="shared" si="14"/>
        <v>0.3</v>
      </c>
      <c r="E80" s="223">
        <v>5</v>
      </c>
      <c r="F80" s="311">
        <f>E80/F$65</f>
        <v>0.45454545454545453</v>
      </c>
      <c r="G80" s="230">
        <v>7</v>
      </c>
      <c r="H80" s="395">
        <f>G80/H$65</f>
        <v>0.63636363636363635</v>
      </c>
      <c r="I80" s="283">
        <v>6</v>
      </c>
      <c r="J80" s="221">
        <f>I80/J$65</f>
        <v>0.54545454545454541</v>
      </c>
      <c r="K80" s="230">
        <v>5</v>
      </c>
      <c r="L80" s="221">
        <f>K80/L$65</f>
        <v>0.45454545454545453</v>
      </c>
      <c r="M80" s="230">
        <v>6</v>
      </c>
      <c r="N80" s="216">
        <f>M80/N$65</f>
        <v>0.54545454545454541</v>
      </c>
      <c r="O80" s="283">
        <v>2</v>
      </c>
      <c r="P80" s="216">
        <f>O80/P$65</f>
        <v>0.2</v>
      </c>
      <c r="Q80" s="283">
        <v>3</v>
      </c>
      <c r="R80" s="216">
        <f>Q80/R$65</f>
        <v>0.23076923076923078</v>
      </c>
      <c r="S80" s="283">
        <f>0+4</f>
        <v>4</v>
      </c>
      <c r="T80" s="216">
        <f>S80/T$65</f>
        <v>0.36363636363636365</v>
      </c>
      <c r="U80" s="283">
        <v>1</v>
      </c>
      <c r="V80" s="216">
        <f>U80/V$65</f>
        <v>8.3333333333333329E-2</v>
      </c>
      <c r="W80" s="283">
        <v>4</v>
      </c>
      <c r="X80" s="216">
        <f>W80/X$65</f>
        <v>0.30769230769230771</v>
      </c>
      <c r="Y80" s="283">
        <v>5</v>
      </c>
      <c r="Z80" s="1494">
        <f>Y80/Z$65</f>
        <v>0.35714285714285715</v>
      </c>
      <c r="AA80" s="955"/>
      <c r="AB80" s="1016">
        <f t="shared" si="12"/>
        <v>3.4</v>
      </c>
      <c r="AC80" s="863">
        <f t="shared" si="13"/>
        <v>0.26851481851481851</v>
      </c>
    </row>
    <row r="81" spans="1:31" ht="12" x14ac:dyDescent="0.2">
      <c r="B81" s="75" t="s">
        <v>128</v>
      </c>
      <c r="C81" s="224">
        <v>3</v>
      </c>
      <c r="D81" s="216">
        <f t="shared" si="14"/>
        <v>0.3</v>
      </c>
      <c r="E81" s="223">
        <v>2</v>
      </c>
      <c r="F81" s="311">
        <f>E81/F$65</f>
        <v>0.18181818181818182</v>
      </c>
      <c r="G81" s="230">
        <v>0</v>
      </c>
      <c r="H81" s="395">
        <f>G81/H$65</f>
        <v>0</v>
      </c>
      <c r="I81" s="230">
        <v>0</v>
      </c>
      <c r="J81" s="221">
        <f>I81/J$65</f>
        <v>0</v>
      </c>
      <c r="K81" s="230">
        <v>0</v>
      </c>
      <c r="L81" s="221">
        <f>K81/L$65</f>
        <v>0</v>
      </c>
      <c r="M81" s="230">
        <v>0</v>
      </c>
      <c r="N81" s="216">
        <f>M81/N$65</f>
        <v>0</v>
      </c>
      <c r="O81" s="283">
        <v>0</v>
      </c>
      <c r="P81" s="216">
        <f>O81/P$65</f>
        <v>0</v>
      </c>
      <c r="Q81" s="283">
        <v>1</v>
      </c>
      <c r="R81" s="216">
        <f>Q81/R$65</f>
        <v>7.6923076923076927E-2</v>
      </c>
      <c r="S81" s="283">
        <f>1+1</f>
        <v>2</v>
      </c>
      <c r="T81" s="216">
        <f>S81/T$65</f>
        <v>0.18181818181818182</v>
      </c>
      <c r="U81" s="283">
        <v>3</v>
      </c>
      <c r="V81" s="216">
        <f>U81/V$65</f>
        <v>0.25</v>
      </c>
      <c r="W81" s="283">
        <v>1</v>
      </c>
      <c r="X81" s="216">
        <f>W81/X$65</f>
        <v>7.6923076923076927E-2</v>
      </c>
      <c r="Y81" s="283">
        <v>2</v>
      </c>
      <c r="Z81" s="1494">
        <f>Y81/Z$65</f>
        <v>0.14285714285714285</v>
      </c>
      <c r="AA81" s="955"/>
      <c r="AB81" s="1016">
        <f t="shared" si="12"/>
        <v>1.8</v>
      </c>
      <c r="AC81" s="863">
        <f t="shared" si="13"/>
        <v>0.14570429570429569</v>
      </c>
    </row>
    <row r="82" spans="1:31" ht="12" x14ac:dyDescent="0.2">
      <c r="B82" s="168" t="s">
        <v>138</v>
      </c>
      <c r="C82" s="219"/>
      <c r="D82" s="216"/>
      <c r="E82" s="227"/>
      <c r="F82" s="311"/>
      <c r="G82" s="315"/>
      <c r="H82" s="395"/>
      <c r="I82" s="315"/>
      <c r="J82" s="221"/>
      <c r="K82" s="315"/>
      <c r="L82" s="221"/>
      <c r="M82" s="315"/>
      <c r="N82" s="216"/>
      <c r="O82" s="285"/>
      <c r="P82" s="216"/>
      <c r="Q82" s="285"/>
      <c r="R82" s="216"/>
      <c r="S82" s="285"/>
      <c r="T82" s="216"/>
      <c r="U82" s="285"/>
      <c r="V82" s="216"/>
      <c r="W82" s="285"/>
      <c r="X82" s="216"/>
      <c r="Y82" s="285"/>
      <c r="Z82" s="1494"/>
      <c r="AA82" s="955"/>
      <c r="AB82" s="1016"/>
      <c r="AC82" s="863"/>
    </row>
    <row r="83" spans="1:31" ht="12" x14ac:dyDescent="0.2">
      <c r="B83" s="75" t="s">
        <v>129</v>
      </c>
      <c r="C83" s="224">
        <v>9</v>
      </c>
      <c r="D83" s="216">
        <f t="shared" si="14"/>
        <v>0.9</v>
      </c>
      <c r="E83" s="223">
        <v>9</v>
      </c>
      <c r="F83" s="311">
        <f>E83/F$65</f>
        <v>0.81818181818181823</v>
      </c>
      <c r="G83" s="230">
        <v>11</v>
      </c>
      <c r="H83" s="395">
        <f>G83/H$65</f>
        <v>1</v>
      </c>
      <c r="I83" s="230">
        <v>11</v>
      </c>
      <c r="J83" s="221">
        <f>I83/J$65</f>
        <v>1</v>
      </c>
      <c r="K83" s="230">
        <v>11</v>
      </c>
      <c r="L83" s="221">
        <f>K83/L$65</f>
        <v>1</v>
      </c>
      <c r="M83" s="230">
        <v>11</v>
      </c>
      <c r="N83" s="216">
        <f>M83/N$65</f>
        <v>1</v>
      </c>
      <c r="O83" s="283">
        <v>10</v>
      </c>
      <c r="P83" s="216">
        <f>O83/P$65</f>
        <v>1</v>
      </c>
      <c r="Q83" s="283">
        <v>13</v>
      </c>
      <c r="R83" s="216">
        <f>Q83/R$65</f>
        <v>1</v>
      </c>
      <c r="S83" s="283">
        <f>1+10</f>
        <v>11</v>
      </c>
      <c r="T83" s="216">
        <f>S83/T$65</f>
        <v>1</v>
      </c>
      <c r="U83" s="283">
        <v>12</v>
      </c>
      <c r="V83" s="216">
        <f>U83/V$65</f>
        <v>1</v>
      </c>
      <c r="W83" s="283">
        <f>2+11</f>
        <v>13</v>
      </c>
      <c r="X83" s="216">
        <f>W83/X$65</f>
        <v>1</v>
      </c>
      <c r="Y83" s="283">
        <v>14</v>
      </c>
      <c r="Z83" s="1494">
        <f>Y83/Z$65</f>
        <v>1</v>
      </c>
      <c r="AA83" s="955"/>
      <c r="AB83" s="1016">
        <f t="shared" si="12"/>
        <v>12.6</v>
      </c>
      <c r="AC83" s="863">
        <f t="shared" si="13"/>
        <v>1</v>
      </c>
    </row>
    <row r="84" spans="1:31" ht="12" x14ac:dyDescent="0.2">
      <c r="B84" s="75" t="s">
        <v>130</v>
      </c>
      <c r="C84" s="224">
        <v>1</v>
      </c>
      <c r="D84" s="216">
        <f t="shared" si="14"/>
        <v>0.1</v>
      </c>
      <c r="E84" s="223">
        <v>2</v>
      </c>
      <c r="F84" s="311">
        <f>E84/F$65</f>
        <v>0.18181818181818182</v>
      </c>
      <c r="G84" s="230">
        <v>0</v>
      </c>
      <c r="H84" s="395">
        <f>G84/H$65</f>
        <v>0</v>
      </c>
      <c r="I84" s="230">
        <v>0</v>
      </c>
      <c r="J84" s="221">
        <f>I84/J$65</f>
        <v>0</v>
      </c>
      <c r="K84" s="230">
        <v>0</v>
      </c>
      <c r="L84" s="221">
        <f>K84/L$65</f>
        <v>0</v>
      </c>
      <c r="M84" s="230">
        <v>0</v>
      </c>
      <c r="N84" s="216">
        <f>M84/N$65</f>
        <v>0</v>
      </c>
      <c r="O84" s="283">
        <v>0</v>
      </c>
      <c r="P84" s="216">
        <f>O84/P$65</f>
        <v>0</v>
      </c>
      <c r="Q84" s="283">
        <v>0</v>
      </c>
      <c r="R84" s="216">
        <f>Q84/R$65</f>
        <v>0</v>
      </c>
      <c r="S84" s="283">
        <f>0</f>
        <v>0</v>
      </c>
      <c r="T84" s="216">
        <f>S84/T$65</f>
        <v>0</v>
      </c>
      <c r="U84" s="283">
        <v>0</v>
      </c>
      <c r="V84" s="216">
        <f>U84/V$65</f>
        <v>0</v>
      </c>
      <c r="W84" s="283">
        <v>0</v>
      </c>
      <c r="X84" s="216">
        <f>W84/X$65</f>
        <v>0</v>
      </c>
      <c r="Y84" s="283">
        <v>0</v>
      </c>
      <c r="Z84" s="1494">
        <f>Y84/Z$65</f>
        <v>0</v>
      </c>
      <c r="AA84" s="955"/>
      <c r="AB84" s="1016">
        <f t="shared" si="12"/>
        <v>0</v>
      </c>
      <c r="AC84" s="863">
        <f t="shared" si="13"/>
        <v>0</v>
      </c>
    </row>
    <row r="85" spans="1:31" ht="12" x14ac:dyDescent="0.2">
      <c r="B85" s="75" t="s">
        <v>131</v>
      </c>
      <c r="C85" s="224">
        <v>0</v>
      </c>
      <c r="D85" s="216">
        <f t="shared" si="14"/>
        <v>0</v>
      </c>
      <c r="E85" s="223">
        <v>0</v>
      </c>
      <c r="F85" s="311">
        <f>E85/F$65</f>
        <v>0</v>
      </c>
      <c r="G85" s="230">
        <v>0</v>
      </c>
      <c r="H85" s="395">
        <f>G85/H$65</f>
        <v>0</v>
      </c>
      <c r="I85" s="230">
        <v>0</v>
      </c>
      <c r="J85" s="221">
        <f>I85/J$65</f>
        <v>0</v>
      </c>
      <c r="K85" s="230">
        <v>0</v>
      </c>
      <c r="L85" s="221">
        <f>K85/L$65</f>
        <v>0</v>
      </c>
      <c r="M85" s="230">
        <v>0</v>
      </c>
      <c r="N85" s="216">
        <f>M85/N$65</f>
        <v>0</v>
      </c>
      <c r="O85" s="283">
        <v>0</v>
      </c>
      <c r="P85" s="216">
        <f>O85/P$65</f>
        <v>0</v>
      </c>
      <c r="Q85" s="283">
        <v>0</v>
      </c>
      <c r="R85" s="216">
        <f>Q85/R$65</f>
        <v>0</v>
      </c>
      <c r="S85" s="283">
        <f>0</f>
        <v>0</v>
      </c>
      <c r="T85" s="216">
        <f>S85/T$65</f>
        <v>0</v>
      </c>
      <c r="U85" s="283">
        <v>0</v>
      </c>
      <c r="V85" s="216">
        <f>U85/V$65</f>
        <v>0</v>
      </c>
      <c r="W85" s="283">
        <v>0</v>
      </c>
      <c r="X85" s="216">
        <f>W85/X$65</f>
        <v>0</v>
      </c>
      <c r="Y85" s="283">
        <v>0</v>
      </c>
      <c r="Z85" s="1494">
        <f>Y85/Z$65</f>
        <v>0</v>
      </c>
      <c r="AB85" s="1016">
        <f t="shared" si="12"/>
        <v>0</v>
      </c>
      <c r="AC85" s="863">
        <f t="shared" si="13"/>
        <v>0</v>
      </c>
    </row>
    <row r="86" spans="1:31" thickBot="1" x14ac:dyDescent="0.25">
      <c r="B86" s="344" t="s">
        <v>132</v>
      </c>
      <c r="C86" s="61">
        <v>0</v>
      </c>
      <c r="D86" s="220">
        <f t="shared" si="14"/>
        <v>0</v>
      </c>
      <c r="E86" s="228">
        <v>0</v>
      </c>
      <c r="F86" s="312">
        <f>E86/F$65</f>
        <v>0</v>
      </c>
      <c r="G86" s="375">
        <v>0</v>
      </c>
      <c r="H86" s="397">
        <f>G86/H$65</f>
        <v>0</v>
      </c>
      <c r="I86" s="375">
        <v>0</v>
      </c>
      <c r="J86" s="222">
        <f>I86/J$65</f>
        <v>0</v>
      </c>
      <c r="K86" s="375">
        <v>0</v>
      </c>
      <c r="L86" s="222">
        <f>K86/L$65</f>
        <v>0</v>
      </c>
      <c r="M86" s="375">
        <v>0</v>
      </c>
      <c r="N86" s="220">
        <f>M86/N$65</f>
        <v>0</v>
      </c>
      <c r="O86" s="284">
        <v>0</v>
      </c>
      <c r="P86" s="220">
        <f>O86/P$65</f>
        <v>0</v>
      </c>
      <c r="Q86" s="284">
        <v>0</v>
      </c>
      <c r="R86" s="220">
        <f>Q86/R$65</f>
        <v>0</v>
      </c>
      <c r="S86" s="284">
        <f>0</f>
        <v>0</v>
      </c>
      <c r="T86" s="220">
        <f>S86/T$65</f>
        <v>0</v>
      </c>
      <c r="U86" s="284">
        <v>0</v>
      </c>
      <c r="V86" s="220">
        <f>U86/V$65</f>
        <v>0</v>
      </c>
      <c r="W86" s="284">
        <v>0</v>
      </c>
      <c r="X86" s="220">
        <f>W86/X$65</f>
        <v>0</v>
      </c>
      <c r="Y86" s="284">
        <v>0</v>
      </c>
      <c r="Z86" s="1495">
        <f>Y86/Z$65</f>
        <v>0</v>
      </c>
      <c r="AB86" s="1016">
        <f t="shared" si="12"/>
        <v>0</v>
      </c>
      <c r="AC86" s="863">
        <f t="shared" si="13"/>
        <v>0</v>
      </c>
    </row>
    <row r="87" spans="1:31" customFormat="1" ht="14.25" thickTop="1" thickBot="1" x14ac:dyDescent="0.25">
      <c r="A87" s="1"/>
      <c r="B87" s="956" t="s">
        <v>186</v>
      </c>
      <c r="C87" s="1992" t="s">
        <v>51</v>
      </c>
      <c r="D87" s="1993"/>
      <c r="E87" s="1992" t="s">
        <v>52</v>
      </c>
      <c r="F87" s="1993"/>
      <c r="G87" s="1989" t="s">
        <v>184</v>
      </c>
      <c r="H87" s="1990"/>
      <c r="I87" s="1989" t="s">
        <v>185</v>
      </c>
      <c r="J87" s="1990"/>
      <c r="K87" s="1989" t="s">
        <v>202</v>
      </c>
      <c r="L87" s="1990"/>
      <c r="M87" s="1991" t="s">
        <v>203</v>
      </c>
      <c r="N87" s="1979"/>
      <c r="O87" s="1970" t="s">
        <v>228</v>
      </c>
      <c r="P87" s="1979"/>
      <c r="Q87" s="1970" t="s">
        <v>238</v>
      </c>
      <c r="R87" s="1979"/>
      <c r="S87" s="1970" t="s">
        <v>273</v>
      </c>
      <c r="T87" s="1979"/>
      <c r="U87" s="1970" t="s">
        <v>275</v>
      </c>
      <c r="V87" s="1979"/>
      <c r="W87" s="1970" t="s">
        <v>281</v>
      </c>
      <c r="X87" s="1979"/>
      <c r="Y87" s="1970" t="s">
        <v>291</v>
      </c>
      <c r="Z87" s="1976"/>
      <c r="AB87" s="2003" t="s">
        <v>213</v>
      </c>
      <c r="AC87" s="2004"/>
    </row>
    <row r="88" spans="1:31" customFormat="1" x14ac:dyDescent="0.2">
      <c r="A88" s="1"/>
      <c r="B88" s="957"/>
      <c r="C88" s="958"/>
      <c r="D88" s="959"/>
      <c r="E88" s="1273" t="s">
        <v>133</v>
      </c>
      <c r="F88" s="1180" t="s">
        <v>17</v>
      </c>
      <c r="G88" s="958" t="s">
        <v>133</v>
      </c>
      <c r="H88" s="1242" t="s">
        <v>17</v>
      </c>
      <c r="I88" s="1273" t="s">
        <v>133</v>
      </c>
      <c r="J88" s="1242" t="s">
        <v>17</v>
      </c>
      <c r="K88" s="1273" t="s">
        <v>133</v>
      </c>
      <c r="L88" s="1242" t="s">
        <v>17</v>
      </c>
      <c r="M88" s="1273" t="s">
        <v>133</v>
      </c>
      <c r="N88" s="1242" t="s">
        <v>17</v>
      </c>
      <c r="O88" s="1448" t="s">
        <v>133</v>
      </c>
      <c r="P88" s="1450" t="s">
        <v>17</v>
      </c>
      <c r="Q88" s="1451" t="s">
        <v>133</v>
      </c>
      <c r="R88" s="1450" t="s">
        <v>17</v>
      </c>
      <c r="S88" s="1451" t="s">
        <v>133</v>
      </c>
      <c r="T88" s="1450" t="s">
        <v>17</v>
      </c>
      <c r="U88" s="1768" t="s">
        <v>133</v>
      </c>
      <c r="V88" s="1450" t="s">
        <v>17</v>
      </c>
      <c r="W88" s="1768" t="s">
        <v>133</v>
      </c>
      <c r="X88" s="1450" t="s">
        <v>17</v>
      </c>
      <c r="Y88" s="1768" t="s">
        <v>133</v>
      </c>
      <c r="Z88" s="1452" t="s">
        <v>17</v>
      </c>
      <c r="AB88" s="953" t="s">
        <v>133</v>
      </c>
      <c r="AC88" s="954" t="s">
        <v>17</v>
      </c>
    </row>
    <row r="89" spans="1:31" customFormat="1" x14ac:dyDescent="0.2">
      <c r="A89" s="1"/>
      <c r="B89" s="341" t="s">
        <v>187</v>
      </c>
      <c r="C89" s="960">
        <v>0</v>
      </c>
      <c r="D89" s="961">
        <v>0</v>
      </c>
      <c r="E89" s="960">
        <v>0</v>
      </c>
      <c r="F89" s="961">
        <v>0</v>
      </c>
      <c r="G89" s="960">
        <v>0</v>
      </c>
      <c r="H89" s="961">
        <v>0</v>
      </c>
      <c r="I89" s="960">
        <v>0</v>
      </c>
      <c r="J89" s="961">
        <v>0</v>
      </c>
      <c r="K89" s="960">
        <v>0</v>
      </c>
      <c r="L89" s="961">
        <v>0</v>
      </c>
      <c r="M89" s="960">
        <v>0</v>
      </c>
      <c r="N89" s="961">
        <v>0</v>
      </c>
      <c r="O89" s="960">
        <v>0</v>
      </c>
      <c r="P89" s="961">
        <v>0</v>
      </c>
      <c r="Q89" s="960">
        <v>0</v>
      </c>
      <c r="R89" s="961">
        <v>0</v>
      </c>
      <c r="S89" s="960">
        <v>0</v>
      </c>
      <c r="T89" s="961">
        <v>0</v>
      </c>
      <c r="U89" s="960">
        <v>0</v>
      </c>
      <c r="V89" s="961">
        <v>0</v>
      </c>
      <c r="W89" s="960">
        <v>0</v>
      </c>
      <c r="X89" s="961">
        <v>0</v>
      </c>
      <c r="Y89" s="960">
        <v>0</v>
      </c>
      <c r="Z89" s="1517">
        <v>0</v>
      </c>
      <c r="AB89" s="1115">
        <f t="shared" ref="AB89:AB91" si="15">AVERAGE(W89,U89,Q89,S89,Y89)</f>
        <v>0</v>
      </c>
      <c r="AC89" s="1116">
        <f t="shared" ref="AC89:AC91" si="16">AVERAGE(X89,V89,R89,T89,Z89)</f>
        <v>0</v>
      </c>
    </row>
    <row r="90" spans="1:31" customFormat="1" x14ac:dyDescent="0.2">
      <c r="A90" s="1"/>
      <c r="B90" s="341" t="s">
        <v>188</v>
      </c>
      <c r="C90" s="960">
        <v>0</v>
      </c>
      <c r="D90" s="961">
        <v>0</v>
      </c>
      <c r="E90" s="960">
        <v>0</v>
      </c>
      <c r="F90" s="961">
        <v>0</v>
      </c>
      <c r="G90" s="960">
        <v>0</v>
      </c>
      <c r="H90" s="961">
        <v>0</v>
      </c>
      <c r="I90" s="960">
        <v>0</v>
      </c>
      <c r="J90" s="961">
        <v>0</v>
      </c>
      <c r="K90" s="960">
        <v>0</v>
      </c>
      <c r="L90" s="961">
        <v>0</v>
      </c>
      <c r="M90" s="960">
        <v>0</v>
      </c>
      <c r="N90" s="961">
        <v>0</v>
      </c>
      <c r="O90" s="960">
        <v>0</v>
      </c>
      <c r="P90" s="961">
        <v>0</v>
      </c>
      <c r="Q90" s="960">
        <v>0</v>
      </c>
      <c r="R90" s="961">
        <v>0</v>
      </c>
      <c r="S90" s="960">
        <v>0</v>
      </c>
      <c r="T90" s="961">
        <v>0</v>
      </c>
      <c r="U90" s="960">
        <v>0</v>
      </c>
      <c r="V90" s="961">
        <v>0</v>
      </c>
      <c r="W90" s="960">
        <v>0</v>
      </c>
      <c r="X90" s="961">
        <v>0</v>
      </c>
      <c r="Y90" s="960">
        <v>0</v>
      </c>
      <c r="Z90" s="1517">
        <v>0</v>
      </c>
      <c r="AB90" s="1115">
        <f t="shared" si="15"/>
        <v>0</v>
      </c>
      <c r="AC90" s="1116">
        <f t="shared" si="16"/>
        <v>0</v>
      </c>
    </row>
    <row r="91" spans="1:31" customFormat="1" ht="13.5" thickBot="1" x14ac:dyDescent="0.25">
      <c r="A91" s="1"/>
      <c r="B91" s="344" t="s">
        <v>211</v>
      </c>
      <c r="C91" s="962">
        <v>0</v>
      </c>
      <c r="D91" s="963">
        <v>0</v>
      </c>
      <c r="E91" s="962">
        <v>0</v>
      </c>
      <c r="F91" s="963">
        <v>0</v>
      </c>
      <c r="G91" s="962">
        <v>0</v>
      </c>
      <c r="H91" s="963">
        <v>0</v>
      </c>
      <c r="I91" s="962">
        <v>0</v>
      </c>
      <c r="J91" s="963">
        <v>0</v>
      </c>
      <c r="K91" s="962">
        <v>0</v>
      </c>
      <c r="L91" s="963">
        <v>0</v>
      </c>
      <c r="M91" s="962">
        <v>0</v>
      </c>
      <c r="N91" s="963">
        <v>0</v>
      </c>
      <c r="O91" s="964">
        <v>0</v>
      </c>
      <c r="P91" s="963">
        <v>0</v>
      </c>
      <c r="Q91" s="964">
        <v>0</v>
      </c>
      <c r="R91" s="963">
        <v>0</v>
      </c>
      <c r="S91" s="964">
        <v>0</v>
      </c>
      <c r="T91" s="963">
        <v>0</v>
      </c>
      <c r="U91" s="964">
        <v>0</v>
      </c>
      <c r="V91" s="963">
        <v>0</v>
      </c>
      <c r="W91" s="964">
        <v>0</v>
      </c>
      <c r="X91" s="963">
        <v>0</v>
      </c>
      <c r="Y91" s="964">
        <v>0</v>
      </c>
      <c r="Z91" s="1518">
        <v>0</v>
      </c>
      <c r="AB91" s="1115">
        <f t="shared" si="15"/>
        <v>0</v>
      </c>
      <c r="AC91" s="1116">
        <f t="shared" si="16"/>
        <v>0</v>
      </c>
    </row>
    <row r="92" spans="1:31" customFormat="1" ht="17.25" thickTop="1" thickBot="1" x14ac:dyDescent="0.3">
      <c r="A92" s="966"/>
      <c r="B92" s="967"/>
      <c r="C92" s="1992" t="s">
        <v>51</v>
      </c>
      <c r="D92" s="1993"/>
      <c r="E92" s="1992" t="s">
        <v>52</v>
      </c>
      <c r="F92" s="1993"/>
      <c r="G92" s="1989" t="s">
        <v>184</v>
      </c>
      <c r="H92" s="1990"/>
      <c r="I92" s="1989" t="s">
        <v>185</v>
      </c>
      <c r="J92" s="1990"/>
      <c r="K92" s="1989" t="s">
        <v>202</v>
      </c>
      <c r="L92" s="1990"/>
      <c r="M92" s="1991" t="s">
        <v>203</v>
      </c>
      <c r="N92" s="1979"/>
      <c r="O92" s="1970" t="s">
        <v>254</v>
      </c>
      <c r="P92" s="1979"/>
      <c r="Q92" s="1970" t="s">
        <v>238</v>
      </c>
      <c r="R92" s="1979"/>
      <c r="S92" s="1970" t="s">
        <v>273</v>
      </c>
      <c r="T92" s="1979"/>
      <c r="U92" s="1970" t="s">
        <v>275</v>
      </c>
      <c r="V92" s="1979"/>
      <c r="W92" s="1970" t="s">
        <v>281</v>
      </c>
      <c r="X92" s="1979"/>
      <c r="Y92" s="1970" t="s">
        <v>291</v>
      </c>
      <c r="Z92" s="1976"/>
      <c r="AA92" s="932"/>
      <c r="AB92" s="1987"/>
      <c r="AC92" s="1988"/>
      <c r="AD92" s="28"/>
      <c r="AE92" s="3"/>
    </row>
    <row r="93" spans="1:31" customFormat="1" x14ac:dyDescent="0.2">
      <c r="A93" s="3"/>
      <c r="B93" s="342" t="s">
        <v>210</v>
      </c>
      <c r="C93" s="3"/>
      <c r="D93" s="969"/>
      <c r="E93" s="970"/>
      <c r="F93" s="971"/>
      <c r="G93" s="972"/>
      <c r="H93" s="973"/>
      <c r="I93" s="974"/>
      <c r="J93" s="593"/>
      <c r="K93" s="975"/>
      <c r="L93" s="976"/>
      <c r="M93" s="975"/>
      <c r="N93" s="991"/>
      <c r="O93" s="117"/>
      <c r="P93" s="1422"/>
      <c r="Q93" s="975"/>
      <c r="R93" s="991"/>
      <c r="S93" s="975"/>
      <c r="T93" s="991"/>
      <c r="U93" s="117"/>
      <c r="V93" s="1422"/>
      <c r="W93" s="975"/>
      <c r="X93" s="991"/>
      <c r="Y93" s="975"/>
      <c r="Z93" s="977"/>
      <c r="AA93" s="28"/>
      <c r="AB93" s="28"/>
      <c r="AC93" s="28"/>
      <c r="AD93" s="3"/>
      <c r="AE93" s="3"/>
    </row>
    <row r="94" spans="1:31" customFormat="1" x14ac:dyDescent="0.2">
      <c r="A94" s="930"/>
      <c r="B94" s="979" t="s">
        <v>192</v>
      </c>
      <c r="C94" s="1983">
        <v>3.3</v>
      </c>
      <c r="D94" s="1984"/>
      <c r="E94" s="980"/>
      <c r="F94" s="981"/>
      <c r="G94" s="982"/>
      <c r="H94" s="983"/>
      <c r="I94" s="1983">
        <v>5.18</v>
      </c>
      <c r="J94" s="1984"/>
      <c r="K94" s="984"/>
      <c r="L94" s="985"/>
      <c r="M94" s="984"/>
      <c r="N94" s="991"/>
      <c r="O94" s="136"/>
      <c r="P94" s="1401">
        <v>10</v>
      </c>
      <c r="Q94" s="984"/>
      <c r="R94" s="991"/>
      <c r="S94" s="984"/>
      <c r="T94" s="991"/>
      <c r="U94" s="136"/>
      <c r="V94" s="1401">
        <v>8.48</v>
      </c>
      <c r="W94" s="984"/>
      <c r="X94" s="991"/>
      <c r="Y94" s="984"/>
      <c r="Z94" s="977"/>
      <c r="AA94" s="28"/>
      <c r="AB94" s="28"/>
      <c r="AC94" s="1106"/>
      <c r="AD94" s="3"/>
      <c r="AE94" s="3" t="s">
        <v>29</v>
      </c>
    </row>
    <row r="95" spans="1:31" customFormat="1" x14ac:dyDescent="0.2">
      <c r="A95" s="930"/>
      <c r="B95" s="986" t="s">
        <v>193</v>
      </c>
      <c r="C95" s="1983"/>
      <c r="D95" s="1984"/>
      <c r="E95" s="980"/>
      <c r="F95" s="981"/>
      <c r="G95" s="982"/>
      <c r="H95" s="983"/>
      <c r="I95" s="1983"/>
      <c r="J95" s="1984"/>
      <c r="K95" s="984"/>
      <c r="L95" s="985"/>
      <c r="M95" s="984"/>
      <c r="N95" s="991"/>
      <c r="O95" s="136"/>
      <c r="P95" s="1401"/>
      <c r="Q95" s="984"/>
      <c r="R95" s="991"/>
      <c r="S95" s="984"/>
      <c r="T95" s="991"/>
      <c r="U95" s="136"/>
      <c r="V95" s="1401"/>
      <c r="W95" s="984"/>
      <c r="X95" s="991"/>
      <c r="Y95" s="984"/>
      <c r="Z95" s="977"/>
      <c r="AA95" s="28"/>
      <c r="AB95" s="28"/>
      <c r="AC95" s="1106"/>
      <c r="AD95" s="3"/>
      <c r="AE95" s="3"/>
    </row>
    <row r="96" spans="1:31" customFormat="1" x14ac:dyDescent="0.2">
      <c r="A96" s="930"/>
      <c r="B96" s="986" t="s">
        <v>194</v>
      </c>
      <c r="C96" s="1983">
        <v>0</v>
      </c>
      <c r="D96" s="1984"/>
      <c r="E96" s="980"/>
      <c r="F96" s="981"/>
      <c r="G96" s="982"/>
      <c r="H96" s="983"/>
      <c r="I96" s="1983">
        <v>0</v>
      </c>
      <c r="J96" s="1984"/>
      <c r="K96" s="984"/>
      <c r="L96" s="985"/>
      <c r="M96" s="984"/>
      <c r="N96" s="991"/>
      <c r="O96" s="136"/>
      <c r="P96" s="1401">
        <v>0</v>
      </c>
      <c r="Q96" s="984"/>
      <c r="R96" s="991"/>
      <c r="S96" s="984"/>
      <c r="T96" s="991"/>
      <c r="U96" s="136"/>
      <c r="V96" s="1401">
        <v>0</v>
      </c>
      <c r="W96" s="984"/>
      <c r="X96" s="991"/>
      <c r="Y96" s="984"/>
      <c r="Z96" s="977"/>
      <c r="AA96" s="28"/>
      <c r="AB96" s="28"/>
      <c r="AC96" s="1106"/>
      <c r="AD96" s="3"/>
      <c r="AE96" s="3"/>
    </row>
    <row r="97" spans="1:31" customFormat="1" x14ac:dyDescent="0.2">
      <c r="A97" s="930"/>
      <c r="B97" s="979" t="s">
        <v>195</v>
      </c>
      <c r="C97" s="1983">
        <v>0</v>
      </c>
      <c r="D97" s="1984"/>
      <c r="E97" s="980"/>
      <c r="F97" s="981"/>
      <c r="G97" s="982"/>
      <c r="H97" s="983"/>
      <c r="I97" s="1983">
        <v>0</v>
      </c>
      <c r="J97" s="1984"/>
      <c r="K97" s="984"/>
      <c r="L97" s="985"/>
      <c r="M97" s="984"/>
      <c r="N97" s="991"/>
      <c r="O97" s="136"/>
      <c r="P97" s="1401">
        <v>0</v>
      </c>
      <c r="Q97" s="984"/>
      <c r="R97" s="991"/>
      <c r="S97" s="984"/>
      <c r="T97" s="991"/>
      <c r="U97" s="136"/>
      <c r="V97" s="1401">
        <v>0</v>
      </c>
      <c r="W97" s="984"/>
      <c r="X97" s="991"/>
      <c r="Y97" s="984"/>
      <c r="Z97" s="977"/>
      <c r="AA97" s="28"/>
      <c r="AB97" s="28"/>
      <c r="AC97" s="1106"/>
      <c r="AD97" s="3"/>
      <c r="AE97" s="3"/>
    </row>
    <row r="98" spans="1:31" customFormat="1" x14ac:dyDescent="0.2">
      <c r="A98" s="930"/>
      <c r="B98" s="987" t="s">
        <v>196</v>
      </c>
      <c r="C98" s="1983">
        <v>1.7</v>
      </c>
      <c r="D98" s="1984"/>
      <c r="E98" s="980"/>
      <c r="F98" s="981"/>
      <c r="G98" s="982"/>
      <c r="H98" s="983"/>
      <c r="I98" s="1983">
        <v>0</v>
      </c>
      <c r="J98" s="1984"/>
      <c r="K98" s="984"/>
      <c r="L98" s="985"/>
      <c r="M98" s="984"/>
      <c r="N98" s="991"/>
      <c r="O98" s="136"/>
      <c r="P98" s="1401">
        <v>1</v>
      </c>
      <c r="Q98" s="984"/>
      <c r="R98" s="991"/>
      <c r="S98" s="984"/>
      <c r="T98" s="991"/>
      <c r="U98" s="136"/>
      <c r="V98" s="1401">
        <v>3</v>
      </c>
      <c r="W98" s="984"/>
      <c r="X98" s="991"/>
      <c r="Y98" s="984"/>
      <c r="Z98" s="977"/>
      <c r="AA98" s="28"/>
      <c r="AB98" s="28"/>
      <c r="AC98" s="1106"/>
      <c r="AD98" s="3"/>
      <c r="AE98" s="3"/>
    </row>
    <row r="99" spans="1:31" customFormat="1" x14ac:dyDescent="0.2">
      <c r="A99" s="930"/>
      <c r="B99" s="987" t="s">
        <v>197</v>
      </c>
      <c r="C99" s="1983">
        <f>SUM(C94:D98)</f>
        <v>5</v>
      </c>
      <c r="D99" s="1984"/>
      <c r="E99" s="980"/>
      <c r="F99" s="981"/>
      <c r="G99" s="982"/>
      <c r="H99" s="983"/>
      <c r="I99" s="1983">
        <f>SUM(I94:J98)</f>
        <v>5.18</v>
      </c>
      <c r="J99" s="1984"/>
      <c r="K99" s="984"/>
      <c r="L99" s="985"/>
      <c r="M99" s="984"/>
      <c r="N99" s="991"/>
      <c r="O99" s="136"/>
      <c r="P99" s="1401">
        <f>SUM(P94:P98)</f>
        <v>11</v>
      </c>
      <c r="Q99" s="984"/>
      <c r="R99" s="991"/>
      <c r="S99" s="984"/>
      <c r="T99" s="991"/>
      <c r="U99" s="136"/>
      <c r="V99" s="1401">
        <f>SUM(V94:V98)</f>
        <v>11.48</v>
      </c>
      <c r="W99" s="984"/>
      <c r="X99" s="991"/>
      <c r="Y99" s="984"/>
      <c r="Z99" s="977"/>
      <c r="AA99" s="28"/>
      <c r="AB99" s="28"/>
      <c r="AC99" s="1106"/>
      <c r="AD99" s="3"/>
      <c r="AE99" s="3"/>
    </row>
    <row r="100" spans="1:31" customFormat="1" ht="13.5" thickBot="1" x14ac:dyDescent="0.25">
      <c r="A100" s="930"/>
      <c r="B100" s="988" t="s">
        <v>204</v>
      </c>
      <c r="C100" s="2056"/>
      <c r="D100" s="2055"/>
      <c r="E100" s="989"/>
      <c r="F100" s="990"/>
      <c r="G100" s="975"/>
      <c r="H100" s="991"/>
      <c r="I100" s="2056"/>
      <c r="J100" s="2055"/>
      <c r="K100" s="984"/>
      <c r="L100" s="985"/>
      <c r="M100" s="984"/>
      <c r="N100" s="991"/>
      <c r="O100" s="136"/>
      <c r="P100" s="1422"/>
      <c r="Q100" s="984"/>
      <c r="R100" s="991"/>
      <c r="S100" s="984"/>
      <c r="T100" s="991"/>
      <c r="U100" s="136"/>
      <c r="V100" s="1422"/>
      <c r="W100" s="984"/>
      <c r="X100" s="991"/>
      <c r="Y100" s="984"/>
      <c r="Z100" s="977"/>
      <c r="AA100" s="28"/>
      <c r="AB100" s="28"/>
      <c r="AC100" s="1106"/>
      <c r="AD100" s="3"/>
      <c r="AE100" s="3"/>
    </row>
    <row r="101" spans="1:31" customFormat="1" x14ac:dyDescent="0.2">
      <c r="A101" s="930"/>
      <c r="B101" s="979" t="s">
        <v>198</v>
      </c>
      <c r="C101" s="2043">
        <v>1326</v>
      </c>
      <c r="D101" s="2044"/>
      <c r="E101" s="992"/>
      <c r="F101" s="993"/>
      <c r="G101" s="994"/>
      <c r="H101" s="995"/>
      <c r="I101" s="2043">
        <v>2073</v>
      </c>
      <c r="J101" s="2044"/>
      <c r="K101" s="984"/>
      <c r="L101" s="985"/>
      <c r="M101" s="984"/>
      <c r="N101" s="991"/>
      <c r="O101" s="136"/>
      <c r="P101" s="1462">
        <v>2319</v>
      </c>
      <c r="Q101" s="984"/>
      <c r="R101" s="991"/>
      <c r="S101" s="984"/>
      <c r="T101" s="991"/>
      <c r="U101" s="136"/>
      <c r="V101" s="1462">
        <v>1935</v>
      </c>
      <c r="W101" s="984"/>
      <c r="X101" s="991"/>
      <c r="Y101" s="984"/>
      <c r="Z101" s="977"/>
      <c r="AA101" s="28"/>
      <c r="AB101" s="28"/>
      <c r="AC101" s="1473"/>
      <c r="AD101" s="3"/>
      <c r="AE101" s="3"/>
    </row>
    <row r="102" spans="1:31" customFormat="1" x14ac:dyDescent="0.2">
      <c r="A102" s="930"/>
      <c r="B102" s="987" t="s">
        <v>199</v>
      </c>
      <c r="C102" s="2043">
        <v>0</v>
      </c>
      <c r="D102" s="2044"/>
      <c r="E102" s="992"/>
      <c r="F102" s="993"/>
      <c r="G102" s="994"/>
      <c r="H102" s="995"/>
      <c r="I102" s="2043">
        <v>0</v>
      </c>
      <c r="J102" s="2044"/>
      <c r="K102" s="984"/>
      <c r="L102" s="985"/>
      <c r="M102" s="984"/>
      <c r="N102" s="991"/>
      <c r="O102" s="136"/>
      <c r="P102" s="1462">
        <v>0</v>
      </c>
      <c r="Q102" s="984"/>
      <c r="R102" s="991"/>
      <c r="S102" s="984"/>
      <c r="T102" s="991"/>
      <c r="U102" s="136"/>
      <c r="V102" s="1462">
        <v>0</v>
      </c>
      <c r="W102" s="984"/>
      <c r="X102" s="991"/>
      <c r="Y102" s="984"/>
      <c r="Z102" s="977"/>
      <c r="AA102" s="28"/>
      <c r="AB102" s="28"/>
      <c r="AC102" s="1473"/>
      <c r="AD102" s="3"/>
      <c r="AE102" s="3"/>
    </row>
    <row r="103" spans="1:31" customFormat="1" x14ac:dyDescent="0.2">
      <c r="A103" s="930"/>
      <c r="B103" s="987" t="s">
        <v>200</v>
      </c>
      <c r="C103" s="2043">
        <v>945</v>
      </c>
      <c r="D103" s="2044"/>
      <c r="E103" s="992"/>
      <c r="F103" s="993"/>
      <c r="G103" s="994"/>
      <c r="H103" s="995"/>
      <c r="I103" s="2043">
        <v>0</v>
      </c>
      <c r="J103" s="2044"/>
      <c r="K103" s="984"/>
      <c r="L103" s="985"/>
      <c r="M103" s="984"/>
      <c r="N103" s="991"/>
      <c r="O103" s="136"/>
      <c r="P103" s="1462">
        <v>102</v>
      </c>
      <c r="Q103" s="984"/>
      <c r="R103" s="991"/>
      <c r="S103" s="984"/>
      <c r="T103" s="991"/>
      <c r="U103" s="136"/>
      <c r="V103" s="1462">
        <v>1050</v>
      </c>
      <c r="W103" s="984"/>
      <c r="X103" s="991"/>
      <c r="Y103" s="984"/>
      <c r="Z103" s="977"/>
      <c r="AA103" s="28"/>
      <c r="AB103" s="28"/>
      <c r="AC103" s="1473"/>
      <c r="AD103" s="3"/>
      <c r="AE103" s="3"/>
    </row>
    <row r="104" spans="1:31" customFormat="1" x14ac:dyDescent="0.2">
      <c r="A104" s="930"/>
      <c r="B104" s="987" t="s">
        <v>209</v>
      </c>
      <c r="C104" s="2043">
        <f>SUM(C101:D103)</f>
        <v>2271</v>
      </c>
      <c r="D104" s="2044"/>
      <c r="E104" s="992"/>
      <c r="F104" s="993"/>
      <c r="G104" s="994"/>
      <c r="H104" s="995"/>
      <c r="I104" s="2043">
        <f>SUM(I101:J103)</f>
        <v>2073</v>
      </c>
      <c r="J104" s="2044"/>
      <c r="K104" s="984"/>
      <c r="L104" s="985"/>
      <c r="M104" s="984"/>
      <c r="N104" s="991"/>
      <c r="O104" s="136"/>
      <c r="P104" s="1462">
        <f>SUM(P101:P103)</f>
        <v>2421</v>
      </c>
      <c r="Q104" s="984"/>
      <c r="R104" s="991"/>
      <c r="S104" s="984"/>
      <c r="T104" s="991"/>
      <c r="U104" s="136"/>
      <c r="V104" s="1462">
        <f>SUM(V101:V103)</f>
        <v>2985</v>
      </c>
      <c r="W104" s="984"/>
      <c r="X104" s="991"/>
      <c r="Y104" s="984"/>
      <c r="Z104" s="977"/>
      <c r="AA104" s="28"/>
      <c r="AB104" s="28"/>
      <c r="AC104" s="1473"/>
      <c r="AD104" s="3"/>
      <c r="AE104" s="3"/>
    </row>
    <row r="105" spans="1:31" customFormat="1" ht="13.5" thickBot="1" x14ac:dyDescent="0.25">
      <c r="A105" s="930"/>
      <c r="B105" s="988" t="s">
        <v>205</v>
      </c>
      <c r="C105" s="2056"/>
      <c r="D105" s="2055"/>
      <c r="E105" s="989"/>
      <c r="F105" s="990"/>
      <c r="G105" s="975"/>
      <c r="H105" s="991"/>
      <c r="I105" s="2056"/>
      <c r="J105" s="2055"/>
      <c r="K105" s="984"/>
      <c r="L105" s="985"/>
      <c r="M105" s="984"/>
      <c r="N105" s="991"/>
      <c r="O105" s="136"/>
      <c r="P105" s="1422"/>
      <c r="Q105" s="984"/>
      <c r="R105" s="991"/>
      <c r="S105" s="984"/>
      <c r="T105" s="991"/>
      <c r="U105" s="136"/>
      <c r="V105" s="1422"/>
      <c r="W105" s="984"/>
      <c r="X105" s="991"/>
      <c r="Y105" s="984"/>
      <c r="Z105" s="977"/>
      <c r="AA105" s="28"/>
      <c r="AB105" s="28"/>
      <c r="AC105" s="1106"/>
      <c r="AD105" s="28"/>
      <c r="AE105" s="28"/>
    </row>
    <row r="106" spans="1:31" customFormat="1" x14ac:dyDescent="0.2">
      <c r="A106" s="930"/>
      <c r="B106" s="979" t="s">
        <v>206</v>
      </c>
      <c r="C106" s="1985">
        <f>C101/C94</f>
        <v>401.81818181818181</v>
      </c>
      <c r="D106" s="1986"/>
      <c r="E106" s="996"/>
      <c r="F106" s="997"/>
      <c r="G106" s="998"/>
      <c r="H106" s="999"/>
      <c r="I106" s="1985">
        <f>I101/I94</f>
        <v>400.19305019305023</v>
      </c>
      <c r="J106" s="1986"/>
      <c r="K106" s="1000"/>
      <c r="L106" s="1001"/>
      <c r="M106" s="1000"/>
      <c r="N106" s="999"/>
      <c r="O106" s="494"/>
      <c r="P106" s="1402">
        <f>P101/P94</f>
        <v>231.9</v>
      </c>
      <c r="Q106" s="1000"/>
      <c r="R106" s="999"/>
      <c r="S106" s="1000"/>
      <c r="T106" s="999"/>
      <c r="U106" s="494"/>
      <c r="V106" s="1402">
        <f>V101/V94</f>
        <v>228.18396226415092</v>
      </c>
      <c r="W106" s="1000"/>
      <c r="X106" s="999"/>
      <c r="Y106" s="1000"/>
      <c r="Z106" s="1460"/>
      <c r="AA106" s="668"/>
      <c r="AB106" s="668"/>
      <c r="AC106" s="1106"/>
      <c r="AD106" s="21"/>
      <c r="AE106" s="21"/>
    </row>
    <row r="107" spans="1:31" customFormat="1" x14ac:dyDescent="0.2">
      <c r="A107" s="930"/>
      <c r="B107" s="987" t="s">
        <v>207</v>
      </c>
      <c r="C107" s="1985">
        <v>0</v>
      </c>
      <c r="D107" s="1986"/>
      <c r="E107" s="996"/>
      <c r="F107" s="997"/>
      <c r="G107" s="998"/>
      <c r="H107" s="999"/>
      <c r="I107" s="1985">
        <v>0</v>
      </c>
      <c r="J107" s="1986"/>
      <c r="K107" s="1000"/>
      <c r="L107" s="1001"/>
      <c r="M107" s="1000"/>
      <c r="N107" s="999"/>
      <c r="O107" s="494"/>
      <c r="P107" s="1402">
        <v>0</v>
      </c>
      <c r="Q107" s="1000"/>
      <c r="R107" s="999"/>
      <c r="S107" s="1000"/>
      <c r="T107" s="999"/>
      <c r="U107" s="494"/>
      <c r="V107" s="1402">
        <v>0</v>
      </c>
      <c r="W107" s="1000"/>
      <c r="X107" s="999"/>
      <c r="Y107" s="1000"/>
      <c r="Z107" s="1460"/>
      <c r="AA107" s="668"/>
      <c r="AB107" s="668"/>
      <c r="AC107" s="1106"/>
      <c r="AD107" s="21"/>
      <c r="AE107" s="21"/>
    </row>
    <row r="108" spans="1:31" customFormat="1" x14ac:dyDescent="0.2">
      <c r="A108" s="930"/>
      <c r="B108" s="987" t="s">
        <v>208</v>
      </c>
      <c r="C108" s="1985">
        <f>C103/C98</f>
        <v>555.88235294117646</v>
      </c>
      <c r="D108" s="1986"/>
      <c r="E108" s="996"/>
      <c r="F108" s="997"/>
      <c r="G108" s="998"/>
      <c r="H108" s="999"/>
      <c r="I108" s="1985">
        <v>0</v>
      </c>
      <c r="J108" s="1986"/>
      <c r="K108" s="1000"/>
      <c r="L108" s="1001"/>
      <c r="M108" s="1000"/>
      <c r="N108" s="999"/>
      <c r="O108" s="494"/>
      <c r="P108" s="1402">
        <f>P103/P98</f>
        <v>102</v>
      </c>
      <c r="Q108" s="1000"/>
      <c r="R108" s="999"/>
      <c r="S108" s="1000"/>
      <c r="T108" s="999"/>
      <c r="U108" s="494"/>
      <c r="V108" s="1402">
        <f>V103/V98</f>
        <v>350</v>
      </c>
      <c r="W108" s="1000"/>
      <c r="X108" s="999"/>
      <c r="Y108" s="1000"/>
      <c r="Z108" s="1460"/>
      <c r="AA108" s="668"/>
      <c r="AB108" s="668"/>
      <c r="AC108" s="1106"/>
      <c r="AD108" s="21"/>
      <c r="AE108" s="21"/>
    </row>
    <row r="109" spans="1:31" customFormat="1" ht="13.5" thickBot="1" x14ac:dyDescent="0.25">
      <c r="A109" s="930"/>
      <c r="B109" s="1002" t="s">
        <v>201</v>
      </c>
      <c r="C109" s="2045">
        <f>C104/C99</f>
        <v>454.2</v>
      </c>
      <c r="D109" s="2046"/>
      <c r="E109" s="1003"/>
      <c r="F109" s="1004"/>
      <c r="G109" s="1005"/>
      <c r="H109" s="1006"/>
      <c r="I109" s="2045">
        <f>I104/I99</f>
        <v>400.19305019305023</v>
      </c>
      <c r="J109" s="2046"/>
      <c r="K109" s="1005"/>
      <c r="L109" s="1006"/>
      <c r="M109" s="1005"/>
      <c r="N109" s="1006"/>
      <c r="O109" s="1233"/>
      <c r="P109" s="1423">
        <f>P104/P99</f>
        <v>220.09090909090909</v>
      </c>
      <c r="Q109" s="1005"/>
      <c r="R109" s="1006"/>
      <c r="S109" s="1005"/>
      <c r="T109" s="1006"/>
      <c r="U109" s="1233"/>
      <c r="V109" s="1423">
        <f>V104/V99</f>
        <v>260.01742160278746</v>
      </c>
      <c r="W109" s="1068"/>
      <c r="X109" s="1006"/>
      <c r="Y109" s="1005"/>
      <c r="Z109" s="1461"/>
      <c r="AA109" s="668"/>
      <c r="AB109" s="668"/>
      <c r="AC109" s="1106"/>
      <c r="AD109" s="21"/>
      <c r="AE109" s="21"/>
    </row>
    <row r="110" spans="1:31" thickTop="1" x14ac:dyDescent="0.2">
      <c r="B110" s="3" t="str">
        <f>Dean_AS!B169</f>
        <v>*Note: Beginning with the 2009 collection cycle, Instructional FTE was defined according to the national Delaware Study of Instructional Costs and Productivity</v>
      </c>
      <c r="C110" s="3"/>
      <c r="D110" s="3"/>
      <c r="E110" s="3"/>
      <c r="F110" s="3"/>
      <c r="G110" s="117"/>
      <c r="H110" s="117"/>
      <c r="I110" s="117"/>
      <c r="J110" s="117"/>
      <c r="AC110" s="28"/>
    </row>
  </sheetData>
  <mergeCells count="141">
    <mergeCell ref="W7:X7"/>
    <mergeCell ref="W16:X16"/>
    <mergeCell ref="W24:X24"/>
    <mergeCell ref="W27:X27"/>
    <mergeCell ref="W31:X31"/>
    <mergeCell ref="W57:X57"/>
    <mergeCell ref="AB7:AC7"/>
    <mergeCell ref="AB16:AC16"/>
    <mergeCell ref="AB31:AC31"/>
    <mergeCell ref="AB57:AC57"/>
    <mergeCell ref="AB27:AC27"/>
    <mergeCell ref="AB24:AC24"/>
    <mergeCell ref="Y7:Z7"/>
    <mergeCell ref="Y16:Z16"/>
    <mergeCell ref="Y24:Z24"/>
    <mergeCell ref="Y27:Z27"/>
    <mergeCell ref="Y31:Z31"/>
    <mergeCell ref="Y57:Z57"/>
    <mergeCell ref="G31:H31"/>
    <mergeCell ref="M57:N57"/>
    <mergeCell ref="M24:N24"/>
    <mergeCell ref="M27:N27"/>
    <mergeCell ref="C24:D24"/>
    <mergeCell ref="E24:F24"/>
    <mergeCell ref="G24:H24"/>
    <mergeCell ref="G26:H26"/>
    <mergeCell ref="C27:D27"/>
    <mergeCell ref="E27:F27"/>
    <mergeCell ref="G27:H27"/>
    <mergeCell ref="I27:J27"/>
    <mergeCell ref="C57:D57"/>
    <mergeCell ref="E57:F57"/>
    <mergeCell ref="E31:F31"/>
    <mergeCell ref="C31:D31"/>
    <mergeCell ref="G57:H57"/>
    <mergeCell ref="I31:J31"/>
    <mergeCell ref="I26:J26"/>
    <mergeCell ref="U7:V7"/>
    <mergeCell ref="U16:V16"/>
    <mergeCell ref="U24:V24"/>
    <mergeCell ref="U27:V27"/>
    <mergeCell ref="U31:V31"/>
    <mergeCell ref="U57:V57"/>
    <mergeCell ref="C108:D108"/>
    <mergeCell ref="I108:J108"/>
    <mergeCell ref="C103:D103"/>
    <mergeCell ref="I103:J103"/>
    <mergeCell ref="C104:D104"/>
    <mergeCell ref="I104:J104"/>
    <mergeCell ref="C105:D105"/>
    <mergeCell ref="I105:J105"/>
    <mergeCell ref="C94:D94"/>
    <mergeCell ref="I94:J94"/>
    <mergeCell ref="C95:D95"/>
    <mergeCell ref="I95:J95"/>
    <mergeCell ref="C87:D87"/>
    <mergeCell ref="E87:F87"/>
    <mergeCell ref="K87:L87"/>
    <mergeCell ref="M87:N87"/>
    <mergeCell ref="C106:D106"/>
    <mergeCell ref="I106:J106"/>
    <mergeCell ref="C109:D109"/>
    <mergeCell ref="I109:J109"/>
    <mergeCell ref="C99:D99"/>
    <mergeCell ref="I99:J99"/>
    <mergeCell ref="C96:D96"/>
    <mergeCell ref="I96:J96"/>
    <mergeCell ref="C97:D97"/>
    <mergeCell ref="I97:J97"/>
    <mergeCell ref="C102:D102"/>
    <mergeCell ref="I102:J102"/>
    <mergeCell ref="C107:D107"/>
    <mergeCell ref="I107:J107"/>
    <mergeCell ref="C100:D100"/>
    <mergeCell ref="I100:J100"/>
    <mergeCell ref="C101:D101"/>
    <mergeCell ref="I101:J101"/>
    <mergeCell ref="C98:D98"/>
    <mergeCell ref="I98:J98"/>
    <mergeCell ref="AB87:AC87"/>
    <mergeCell ref="C92:D92"/>
    <mergeCell ref="E92:F92"/>
    <mergeCell ref="G92:H92"/>
    <mergeCell ref="I92:J92"/>
    <mergeCell ref="K92:L92"/>
    <mergeCell ref="M92:N92"/>
    <mergeCell ref="AB92:AC92"/>
    <mergeCell ref="O87:P87"/>
    <mergeCell ref="G87:H87"/>
    <mergeCell ref="I87:J87"/>
    <mergeCell ref="W87:X87"/>
    <mergeCell ref="W92:X92"/>
    <mergeCell ref="O92:P92"/>
    <mergeCell ref="S87:T87"/>
    <mergeCell ref="S92:T92"/>
    <mergeCell ref="U87:V87"/>
    <mergeCell ref="U92:V92"/>
    <mergeCell ref="Q87:R87"/>
    <mergeCell ref="Q92:R92"/>
    <mergeCell ref="Y87:Z87"/>
    <mergeCell ref="Y92:Z92"/>
    <mergeCell ref="Q24:R24"/>
    <mergeCell ref="Q27:R27"/>
    <mergeCell ref="K7:L7"/>
    <mergeCell ref="K16:L16"/>
    <mergeCell ref="O7:P7"/>
    <mergeCell ref="O16:P16"/>
    <mergeCell ref="O24:P24"/>
    <mergeCell ref="K24:L24"/>
    <mergeCell ref="C25:D25"/>
    <mergeCell ref="E25:F25"/>
    <mergeCell ref="G25:H25"/>
    <mergeCell ref="C16:D16"/>
    <mergeCell ref="E16:F16"/>
    <mergeCell ref="G16:H16"/>
    <mergeCell ref="I7:J7"/>
    <mergeCell ref="I16:J16"/>
    <mergeCell ref="Q31:R31"/>
    <mergeCell ref="Q57:R57"/>
    <mergeCell ref="O27:P27"/>
    <mergeCell ref="C26:D26"/>
    <mergeCell ref="E26:F26"/>
    <mergeCell ref="S7:T7"/>
    <mergeCell ref="S16:T16"/>
    <mergeCell ref="S24:T24"/>
    <mergeCell ref="S27:T27"/>
    <mergeCell ref="I57:J57"/>
    <mergeCell ref="O31:P31"/>
    <mergeCell ref="O57:P57"/>
    <mergeCell ref="K31:L31"/>
    <mergeCell ref="K57:L57"/>
    <mergeCell ref="M31:N31"/>
    <mergeCell ref="S31:T31"/>
    <mergeCell ref="S57:T57"/>
    <mergeCell ref="M7:N7"/>
    <mergeCell ref="M16:N16"/>
    <mergeCell ref="K27:L27"/>
    <mergeCell ref="I25:J25"/>
    <mergeCell ref="I24:J24"/>
    <mergeCell ref="Q7:R7"/>
    <mergeCell ref="Q16:R16"/>
  </mergeCells>
  <phoneticPr fontId="3" type="noConversion"/>
  <printOptions horizontalCentered="1"/>
  <pageMargins left="0.5" right="0.5" top="0.5" bottom="0.25" header="0.5" footer="0.28000000000000003"/>
  <pageSetup scale="74" orientation="landscape" r:id="rId1"/>
  <headerFooter alignWithMargins="0">
    <oddFooter>&amp;R&amp;P of &amp;N
&amp;D</oddFooter>
  </headerFooter>
  <rowBreaks count="1" manualBreakCount="1">
    <brk id="54" max="20" man="1"/>
  </rowBreaks>
  <ignoredErrors>
    <ignoredError sqref="S67:S86 W67:W84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3"/>
  <sheetViews>
    <sheetView view="pageBreakPreview" zoomScaleNormal="100" workbookViewId="0">
      <pane xSplit="2" ySplit="1" topLeftCell="C2" activePane="bottomRight" state="frozen"/>
      <selection activeCell="AF81" sqref="AF81"/>
      <selection pane="topRight" activeCell="AF81" sqref="AF81"/>
      <selection pane="bottomLeft" activeCell="AF81" sqref="AF81"/>
      <selection pane="bottomRight" activeCell="AF81" sqref="AF81"/>
    </sheetView>
  </sheetViews>
  <sheetFormatPr defaultColWidth="10.28515625" defaultRowHeight="12.75" x14ac:dyDescent="0.2"/>
  <cols>
    <col min="1" max="1" width="3.7109375" customWidth="1"/>
    <col min="2" max="2" width="29.7109375" customWidth="1"/>
    <col min="3" max="3" width="7.7109375" hidden="1" customWidth="1"/>
    <col min="4" max="4" width="10.7109375" hidden="1" customWidth="1"/>
    <col min="5" max="5" width="7.7109375" hidden="1" customWidth="1"/>
    <col min="6" max="6" width="10.7109375" hidden="1" customWidth="1"/>
    <col min="7" max="7" width="7.7109375" style="115" hidden="1" customWidth="1"/>
    <col min="8" max="8" width="10.7109375" style="115" hidden="1" customWidth="1"/>
    <col min="9" max="9" width="7.7109375" style="115" hidden="1" customWidth="1"/>
    <col min="10" max="10" width="10.7109375" style="115" hidden="1" customWidth="1"/>
    <col min="11" max="11" width="7.7109375" hidden="1" customWidth="1"/>
    <col min="12" max="12" width="10.7109375" hidden="1" customWidth="1"/>
    <col min="13" max="13" width="7.7109375" hidden="1" customWidth="1"/>
    <col min="14" max="14" width="10.7109375" hidden="1" customWidth="1"/>
    <col min="15" max="15" width="7.7109375" customWidth="1"/>
    <col min="16" max="16" width="10.7109375" customWidth="1"/>
    <col min="17" max="17" width="7.7109375" customWidth="1"/>
    <col min="18" max="18" width="10.7109375" customWidth="1"/>
    <col min="19" max="19" width="7.7109375" customWidth="1"/>
    <col min="20" max="20" width="10.7109375" customWidth="1"/>
    <col min="21" max="21" width="7.7109375" customWidth="1"/>
    <col min="22" max="22" width="10.7109375" customWidth="1"/>
    <col min="23" max="23" width="7.7109375" customWidth="1"/>
    <col min="24" max="24" width="10.7109375" customWidth="1"/>
    <col min="25" max="25" width="7.7109375" customWidth="1"/>
    <col min="26" max="26" width="10.7109375" customWidth="1"/>
    <col min="27" max="27" width="2" customWidth="1"/>
    <col min="28" max="28" width="7.7109375" customWidth="1"/>
    <col min="29" max="29" width="10.7109375" customWidth="1"/>
    <col min="30" max="30" width="1.42578125" customWidth="1"/>
  </cols>
  <sheetData>
    <row r="1" spans="1:31" ht="18" x14ac:dyDescent="0.25">
      <c r="A1" s="1183" t="str">
        <f>Dean_AS!A1</f>
        <v>Department Profile Report - FY 2015</v>
      </c>
      <c r="B1" s="1183"/>
      <c r="C1" s="1183"/>
      <c r="D1" s="1183"/>
      <c r="E1" s="1183"/>
      <c r="F1" s="1183"/>
      <c r="G1" s="1183"/>
      <c r="H1" s="1183"/>
      <c r="I1" s="1239"/>
      <c r="J1" s="1239"/>
      <c r="K1" s="1228"/>
      <c r="L1" s="1228"/>
      <c r="M1" s="1182"/>
      <c r="N1" s="1182"/>
      <c r="O1" s="1182"/>
      <c r="P1" s="1182"/>
      <c r="Q1" s="1182"/>
      <c r="R1" s="1182"/>
      <c r="S1" s="1182"/>
      <c r="T1" s="1182"/>
      <c r="U1" s="1182"/>
      <c r="V1" s="1182"/>
      <c r="W1" s="1182"/>
      <c r="X1" s="1182"/>
      <c r="Y1" s="1182"/>
      <c r="Z1" s="1182"/>
      <c r="AA1" s="1182"/>
      <c r="AB1" s="1182"/>
      <c r="AC1" s="1182"/>
    </row>
    <row r="2" spans="1:31" x14ac:dyDescent="0.2">
      <c r="A2" s="3"/>
      <c r="B2" s="3"/>
      <c r="C2" s="3"/>
      <c r="D2" s="3"/>
      <c r="E2" s="3"/>
      <c r="F2" s="3"/>
      <c r="G2" s="117"/>
      <c r="H2" s="117"/>
      <c r="I2" s="117"/>
      <c r="J2" s="117"/>
      <c r="K2" s="3"/>
      <c r="L2" s="3"/>
    </row>
    <row r="3" spans="1:31" x14ac:dyDescent="0.2">
      <c r="A3" s="2" t="s">
        <v>112</v>
      </c>
      <c r="B3" s="116"/>
      <c r="C3" s="3"/>
      <c r="D3" s="3"/>
      <c r="E3" s="3"/>
      <c r="F3" s="3"/>
      <c r="G3" s="117"/>
      <c r="H3" s="117"/>
      <c r="I3" s="117"/>
      <c r="J3" s="117"/>
      <c r="K3" s="3"/>
      <c r="L3" s="3"/>
    </row>
    <row r="4" spans="1:31" x14ac:dyDescent="0.2">
      <c r="A4" s="3"/>
      <c r="B4" s="117"/>
      <c r="C4" s="3"/>
      <c r="D4" s="3"/>
      <c r="E4" s="3"/>
      <c r="F4" s="3"/>
      <c r="G4" s="117"/>
      <c r="H4" s="117"/>
      <c r="I4" s="117"/>
      <c r="J4" s="117"/>
      <c r="K4" s="3"/>
      <c r="L4" s="3"/>
    </row>
    <row r="5" spans="1:31" x14ac:dyDescent="0.2">
      <c r="A5" s="2" t="s">
        <v>77</v>
      </c>
      <c r="B5" s="3"/>
      <c r="C5" s="3"/>
      <c r="D5" s="3"/>
      <c r="E5" s="3"/>
      <c r="F5" s="3"/>
      <c r="G5" s="117"/>
      <c r="H5" s="117"/>
      <c r="I5" s="117"/>
      <c r="J5" s="117"/>
      <c r="K5" s="3"/>
      <c r="L5" s="3"/>
    </row>
    <row r="6" spans="1:31" ht="13.5" thickBot="1" x14ac:dyDescent="0.25">
      <c r="A6" s="4"/>
      <c r="B6" s="3"/>
      <c r="C6" s="3"/>
      <c r="D6" s="3"/>
      <c r="E6" s="3"/>
      <c r="F6" s="3"/>
      <c r="G6" s="117"/>
      <c r="H6" s="117"/>
      <c r="I6" s="117"/>
      <c r="J6" s="117"/>
      <c r="K6" s="3"/>
      <c r="L6" s="3"/>
    </row>
    <row r="7" spans="1:31" ht="14.25" thickTop="1" thickBot="1" x14ac:dyDescent="0.25">
      <c r="A7" s="3"/>
      <c r="B7" s="22"/>
      <c r="C7" s="29" t="s">
        <v>49</v>
      </c>
      <c r="D7" s="51"/>
      <c r="E7" s="29" t="s">
        <v>50</v>
      </c>
      <c r="F7" s="7"/>
      <c r="G7" s="302" t="s">
        <v>141</v>
      </c>
      <c r="H7" s="121"/>
      <c r="I7" s="1968" t="s">
        <v>152</v>
      </c>
      <c r="J7" s="1968"/>
      <c r="K7" s="1994" t="s">
        <v>154</v>
      </c>
      <c r="L7" s="1968"/>
      <c r="M7" s="1994" t="s">
        <v>171</v>
      </c>
      <c r="N7" s="1980"/>
      <c r="O7" s="1968" t="s">
        <v>227</v>
      </c>
      <c r="P7" s="1980"/>
      <c r="Q7" s="1968" t="s">
        <v>237</v>
      </c>
      <c r="R7" s="1980"/>
      <c r="S7" s="1968" t="s">
        <v>272</v>
      </c>
      <c r="T7" s="1980"/>
      <c r="U7" s="1968" t="s">
        <v>274</v>
      </c>
      <c r="V7" s="1980"/>
      <c r="W7" s="1968" t="s">
        <v>280</v>
      </c>
      <c r="X7" s="1980"/>
      <c r="Y7" s="1968" t="s">
        <v>290</v>
      </c>
      <c r="Z7" s="1969"/>
      <c r="AB7" s="2003" t="s">
        <v>213</v>
      </c>
      <c r="AC7" s="2004"/>
    </row>
    <row r="8" spans="1:31" x14ac:dyDescent="0.2">
      <c r="A8" s="3"/>
      <c r="B8" s="71"/>
      <c r="C8" s="42" t="s">
        <v>1</v>
      </c>
      <c r="D8" s="47" t="s">
        <v>2</v>
      </c>
      <c r="E8" s="42" t="s">
        <v>1</v>
      </c>
      <c r="F8" s="8" t="s">
        <v>2</v>
      </c>
      <c r="G8" s="303" t="s">
        <v>1</v>
      </c>
      <c r="H8" s="125" t="s">
        <v>2</v>
      </c>
      <c r="I8" s="124" t="s">
        <v>1</v>
      </c>
      <c r="J8" s="300" t="s">
        <v>2</v>
      </c>
      <c r="K8" s="303" t="s">
        <v>1</v>
      </c>
      <c r="L8" s="300" t="s">
        <v>2</v>
      </c>
      <c r="M8" s="303" t="s">
        <v>1</v>
      </c>
      <c r="N8" s="125" t="s">
        <v>2</v>
      </c>
      <c r="O8" s="124" t="s">
        <v>1</v>
      </c>
      <c r="P8" s="125" t="s">
        <v>2</v>
      </c>
      <c r="Q8" s="124" t="s">
        <v>1</v>
      </c>
      <c r="R8" s="125" t="s">
        <v>2</v>
      </c>
      <c r="S8" s="124" t="s">
        <v>1</v>
      </c>
      <c r="T8" s="125" t="s">
        <v>2</v>
      </c>
      <c r="U8" s="124" t="s">
        <v>1</v>
      </c>
      <c r="V8" s="125" t="s">
        <v>2</v>
      </c>
      <c r="W8" s="124" t="s">
        <v>1</v>
      </c>
      <c r="X8" s="125" t="s">
        <v>2</v>
      </c>
      <c r="Y8" s="124" t="s">
        <v>1</v>
      </c>
      <c r="Z8" s="126" t="s">
        <v>2</v>
      </c>
      <c r="AB8" s="921" t="s">
        <v>214</v>
      </c>
      <c r="AC8" s="922" t="s">
        <v>215</v>
      </c>
    </row>
    <row r="9" spans="1:31" ht="13.5" thickBot="1" x14ac:dyDescent="0.25">
      <c r="A9" s="3"/>
      <c r="B9" s="72"/>
      <c r="C9" s="46" t="s">
        <v>3</v>
      </c>
      <c r="D9" s="48" t="s">
        <v>4</v>
      </c>
      <c r="E9" s="46" t="s">
        <v>3</v>
      </c>
      <c r="F9" s="26" t="s">
        <v>4</v>
      </c>
      <c r="G9" s="304" t="s">
        <v>3</v>
      </c>
      <c r="H9" s="123" t="s">
        <v>4</v>
      </c>
      <c r="I9" s="127" t="s">
        <v>3</v>
      </c>
      <c r="J9" s="301" t="s">
        <v>4</v>
      </c>
      <c r="K9" s="304" t="s">
        <v>3</v>
      </c>
      <c r="L9" s="301" t="s">
        <v>4</v>
      </c>
      <c r="M9" s="304" t="s">
        <v>3</v>
      </c>
      <c r="N9" s="123" t="s">
        <v>4</v>
      </c>
      <c r="O9" s="127" t="s">
        <v>3</v>
      </c>
      <c r="P9" s="123" t="s">
        <v>4</v>
      </c>
      <c r="Q9" s="127" t="s">
        <v>3</v>
      </c>
      <c r="R9" s="123" t="s">
        <v>4</v>
      </c>
      <c r="S9" s="127" t="s">
        <v>3</v>
      </c>
      <c r="T9" s="123" t="s">
        <v>4</v>
      </c>
      <c r="U9" s="127" t="s">
        <v>3</v>
      </c>
      <c r="V9" s="123" t="s">
        <v>4</v>
      </c>
      <c r="W9" s="127" t="s">
        <v>3</v>
      </c>
      <c r="X9" s="123" t="s">
        <v>4</v>
      </c>
      <c r="Y9" s="127" t="s">
        <v>3</v>
      </c>
      <c r="Z9" s="128" t="s">
        <v>4</v>
      </c>
      <c r="AB9" s="923" t="s">
        <v>3</v>
      </c>
      <c r="AC9" s="924" t="s">
        <v>4</v>
      </c>
    </row>
    <row r="10" spans="1:31" x14ac:dyDescent="0.2">
      <c r="A10" s="3"/>
      <c r="B10" s="73" t="s">
        <v>5</v>
      </c>
      <c r="C10" s="15"/>
      <c r="D10" s="49"/>
      <c r="E10" s="15"/>
      <c r="F10" s="13"/>
      <c r="G10" s="305"/>
      <c r="H10" s="131"/>
      <c r="I10" s="130"/>
      <c r="J10" s="150"/>
      <c r="K10" s="305"/>
      <c r="L10" s="150"/>
      <c r="M10" s="305"/>
      <c r="N10" s="131"/>
      <c r="O10" s="130"/>
      <c r="P10" s="131"/>
      <c r="Q10" s="130"/>
      <c r="R10" s="131"/>
      <c r="S10" s="130"/>
      <c r="T10" s="131"/>
      <c r="U10" s="130"/>
      <c r="V10" s="131"/>
      <c r="W10" s="130"/>
      <c r="X10" s="131"/>
      <c r="Y10" s="130"/>
      <c r="Z10" s="296"/>
      <c r="AB10" s="925"/>
      <c r="AC10" s="581"/>
      <c r="AE10" t="s">
        <v>29</v>
      </c>
    </row>
    <row r="11" spans="1:31" x14ac:dyDescent="0.2">
      <c r="A11" s="3"/>
      <c r="B11" s="74" t="s">
        <v>113</v>
      </c>
      <c r="C11" s="14"/>
      <c r="D11" s="50"/>
      <c r="E11" s="14"/>
      <c r="F11" s="9"/>
      <c r="G11" s="318"/>
      <c r="H11" s="405"/>
      <c r="I11" s="404"/>
      <c r="J11" s="129"/>
      <c r="K11" s="318"/>
      <c r="L11" s="129"/>
      <c r="M11" s="318"/>
      <c r="N11" s="405"/>
      <c r="O11" s="404"/>
      <c r="P11" s="405"/>
      <c r="Q11" s="404"/>
      <c r="R11" s="405"/>
      <c r="S11" s="404"/>
      <c r="T11" s="405"/>
      <c r="U11" s="404"/>
      <c r="V11" s="405"/>
      <c r="W11" s="404"/>
      <c r="X11" s="405"/>
      <c r="Y11" s="404"/>
      <c r="Z11" s="291"/>
      <c r="AB11" s="926"/>
      <c r="AC11" s="927"/>
    </row>
    <row r="12" spans="1:31" s="617" customFormat="1" x14ac:dyDescent="0.2">
      <c r="A12" s="618"/>
      <c r="B12" s="654" t="s">
        <v>221</v>
      </c>
      <c r="C12" s="693">
        <v>41</v>
      </c>
      <c r="D12" s="694">
        <v>4</v>
      </c>
      <c r="E12" s="693">
        <f>45+4</f>
        <v>49</v>
      </c>
      <c r="F12" s="695">
        <f>8+1</f>
        <v>9</v>
      </c>
      <c r="G12" s="649">
        <v>42</v>
      </c>
      <c r="H12" s="696">
        <v>5</v>
      </c>
      <c r="I12" s="650">
        <f>4+34</f>
        <v>38</v>
      </c>
      <c r="J12" s="697">
        <f>6+1</f>
        <v>7</v>
      </c>
      <c r="K12" s="649">
        <v>33</v>
      </c>
      <c r="L12" s="665">
        <v>8</v>
      </c>
      <c r="M12" s="649">
        <f>29+8</f>
        <v>37</v>
      </c>
      <c r="N12" s="663">
        <v>6</v>
      </c>
      <c r="O12" s="650">
        <v>60</v>
      </c>
      <c r="P12" s="663">
        <v>5</v>
      </c>
      <c r="Q12" s="650">
        <v>50</v>
      </c>
      <c r="R12" s="663">
        <v>3</v>
      </c>
      <c r="S12" s="650">
        <v>59</v>
      </c>
      <c r="T12" s="663">
        <v>6</v>
      </c>
      <c r="U12" s="650">
        <v>76</v>
      </c>
      <c r="V12" s="663">
        <v>8</v>
      </c>
      <c r="W12" s="650">
        <v>72</v>
      </c>
      <c r="X12" s="663">
        <v>6</v>
      </c>
      <c r="Y12" s="650">
        <v>82</v>
      </c>
      <c r="Z12" s="1646"/>
      <c r="AB12" s="926">
        <f>AVERAGE(W12,U12,Q12,S12,Y12)</f>
        <v>67.8</v>
      </c>
      <c r="AC12" s="928">
        <f>AVERAGE(X12,V12,R12,T12,P12)</f>
        <v>5.6</v>
      </c>
    </row>
    <row r="13" spans="1:31" s="617" customFormat="1" x14ac:dyDescent="0.2">
      <c r="A13" s="618"/>
      <c r="B13" s="669" t="s">
        <v>80</v>
      </c>
      <c r="C13" s="650">
        <v>11</v>
      </c>
      <c r="D13" s="694">
        <v>1</v>
      </c>
      <c r="E13" s="693">
        <v>16</v>
      </c>
      <c r="F13" s="695">
        <v>4</v>
      </c>
      <c r="G13" s="649">
        <v>18</v>
      </c>
      <c r="H13" s="696">
        <v>4</v>
      </c>
      <c r="I13" s="650">
        <v>17</v>
      </c>
      <c r="J13" s="697">
        <v>2</v>
      </c>
      <c r="K13" s="649">
        <v>14</v>
      </c>
      <c r="L13" s="665">
        <v>4</v>
      </c>
      <c r="M13" s="649">
        <v>10</v>
      </c>
      <c r="N13" s="663">
        <v>3</v>
      </c>
      <c r="O13" s="650">
        <v>11</v>
      </c>
      <c r="P13" s="663">
        <v>3</v>
      </c>
      <c r="Q13" s="650">
        <v>19</v>
      </c>
      <c r="R13" s="663">
        <v>11</v>
      </c>
      <c r="S13" s="650">
        <v>24</v>
      </c>
      <c r="T13" s="663">
        <v>2</v>
      </c>
      <c r="U13" s="650">
        <v>29</v>
      </c>
      <c r="V13" s="663">
        <v>6</v>
      </c>
      <c r="W13" s="650">
        <v>24</v>
      </c>
      <c r="X13" s="663">
        <v>4</v>
      </c>
      <c r="Y13" s="650">
        <v>20</v>
      </c>
      <c r="Z13" s="1646"/>
      <c r="AA13" s="1020"/>
      <c r="AB13" s="926">
        <f t="shared" ref="AB13:AB15" si="0">AVERAGE(W13,U13,Q13,S13,Y13)</f>
        <v>23.2</v>
      </c>
      <c r="AC13" s="928">
        <f t="shared" ref="AC13:AC15" si="1">AVERAGE(X13,V13,R13,T13,P13)</f>
        <v>5.2</v>
      </c>
    </row>
    <row r="14" spans="1:31" s="617" customFormat="1" x14ac:dyDescent="0.2">
      <c r="A14" s="618"/>
      <c r="B14" s="669" t="s">
        <v>167</v>
      </c>
      <c r="C14" s="672">
        <v>6</v>
      </c>
      <c r="D14" s="700">
        <f>3+2</f>
        <v>5</v>
      </c>
      <c r="E14" s="672">
        <v>7</v>
      </c>
      <c r="F14" s="701">
        <v>4</v>
      </c>
      <c r="G14" s="662">
        <v>5</v>
      </c>
      <c r="H14" s="663">
        <f>2+2</f>
        <v>4</v>
      </c>
      <c r="I14" s="664">
        <v>4</v>
      </c>
      <c r="J14" s="665">
        <f>3+1</f>
        <v>4</v>
      </c>
      <c r="K14" s="662">
        <v>2</v>
      </c>
      <c r="L14" s="665">
        <v>2</v>
      </c>
      <c r="M14" s="662">
        <v>1</v>
      </c>
      <c r="N14" s="663">
        <v>3</v>
      </c>
      <c r="O14" s="664">
        <v>2</v>
      </c>
      <c r="P14" s="663">
        <v>4</v>
      </c>
      <c r="Q14" s="664">
        <v>0</v>
      </c>
      <c r="R14" s="663">
        <v>2</v>
      </c>
      <c r="S14" s="664">
        <v>2</v>
      </c>
      <c r="T14" s="663">
        <v>2</v>
      </c>
      <c r="U14" s="664">
        <v>5</v>
      </c>
      <c r="V14" s="663">
        <v>3</v>
      </c>
      <c r="W14" s="664">
        <v>3</v>
      </c>
      <c r="X14" s="663">
        <v>3</v>
      </c>
      <c r="Y14" s="664">
        <v>7</v>
      </c>
      <c r="Z14" s="1646"/>
      <c r="AA14" s="1020"/>
      <c r="AB14" s="926">
        <f t="shared" si="0"/>
        <v>3.4</v>
      </c>
      <c r="AC14" s="928">
        <f t="shared" si="1"/>
        <v>2.8</v>
      </c>
    </row>
    <row r="15" spans="1:31" s="617" customFormat="1" ht="13.5" thickBot="1" x14ac:dyDescent="0.25">
      <c r="A15" s="618"/>
      <c r="B15" s="737" t="s">
        <v>6</v>
      </c>
      <c r="C15" s="714">
        <v>52</v>
      </c>
      <c r="D15" s="712">
        <v>7</v>
      </c>
      <c r="E15" s="714">
        <v>54</v>
      </c>
      <c r="F15" s="713">
        <v>7</v>
      </c>
      <c r="G15" s="715">
        <v>56</v>
      </c>
      <c r="H15" s="716">
        <v>3</v>
      </c>
      <c r="I15" s="717">
        <f>52+19</f>
        <v>71</v>
      </c>
      <c r="J15" s="718">
        <v>8</v>
      </c>
      <c r="K15" s="715">
        <v>73</v>
      </c>
      <c r="L15" s="718">
        <v>12</v>
      </c>
      <c r="M15" s="715">
        <v>69</v>
      </c>
      <c r="N15" s="716">
        <v>8</v>
      </c>
      <c r="O15" s="717">
        <v>65</v>
      </c>
      <c r="P15" s="716">
        <v>11</v>
      </c>
      <c r="Q15" s="717">
        <v>57</v>
      </c>
      <c r="R15" s="716">
        <v>10</v>
      </c>
      <c r="S15" s="717">
        <v>61</v>
      </c>
      <c r="T15" s="716">
        <v>7</v>
      </c>
      <c r="U15" s="717">
        <v>57</v>
      </c>
      <c r="V15" s="716">
        <v>3</v>
      </c>
      <c r="W15" s="717">
        <v>61</v>
      </c>
      <c r="X15" s="716">
        <v>10</v>
      </c>
      <c r="Y15" s="717">
        <v>58</v>
      </c>
      <c r="Z15" s="1648"/>
      <c r="AA15" s="1020"/>
      <c r="AB15" s="929">
        <f t="shared" si="0"/>
        <v>58.8</v>
      </c>
      <c r="AC15" s="1019">
        <f t="shared" si="1"/>
        <v>8.1999999999999993</v>
      </c>
    </row>
    <row r="16" spans="1:31" ht="13.5" thickTop="1" x14ac:dyDescent="0.2">
      <c r="A16" s="3"/>
      <c r="B16" s="70" t="s">
        <v>170</v>
      </c>
      <c r="C16" s="33"/>
      <c r="D16" s="34"/>
      <c r="E16" s="33"/>
      <c r="F16" s="34"/>
      <c r="G16" s="133"/>
      <c r="H16" s="135"/>
      <c r="I16" s="133"/>
      <c r="J16" s="135"/>
      <c r="K16" s="133"/>
      <c r="L16" s="135"/>
      <c r="M16" s="133"/>
      <c r="N16" s="135"/>
      <c r="O16" s="133"/>
      <c r="P16" s="135"/>
      <c r="Q16" s="133"/>
      <c r="R16" s="135"/>
      <c r="S16" s="133"/>
      <c r="T16" s="135"/>
      <c r="U16" s="133"/>
      <c r="V16" s="135"/>
      <c r="W16" s="133"/>
      <c r="X16" s="135"/>
      <c r="Y16" s="133"/>
      <c r="Z16" s="135"/>
      <c r="AC16" s="1012"/>
    </row>
    <row r="17" spans="1:32" ht="13.5" thickBot="1" x14ac:dyDescent="0.25">
      <c r="A17" s="3"/>
      <c r="B17" s="3"/>
      <c r="C17" s="3"/>
      <c r="D17" s="3"/>
      <c r="E17" s="3"/>
      <c r="F17" s="3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</row>
    <row r="18" spans="1:32" ht="14.25" thickTop="1" thickBot="1" x14ac:dyDescent="0.25">
      <c r="A18" s="3"/>
      <c r="B18" s="340"/>
      <c r="C18" s="2013" t="s">
        <v>49</v>
      </c>
      <c r="D18" s="2014"/>
      <c r="E18" s="2015" t="s">
        <v>50</v>
      </c>
      <c r="F18" s="2015"/>
      <c r="G18" s="2002" t="s">
        <v>141</v>
      </c>
      <c r="H18" s="1982"/>
      <c r="I18" s="1974" t="s">
        <v>152</v>
      </c>
      <c r="J18" s="1974"/>
      <c r="K18" s="2002" t="s">
        <v>154</v>
      </c>
      <c r="L18" s="1974"/>
      <c r="M18" s="2002" t="s">
        <v>171</v>
      </c>
      <c r="N18" s="1982"/>
      <c r="O18" s="1974" t="s">
        <v>227</v>
      </c>
      <c r="P18" s="1982"/>
      <c r="Q18" s="1974" t="s">
        <v>237</v>
      </c>
      <c r="R18" s="1982"/>
      <c r="S18" s="1974" t="s">
        <v>272</v>
      </c>
      <c r="T18" s="1982"/>
      <c r="U18" s="1974" t="s">
        <v>274</v>
      </c>
      <c r="V18" s="1982"/>
      <c r="W18" s="1974" t="s">
        <v>280</v>
      </c>
      <c r="X18" s="1982"/>
      <c r="Y18" s="1974" t="s">
        <v>290</v>
      </c>
      <c r="Z18" s="1975"/>
      <c r="AB18" s="2003" t="s">
        <v>213</v>
      </c>
      <c r="AC18" s="2004"/>
    </row>
    <row r="19" spans="1:32" x14ac:dyDescent="0.2">
      <c r="A19" s="3"/>
      <c r="B19" s="73" t="s">
        <v>7</v>
      </c>
      <c r="C19" s="54"/>
      <c r="D19" s="92"/>
      <c r="E19" s="30"/>
      <c r="F19" s="30"/>
      <c r="G19" s="243"/>
      <c r="H19" s="244"/>
      <c r="I19" s="138"/>
      <c r="J19" s="138"/>
      <c r="K19" s="243"/>
      <c r="L19" s="138"/>
      <c r="M19" s="243"/>
      <c r="N19" s="244"/>
      <c r="O19" s="138"/>
      <c r="P19" s="244"/>
      <c r="Q19" s="138"/>
      <c r="R19" s="244"/>
      <c r="S19" s="138"/>
      <c r="T19" s="244"/>
      <c r="U19" s="138"/>
      <c r="V19" s="244"/>
      <c r="W19" s="138"/>
      <c r="X19" s="244"/>
      <c r="Y19" s="138"/>
      <c r="Z19" s="140"/>
      <c r="AB19" s="831"/>
      <c r="AC19" s="930"/>
    </row>
    <row r="20" spans="1:32" x14ac:dyDescent="0.2">
      <c r="A20" s="3"/>
      <c r="B20" s="78" t="s">
        <v>8</v>
      </c>
      <c r="C20" s="184"/>
      <c r="D20" s="93"/>
      <c r="E20" s="31"/>
      <c r="F20" s="31"/>
      <c r="G20" s="239"/>
      <c r="H20" s="245"/>
      <c r="I20" s="139"/>
      <c r="J20" s="139"/>
      <c r="K20" s="239"/>
      <c r="L20" s="139"/>
      <c r="M20" s="239"/>
      <c r="N20" s="245"/>
      <c r="O20" s="139"/>
      <c r="P20" s="245"/>
      <c r="Q20" s="139"/>
      <c r="R20" s="245"/>
      <c r="S20" s="139"/>
      <c r="T20" s="245"/>
      <c r="U20" s="139"/>
      <c r="V20" s="245"/>
      <c r="W20" s="139"/>
      <c r="X20" s="245"/>
      <c r="Y20" s="139"/>
      <c r="Z20" s="141"/>
      <c r="AB20" s="831"/>
      <c r="AC20" s="930"/>
    </row>
    <row r="21" spans="1:32" x14ac:dyDescent="0.2">
      <c r="A21" s="3"/>
      <c r="B21" s="78" t="s">
        <v>9</v>
      </c>
      <c r="C21" s="239"/>
      <c r="D21" s="238">
        <v>12958</v>
      </c>
      <c r="E21" s="31"/>
      <c r="F21" s="171">
        <v>12583</v>
      </c>
      <c r="G21" s="239"/>
      <c r="H21" s="261">
        <v>12272</v>
      </c>
      <c r="I21" s="139"/>
      <c r="J21" s="183">
        <v>11628</v>
      </c>
      <c r="K21" s="239"/>
      <c r="L21" s="183">
        <v>11293</v>
      </c>
      <c r="M21" s="239"/>
      <c r="N21" s="261">
        <v>12601</v>
      </c>
      <c r="O21" s="139"/>
      <c r="P21" s="261">
        <v>12960</v>
      </c>
      <c r="Q21" s="139"/>
      <c r="R21" s="261">
        <v>13370</v>
      </c>
      <c r="S21" s="139"/>
      <c r="T21" s="261">
        <v>13215</v>
      </c>
      <c r="U21" s="139"/>
      <c r="V21" s="261">
        <v>12891</v>
      </c>
      <c r="W21" s="139"/>
      <c r="X21" s="261">
        <v>13406</v>
      </c>
      <c r="Y21" s="139"/>
      <c r="Z21" s="1649"/>
      <c r="AB21" s="24"/>
      <c r="AC21" s="947">
        <f t="shared" ref="AC21:AC24" si="2">AVERAGE(X21,V21,R21,T21,P21)</f>
        <v>13168.4</v>
      </c>
    </row>
    <row r="22" spans="1:32" x14ac:dyDescent="0.2">
      <c r="A22" s="3"/>
      <c r="B22" s="78" t="s">
        <v>10</v>
      </c>
      <c r="C22" s="239"/>
      <c r="D22" s="238">
        <v>534</v>
      </c>
      <c r="E22" s="31"/>
      <c r="F22" s="171">
        <v>616</v>
      </c>
      <c r="G22" s="239"/>
      <c r="H22" s="261">
        <v>492</v>
      </c>
      <c r="I22" s="139"/>
      <c r="J22" s="183">
        <v>494</v>
      </c>
      <c r="K22" s="239"/>
      <c r="L22" s="183">
        <v>393</v>
      </c>
      <c r="M22" s="239"/>
      <c r="N22" s="261">
        <v>370</v>
      </c>
      <c r="O22" s="139"/>
      <c r="P22" s="261">
        <v>446</v>
      </c>
      <c r="Q22" s="139"/>
      <c r="R22" s="261">
        <v>536</v>
      </c>
      <c r="S22" s="139"/>
      <c r="T22" s="261">
        <v>464</v>
      </c>
      <c r="U22" s="139"/>
      <c r="V22" s="261">
        <v>653</v>
      </c>
      <c r="W22" s="139"/>
      <c r="X22" s="261">
        <v>651</v>
      </c>
      <c r="Y22" s="139"/>
      <c r="Z22" s="1649"/>
      <c r="AB22" s="12"/>
      <c r="AC22" s="947">
        <f t="shared" si="2"/>
        <v>550</v>
      </c>
    </row>
    <row r="23" spans="1:32" x14ac:dyDescent="0.2">
      <c r="A23" s="3"/>
      <c r="B23" s="78" t="s">
        <v>11</v>
      </c>
      <c r="C23" s="239"/>
      <c r="D23" s="238">
        <v>336</v>
      </c>
      <c r="E23" s="31"/>
      <c r="F23" s="171">
        <v>408</v>
      </c>
      <c r="G23" s="239"/>
      <c r="H23" s="261">
        <v>295</v>
      </c>
      <c r="I23" s="139"/>
      <c r="J23" s="183">
        <v>386</v>
      </c>
      <c r="K23" s="239"/>
      <c r="L23" s="183">
        <v>319</v>
      </c>
      <c r="M23" s="239"/>
      <c r="N23" s="261">
        <v>256</v>
      </c>
      <c r="O23" s="139"/>
      <c r="P23" s="261">
        <v>257</v>
      </c>
      <c r="Q23" s="139"/>
      <c r="R23" s="261">
        <v>198</v>
      </c>
      <c r="S23" s="139"/>
      <c r="T23" s="261">
        <v>327</v>
      </c>
      <c r="U23" s="139"/>
      <c r="V23" s="261">
        <v>269</v>
      </c>
      <c r="W23" s="139"/>
      <c r="X23" s="261">
        <v>298</v>
      </c>
      <c r="Y23" s="139"/>
      <c r="Z23" s="1649"/>
      <c r="AA23" s="1031"/>
      <c r="AB23" s="31"/>
      <c r="AC23" s="947">
        <f t="shared" si="2"/>
        <v>269.8</v>
      </c>
    </row>
    <row r="24" spans="1:32" x14ac:dyDescent="0.2">
      <c r="A24" s="3"/>
      <c r="B24" s="78" t="s">
        <v>12</v>
      </c>
      <c r="C24" s="239"/>
      <c r="D24" s="240">
        <v>589</v>
      </c>
      <c r="E24" s="31"/>
      <c r="F24" s="39">
        <v>604</v>
      </c>
      <c r="G24" s="239"/>
      <c r="H24" s="240">
        <v>718</v>
      </c>
      <c r="I24" s="139"/>
      <c r="J24" s="241">
        <v>751</v>
      </c>
      <c r="K24" s="239"/>
      <c r="L24" s="241">
        <v>760</v>
      </c>
      <c r="M24" s="239"/>
      <c r="N24" s="240">
        <v>762</v>
      </c>
      <c r="O24" s="139"/>
      <c r="P24" s="240">
        <v>718</v>
      </c>
      <c r="Q24" s="139"/>
      <c r="R24" s="240">
        <v>725</v>
      </c>
      <c r="S24" s="139"/>
      <c r="T24" s="240">
        <v>722</v>
      </c>
      <c r="U24" s="139"/>
      <c r="V24" s="240">
        <v>700</v>
      </c>
      <c r="W24" s="139"/>
      <c r="X24" s="240">
        <v>616</v>
      </c>
      <c r="Y24" s="139"/>
      <c r="Z24" s="1650"/>
      <c r="AA24" s="1031"/>
      <c r="AB24" s="31"/>
      <c r="AC24" s="947">
        <f t="shared" si="2"/>
        <v>696.2</v>
      </c>
    </row>
    <row r="25" spans="1:32" ht="13.5" thickBot="1" x14ac:dyDescent="0.25">
      <c r="A25" s="3"/>
      <c r="B25" s="79" t="s">
        <v>13</v>
      </c>
      <c r="C25" s="185"/>
      <c r="D25" s="186">
        <f>SUM(D21:D24)</f>
        <v>14417</v>
      </c>
      <c r="E25" s="90"/>
      <c r="F25" s="58">
        <f>SUM(F21:F24)</f>
        <v>14211</v>
      </c>
      <c r="G25" s="246"/>
      <c r="H25" s="247">
        <f>SUM(H21:H24)</f>
        <v>13777</v>
      </c>
      <c r="I25" s="164"/>
      <c r="J25" s="242">
        <f>SUM(J21:J24)</f>
        <v>13259</v>
      </c>
      <c r="K25" s="246"/>
      <c r="L25" s="242">
        <f>SUM(L21:L24)</f>
        <v>12765</v>
      </c>
      <c r="M25" s="246"/>
      <c r="N25" s="247">
        <f>SUM(N21:N24)</f>
        <v>13989</v>
      </c>
      <c r="O25" s="164"/>
      <c r="P25" s="247">
        <f>SUM(P21:P24)</f>
        <v>14381</v>
      </c>
      <c r="Q25" s="164"/>
      <c r="R25" s="247">
        <f>SUM(R21:R24)</f>
        <v>14829</v>
      </c>
      <c r="S25" s="164"/>
      <c r="T25" s="247">
        <f>SUM(T21:T24)</f>
        <v>14728</v>
      </c>
      <c r="U25" s="164"/>
      <c r="V25" s="247">
        <f>SUM(V21:V24)</f>
        <v>14513</v>
      </c>
      <c r="W25" s="164"/>
      <c r="X25" s="247">
        <f>SUM(X21:X24)</f>
        <v>14971</v>
      </c>
      <c r="Y25" s="164"/>
      <c r="Z25" s="1651"/>
      <c r="AA25" s="1031"/>
      <c r="AB25" s="182"/>
      <c r="AC25" s="1008">
        <f>AVERAGE(X25,V25,R25,T25,P25)</f>
        <v>14684.4</v>
      </c>
    </row>
    <row r="26" spans="1:32" ht="12" customHeight="1" thickTop="1" thickBot="1" x14ac:dyDescent="0.25">
      <c r="A26" s="930"/>
      <c r="B26" s="931" t="s">
        <v>212</v>
      </c>
      <c r="C26" s="1992" t="s">
        <v>51</v>
      </c>
      <c r="D26" s="1997"/>
      <c r="E26" s="1992" t="s">
        <v>52</v>
      </c>
      <c r="F26" s="1997"/>
      <c r="G26" s="1989" t="s">
        <v>184</v>
      </c>
      <c r="H26" s="1981"/>
      <c r="I26" s="1989" t="s">
        <v>185</v>
      </c>
      <c r="J26" s="2005"/>
      <c r="K26" s="1989" t="s">
        <v>202</v>
      </c>
      <c r="L26" s="2005"/>
      <c r="M26" s="1991" t="s">
        <v>203</v>
      </c>
      <c r="N26" s="1981"/>
      <c r="O26" s="1970" t="s">
        <v>228</v>
      </c>
      <c r="P26" s="1981"/>
      <c r="Q26" s="1970" t="s">
        <v>238</v>
      </c>
      <c r="R26" s="1981"/>
      <c r="S26" s="1970" t="s">
        <v>273</v>
      </c>
      <c r="T26" s="1981"/>
      <c r="U26" s="1970" t="s">
        <v>275</v>
      </c>
      <c r="V26" s="1981"/>
      <c r="W26" s="1970" t="s">
        <v>281</v>
      </c>
      <c r="X26" s="1981"/>
      <c r="Y26" s="1970" t="s">
        <v>291</v>
      </c>
      <c r="Z26" s="1971"/>
      <c r="AA26" s="932"/>
      <c r="AB26" s="2009"/>
      <c r="AC26" s="2010"/>
      <c r="AD26" s="293"/>
      <c r="AE26" s="293"/>
      <c r="AF26" s="21"/>
    </row>
    <row r="27" spans="1:32" ht="12" customHeight="1" x14ac:dyDescent="0.2">
      <c r="A27" s="930"/>
      <c r="B27" s="933" t="s">
        <v>189</v>
      </c>
      <c r="C27" s="2016">
        <v>2.8000000000000001E-2</v>
      </c>
      <c r="D27" s="2017"/>
      <c r="E27" s="1995">
        <v>3.4000000000000002E-2</v>
      </c>
      <c r="F27" s="1996"/>
      <c r="G27" s="1995">
        <v>3.2000000000000001E-2</v>
      </c>
      <c r="H27" s="1996"/>
      <c r="I27" s="1995">
        <v>2.5999999999999999E-2</v>
      </c>
      <c r="J27" s="2006"/>
      <c r="K27" s="934"/>
      <c r="L27" s="935">
        <v>1.4999999999999999E-2</v>
      </c>
      <c r="M27" s="936"/>
      <c r="N27" s="1178">
        <v>2.1000000000000001E-2</v>
      </c>
      <c r="O27" s="1176"/>
      <c r="P27" s="1178">
        <v>3.2000000000000001E-2</v>
      </c>
      <c r="Q27" s="1271"/>
      <c r="R27" s="1178">
        <v>2.4E-2</v>
      </c>
      <c r="S27" s="1271"/>
      <c r="T27" s="1178">
        <v>3.5000000000000003E-2</v>
      </c>
      <c r="U27" s="1271"/>
      <c r="V27" s="1178">
        <v>4.5999999999999999E-2</v>
      </c>
      <c r="W27" s="1271"/>
      <c r="X27" s="1178">
        <v>4.1000000000000002E-2</v>
      </c>
      <c r="Y27" s="1271"/>
      <c r="Z27" s="1479">
        <v>4.5999999999999999E-2</v>
      </c>
      <c r="AA27" s="937"/>
      <c r="AB27" s="938"/>
      <c r="AC27" s="1048">
        <v>3.9E-2</v>
      </c>
      <c r="AD27" s="293"/>
      <c r="AE27" s="293"/>
      <c r="AF27" s="21"/>
    </row>
    <row r="28" spans="1:32" ht="12" customHeight="1" x14ac:dyDescent="0.2">
      <c r="A28" s="930"/>
      <c r="B28" s="940" t="s">
        <v>190</v>
      </c>
      <c r="C28" s="2018">
        <v>6.4000000000000001E-2</v>
      </c>
      <c r="D28" s="2019"/>
      <c r="E28" s="2000">
        <v>6.9000000000000006E-2</v>
      </c>
      <c r="F28" s="2001"/>
      <c r="G28" s="2000">
        <v>7.2999999999999995E-2</v>
      </c>
      <c r="H28" s="2001"/>
      <c r="I28" s="2000">
        <v>9.0999999999999998E-2</v>
      </c>
      <c r="J28" s="2011"/>
      <c r="K28" s="941"/>
      <c r="L28" s="942">
        <v>8.2000000000000003E-2</v>
      </c>
      <c r="M28" s="941"/>
      <c r="N28" s="1179">
        <v>7.0000000000000007E-2</v>
      </c>
      <c r="O28" s="1177"/>
      <c r="P28" s="1179">
        <v>6.5000000000000002E-2</v>
      </c>
      <c r="Q28" s="1272"/>
      <c r="R28" s="1179">
        <v>5.6000000000000001E-2</v>
      </c>
      <c r="S28" s="1272"/>
      <c r="T28" s="1179">
        <v>0.06</v>
      </c>
      <c r="U28" s="1272"/>
      <c r="V28" s="1179">
        <v>0.06</v>
      </c>
      <c r="W28" s="1272"/>
      <c r="X28" s="1179">
        <v>5.6000000000000001E-2</v>
      </c>
      <c r="Y28" s="1272"/>
      <c r="Z28" s="1480">
        <v>0.05</v>
      </c>
      <c r="AA28" s="937"/>
      <c r="AB28" s="938"/>
      <c r="AC28" s="1048">
        <f>AVERAGE(X28,V28,R28,T28,Z28)</f>
        <v>5.6399999999999992E-2</v>
      </c>
      <c r="AD28" s="293"/>
      <c r="AE28" s="293"/>
      <c r="AF28" s="21"/>
    </row>
    <row r="29" spans="1:32" ht="12.75" customHeight="1" thickBot="1" x14ac:dyDescent="0.25">
      <c r="A29" s="3"/>
      <c r="B29" s="943" t="s">
        <v>191</v>
      </c>
      <c r="C29" s="1998">
        <f>1-C27-C28</f>
        <v>0.90799999999999992</v>
      </c>
      <c r="D29" s="1999"/>
      <c r="E29" s="1998">
        <f>1-E27-E28</f>
        <v>0.89700000000000002</v>
      </c>
      <c r="F29" s="1999"/>
      <c r="G29" s="1998">
        <f>1-G27-G28</f>
        <v>0.89500000000000002</v>
      </c>
      <c r="H29" s="1999"/>
      <c r="I29" s="1998">
        <f>1-I27-I28</f>
        <v>0.88300000000000001</v>
      </c>
      <c r="J29" s="1999"/>
      <c r="K29" s="1998">
        <f>1-L27-L28</f>
        <v>0.90300000000000002</v>
      </c>
      <c r="L29" s="1999"/>
      <c r="M29" s="1998">
        <f>1-N27-N28</f>
        <v>0.90900000000000003</v>
      </c>
      <c r="N29" s="1999"/>
      <c r="O29" s="1998">
        <f>1-P27-P28</f>
        <v>0.90300000000000002</v>
      </c>
      <c r="P29" s="1999"/>
      <c r="Q29" s="1972">
        <f>1-R27-R28</f>
        <v>0.91999999999999993</v>
      </c>
      <c r="R29" s="1973"/>
      <c r="S29" s="1972">
        <f>1-T27-T28</f>
        <v>0.90500000000000003</v>
      </c>
      <c r="T29" s="1973"/>
      <c r="U29" s="1972">
        <f>1-V27-V28</f>
        <v>0.89399999999999991</v>
      </c>
      <c r="V29" s="1973"/>
      <c r="W29" s="1972">
        <f>1-X27-X28</f>
        <v>0.90299999999999991</v>
      </c>
      <c r="X29" s="1973"/>
      <c r="Y29" s="1972">
        <f>1-Z27-Z28</f>
        <v>0.90399999999999991</v>
      </c>
      <c r="Z29" s="1973"/>
      <c r="AA29" s="937"/>
      <c r="AB29" s="2007">
        <f t="shared" ref="AB29:AC29" si="3">AVERAGE(W29,U29,Q29,S29,Y29)</f>
        <v>0.9052</v>
      </c>
      <c r="AC29" s="2008" t="e">
        <f t="shared" si="3"/>
        <v>#DIV/0!</v>
      </c>
      <c r="AD29" s="1050"/>
      <c r="AE29" s="293"/>
      <c r="AF29" s="21"/>
    </row>
    <row r="30" spans="1:32" s="3" customFormat="1" thickTop="1" x14ac:dyDescent="0.2">
      <c r="B30" s="109"/>
      <c r="C30" s="110"/>
      <c r="D30" s="111"/>
      <c r="E30" s="110"/>
      <c r="F30" s="111"/>
      <c r="G30" s="146"/>
      <c r="H30" s="147"/>
      <c r="I30" s="146"/>
      <c r="J30" s="147"/>
      <c r="K30" s="145"/>
      <c r="L30" s="293"/>
      <c r="M30" s="145"/>
      <c r="N30" s="293"/>
      <c r="O30" s="145"/>
      <c r="P30" s="293"/>
      <c r="Q30" s="145"/>
      <c r="R30" s="293"/>
      <c r="S30" s="145"/>
      <c r="T30" s="293"/>
      <c r="U30" s="145"/>
      <c r="V30" s="293"/>
      <c r="W30" s="145"/>
      <c r="X30" s="293"/>
      <c r="Y30" s="145"/>
      <c r="Z30" s="293"/>
      <c r="AC30" s="578"/>
    </row>
    <row r="31" spans="1:32" s="3" customFormat="1" x14ac:dyDescent="0.2">
      <c r="A31" s="112" t="s">
        <v>68</v>
      </c>
      <c r="B31" s="96"/>
      <c r="C31" s="28"/>
      <c r="D31" s="28"/>
      <c r="E31" s="28"/>
      <c r="F31" s="28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 t="s">
        <v>29</v>
      </c>
      <c r="Y31" s="136"/>
      <c r="Z31" s="136" t="s">
        <v>29</v>
      </c>
    </row>
    <row r="32" spans="1:32" s="3" customFormat="1" ht="13.5" thickBot="1" x14ac:dyDescent="0.25">
      <c r="A32" s="112"/>
      <c r="B32" s="96"/>
      <c r="C32" s="28"/>
      <c r="D32" s="28"/>
      <c r="E32" s="28"/>
      <c r="F32" s="28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</row>
    <row r="33" spans="1:29" s="3" customFormat="1" ht="14.25" thickTop="1" thickBot="1" x14ac:dyDescent="0.25">
      <c r="A33" s="2"/>
      <c r="B33" s="329" t="s">
        <v>69</v>
      </c>
      <c r="C33" s="2091" t="s">
        <v>49</v>
      </c>
      <c r="D33" s="2092"/>
      <c r="E33" s="2013" t="s">
        <v>50</v>
      </c>
      <c r="F33" s="2014"/>
      <c r="G33" s="2002" t="s">
        <v>141</v>
      </c>
      <c r="H33" s="1982"/>
      <c r="I33" s="1974" t="s">
        <v>152</v>
      </c>
      <c r="J33" s="1974"/>
      <c r="K33" s="2002" t="s">
        <v>154</v>
      </c>
      <c r="L33" s="1974"/>
      <c r="M33" s="2002" t="s">
        <v>171</v>
      </c>
      <c r="N33" s="1982"/>
      <c r="O33" s="1974" t="s">
        <v>227</v>
      </c>
      <c r="P33" s="1982"/>
      <c r="Q33" s="1974" t="s">
        <v>237</v>
      </c>
      <c r="R33" s="1982"/>
      <c r="S33" s="1974" t="s">
        <v>272</v>
      </c>
      <c r="T33" s="1982"/>
      <c r="U33" s="1974" t="s">
        <v>274</v>
      </c>
      <c r="V33" s="1982"/>
      <c r="W33" s="1974" t="s">
        <v>280</v>
      </c>
      <c r="X33" s="1982"/>
      <c r="Y33" s="1974" t="s">
        <v>290</v>
      </c>
      <c r="Z33" s="1975"/>
      <c r="AA33" s="955"/>
      <c r="AB33" s="2015" t="s">
        <v>213</v>
      </c>
      <c r="AC33" s="2004"/>
    </row>
    <row r="34" spans="1:29" s="3" customFormat="1" x14ac:dyDescent="0.2">
      <c r="A34" s="2"/>
      <c r="B34" s="330" t="s">
        <v>70</v>
      </c>
      <c r="C34" s="184"/>
      <c r="D34" s="93"/>
      <c r="E34" s="52"/>
      <c r="F34" s="93"/>
      <c r="G34" s="239"/>
      <c r="H34" s="245"/>
      <c r="I34" s="138"/>
      <c r="J34" s="138"/>
      <c r="K34" s="243"/>
      <c r="L34" s="138"/>
      <c r="M34" s="243"/>
      <c r="N34" s="244"/>
      <c r="O34" s="138"/>
      <c r="P34" s="244"/>
      <c r="Q34" s="138"/>
      <c r="R34" s="244"/>
      <c r="S34" s="138"/>
      <c r="T34" s="244"/>
      <c r="U34" s="138"/>
      <c r="V34" s="244"/>
      <c r="W34" s="138"/>
      <c r="X34" s="244"/>
      <c r="Y34" s="138"/>
      <c r="Z34" s="140"/>
      <c r="AA34" s="955"/>
      <c r="AB34" s="28"/>
      <c r="AC34" s="930"/>
    </row>
    <row r="35" spans="1:29" s="3" customFormat="1" x14ac:dyDescent="0.2">
      <c r="A35" s="2"/>
      <c r="B35" s="331" t="s">
        <v>71</v>
      </c>
      <c r="C35" s="54"/>
      <c r="D35" s="188">
        <f>2761584+76886</f>
        <v>2838470</v>
      </c>
      <c r="E35" s="54"/>
      <c r="F35" s="188">
        <f>2965199+79852</f>
        <v>3045051</v>
      </c>
      <c r="G35" s="243"/>
      <c r="H35" s="416">
        <f>3150606+80994</f>
        <v>3231600</v>
      </c>
      <c r="I35" s="138"/>
      <c r="J35" s="451">
        <f>3153016+83680</f>
        <v>3236696</v>
      </c>
      <c r="K35" s="243"/>
      <c r="L35" s="451">
        <f>3230797+86684</f>
        <v>3317481</v>
      </c>
      <c r="M35" s="243"/>
      <c r="N35" s="416">
        <f>3220817+87389</f>
        <v>3308206</v>
      </c>
      <c r="O35" s="138"/>
      <c r="P35" s="416">
        <f>87808+3262284</f>
        <v>3350092</v>
      </c>
      <c r="Q35" s="138"/>
      <c r="R35" s="416">
        <f>3341693+91906</f>
        <v>3433599</v>
      </c>
      <c r="S35" s="138"/>
      <c r="T35" s="416">
        <f>3331637+93036</f>
        <v>3424673</v>
      </c>
      <c r="U35" s="138"/>
      <c r="V35" s="416">
        <f>3562569+93518</f>
        <v>3656087</v>
      </c>
      <c r="W35" s="138"/>
      <c r="X35" s="416">
        <f>3645109+97002</f>
        <v>3742111</v>
      </c>
      <c r="Y35" s="138"/>
      <c r="Z35" s="294">
        <v>4052715</v>
      </c>
      <c r="AA35" s="955"/>
      <c r="AB35" s="30"/>
      <c r="AC35" s="947">
        <f>AVERAGE(X35,V35,R35,T35,Z35)</f>
        <v>3661837</v>
      </c>
    </row>
    <row r="36" spans="1:29" s="3" customFormat="1" x14ac:dyDescent="0.2">
      <c r="A36" s="2"/>
      <c r="B36" s="331" t="s">
        <v>247</v>
      </c>
      <c r="C36" s="54"/>
      <c r="D36" s="188"/>
      <c r="E36" s="54"/>
      <c r="F36" s="188"/>
      <c r="G36" s="243"/>
      <c r="H36" s="1439"/>
      <c r="I36" s="138"/>
      <c r="J36" s="451">
        <f>186368+71898</f>
        <v>258266</v>
      </c>
      <c r="K36" s="243"/>
      <c r="L36" s="451">
        <f>186296+84312</f>
        <v>270608</v>
      </c>
      <c r="M36" s="243"/>
      <c r="N36" s="416">
        <f>186161+84187</f>
        <v>270348</v>
      </c>
      <c r="O36" s="138"/>
      <c r="P36" s="416">
        <f>186324+84368</f>
        <v>270692</v>
      </c>
      <c r="Q36" s="138"/>
      <c r="R36" s="369">
        <f>186100+85532</f>
        <v>271632</v>
      </c>
      <c r="S36" s="138"/>
      <c r="T36" s="369">
        <f>86718+186095</f>
        <v>272813</v>
      </c>
      <c r="U36" s="138"/>
      <c r="V36" s="369">
        <f>84153+186066</f>
        <v>270219</v>
      </c>
      <c r="W36" s="138"/>
      <c r="X36" s="369">
        <f>87018+185846</f>
        <v>272864</v>
      </c>
      <c r="Y36" s="138"/>
      <c r="Z36" s="282">
        <v>185831</v>
      </c>
      <c r="AA36" s="955"/>
      <c r="AB36" s="30"/>
      <c r="AC36" s="947">
        <f t="shared" ref="AC36:AC38" si="4">AVERAGE(X36,V36,R36,T36,Z36)</f>
        <v>254671.8</v>
      </c>
    </row>
    <row r="37" spans="1:29" s="3" customFormat="1" ht="36" x14ac:dyDescent="0.2">
      <c r="A37" s="2"/>
      <c r="B37" s="332" t="s">
        <v>251</v>
      </c>
      <c r="C37" s="184"/>
      <c r="D37" s="189">
        <f>2592060+1747995</f>
        <v>4340055</v>
      </c>
      <c r="E37" s="184"/>
      <c r="F37" s="189">
        <f>3717656+2966303</f>
        <v>6683959</v>
      </c>
      <c r="G37" s="239"/>
      <c r="H37" s="369">
        <f>3824964+2978974</f>
        <v>6803938</v>
      </c>
      <c r="I37" s="139"/>
      <c r="J37" s="347">
        <f>3867935+2817515</f>
        <v>6685450</v>
      </c>
      <c r="K37" s="239"/>
      <c r="L37" s="347">
        <f>3945306+2835013</f>
        <v>6780319</v>
      </c>
      <c r="M37" s="239"/>
      <c r="N37" s="369">
        <f>4450508+2545073</f>
        <v>6995581</v>
      </c>
      <c r="O37" s="139"/>
      <c r="P37" s="369">
        <f>4382669+2545319</f>
        <v>6927988</v>
      </c>
      <c r="Q37" s="139"/>
      <c r="R37" s="369">
        <f>4395522+2557282</f>
        <v>6952804</v>
      </c>
      <c r="S37" s="139"/>
      <c r="T37" s="369">
        <f>4426270+2563931</f>
        <v>6990201</v>
      </c>
      <c r="U37" s="139"/>
      <c r="V37" s="369">
        <f>4297130+2578892</f>
        <v>6876022</v>
      </c>
      <c r="W37" s="139"/>
      <c r="X37" s="369">
        <f>4293245+2561812</f>
        <v>6855057</v>
      </c>
      <c r="Y37" s="139"/>
      <c r="Z37" s="282">
        <v>6973463</v>
      </c>
      <c r="AA37" s="955"/>
      <c r="AB37" s="31"/>
      <c r="AC37" s="947">
        <f t="shared" si="4"/>
        <v>6929509.4000000004</v>
      </c>
    </row>
    <row r="38" spans="1:29" s="3" customFormat="1" x14ac:dyDescent="0.2">
      <c r="A38" s="2"/>
      <c r="B38" s="333" t="s">
        <v>72</v>
      </c>
      <c r="C38" s="187"/>
      <c r="D38" s="190">
        <f>SUM(D35:D37)</f>
        <v>7178525</v>
      </c>
      <c r="E38" s="187"/>
      <c r="F38" s="190">
        <f>SUM(F35:F37)</f>
        <v>9729010</v>
      </c>
      <c r="G38" s="262"/>
      <c r="H38" s="263">
        <f>SUM(H35:H37)</f>
        <v>10035538</v>
      </c>
      <c r="I38" s="250"/>
      <c r="J38" s="249">
        <f>SUM(J35:J37)</f>
        <v>10180412</v>
      </c>
      <c r="K38" s="262"/>
      <c r="L38" s="249">
        <f>SUM(L35:L37)</f>
        <v>10368408</v>
      </c>
      <c r="M38" s="262"/>
      <c r="N38" s="263">
        <f>SUM(N35:N37)</f>
        <v>10574135</v>
      </c>
      <c r="O38" s="250"/>
      <c r="P38" s="263">
        <f>SUM(P35:P37)</f>
        <v>10548772</v>
      </c>
      <c r="Q38" s="250"/>
      <c r="R38" s="263">
        <f>SUM(R35:R37)</f>
        <v>10658035</v>
      </c>
      <c r="S38" s="250"/>
      <c r="T38" s="263">
        <f>SUM(T35:T37)</f>
        <v>10687687</v>
      </c>
      <c r="U38" s="250"/>
      <c r="V38" s="263">
        <f>SUM(V35:V37)</f>
        <v>10802328</v>
      </c>
      <c r="W38" s="250"/>
      <c r="X38" s="263">
        <f>SUM(X35:X37)</f>
        <v>10870032</v>
      </c>
      <c r="Y38" s="250"/>
      <c r="Z38" s="149">
        <f>SUM(Z35:Z37)</f>
        <v>11212009</v>
      </c>
      <c r="AA38" s="955"/>
      <c r="AB38" s="31"/>
      <c r="AC38" s="1008">
        <f t="shared" si="4"/>
        <v>10846018.199999999</v>
      </c>
    </row>
    <row r="39" spans="1:29" s="3" customFormat="1" x14ac:dyDescent="0.2">
      <c r="A39" s="2"/>
      <c r="B39" s="330" t="s">
        <v>73</v>
      </c>
      <c r="C39" s="184"/>
      <c r="D39" s="189"/>
      <c r="E39" s="184"/>
      <c r="F39" s="189"/>
      <c r="G39" s="239"/>
      <c r="H39" s="369"/>
      <c r="I39" s="139"/>
      <c r="J39" s="347"/>
      <c r="K39" s="239"/>
      <c r="L39" s="347"/>
      <c r="M39" s="239"/>
      <c r="N39" s="369"/>
      <c r="O39" s="139"/>
      <c r="P39" s="369"/>
      <c r="Q39" s="139"/>
      <c r="R39" s="369"/>
      <c r="S39" s="139"/>
      <c r="T39" s="369"/>
      <c r="U39" s="139"/>
      <c r="V39" s="369"/>
      <c r="W39" s="139"/>
      <c r="X39" s="369"/>
      <c r="Y39" s="139"/>
      <c r="Z39" s="282"/>
      <c r="AA39" s="955"/>
      <c r="AB39" s="31"/>
      <c r="AC39" s="947"/>
    </row>
    <row r="40" spans="1:29" s="3" customFormat="1" x14ac:dyDescent="0.2">
      <c r="A40" s="2"/>
      <c r="B40" s="331" t="s">
        <v>71</v>
      </c>
      <c r="C40" s="184"/>
      <c r="D40" s="189"/>
      <c r="E40" s="184"/>
      <c r="F40" s="189"/>
      <c r="G40" s="239"/>
      <c r="H40" s="369"/>
      <c r="I40" s="139"/>
      <c r="J40" s="347"/>
      <c r="K40" s="239"/>
      <c r="L40" s="347"/>
      <c r="M40" s="239"/>
      <c r="N40" s="369"/>
      <c r="O40" s="139"/>
      <c r="P40" s="369"/>
      <c r="Q40" s="139"/>
      <c r="R40" s="369"/>
      <c r="S40" s="139"/>
      <c r="T40" s="369"/>
      <c r="U40" s="139"/>
      <c r="V40" s="369"/>
      <c r="W40" s="139"/>
      <c r="X40" s="369"/>
      <c r="Y40" s="139"/>
      <c r="Z40" s="282"/>
      <c r="AA40" s="955"/>
      <c r="AB40" s="31"/>
      <c r="AC40" s="947"/>
    </row>
    <row r="41" spans="1:29" s="3" customFormat="1" x14ac:dyDescent="0.2">
      <c r="A41" s="2"/>
      <c r="B41" s="331" t="s">
        <v>247</v>
      </c>
      <c r="C41" s="184"/>
      <c r="D41" s="189"/>
      <c r="E41" s="184"/>
      <c r="F41" s="189"/>
      <c r="G41" s="239"/>
      <c r="H41" s="369"/>
      <c r="I41" s="139"/>
      <c r="J41" s="347"/>
      <c r="K41" s="239"/>
      <c r="L41" s="347"/>
      <c r="M41" s="239"/>
      <c r="N41" s="369"/>
      <c r="O41" s="139"/>
      <c r="P41" s="369"/>
      <c r="Q41" s="139"/>
      <c r="R41" s="369"/>
      <c r="S41" s="139"/>
      <c r="T41" s="369"/>
      <c r="U41" s="139"/>
      <c r="V41" s="369"/>
      <c r="W41" s="139"/>
      <c r="X41" s="369"/>
      <c r="Y41" s="139"/>
      <c r="Z41" s="282"/>
      <c r="AA41" s="955"/>
      <c r="AB41" s="31"/>
      <c r="AC41" s="947"/>
    </row>
    <row r="42" spans="1:29" s="3" customFormat="1" ht="36" x14ac:dyDescent="0.2">
      <c r="A42" s="2"/>
      <c r="B42" s="332" t="s">
        <v>248</v>
      </c>
      <c r="C42" s="184"/>
      <c r="D42" s="189"/>
      <c r="E42" s="184"/>
      <c r="F42" s="189"/>
      <c r="G42" s="239"/>
      <c r="H42" s="369"/>
      <c r="I42" s="139"/>
      <c r="J42" s="347"/>
      <c r="K42" s="239"/>
      <c r="L42" s="347"/>
      <c r="M42" s="239"/>
      <c r="N42" s="369"/>
      <c r="O42" s="139"/>
      <c r="P42" s="369"/>
      <c r="Q42" s="139"/>
      <c r="R42" s="369"/>
      <c r="S42" s="139"/>
      <c r="T42" s="369"/>
      <c r="U42" s="139"/>
      <c r="V42" s="369"/>
      <c r="W42" s="139"/>
      <c r="X42" s="369"/>
      <c r="Y42" s="139"/>
      <c r="Z42" s="282"/>
      <c r="AA42" s="955"/>
      <c r="AB42" s="31"/>
      <c r="AC42" s="947"/>
    </row>
    <row r="43" spans="1:29" s="3" customFormat="1" x14ac:dyDescent="0.2">
      <c r="A43" s="2"/>
      <c r="B43" s="333" t="s">
        <v>74</v>
      </c>
      <c r="C43" s="187"/>
      <c r="D43" s="190">
        <f>SUM(D40:D42)</f>
        <v>0</v>
      </c>
      <c r="E43" s="187"/>
      <c r="F43" s="190">
        <f>SUM(F40:F42)</f>
        <v>0</v>
      </c>
      <c r="G43" s="262"/>
      <c r="H43" s="263">
        <f>SUM(H40:H42)</f>
        <v>0</v>
      </c>
      <c r="I43" s="250"/>
      <c r="J43" s="249">
        <f>SUM(J40:J42)</f>
        <v>0</v>
      </c>
      <c r="K43" s="262"/>
      <c r="L43" s="249">
        <f>SUM(L40:L42)</f>
        <v>0</v>
      </c>
      <c r="M43" s="262"/>
      <c r="N43" s="263">
        <f>SUM(N40:N42)</f>
        <v>0</v>
      </c>
      <c r="O43" s="250"/>
      <c r="P43" s="263">
        <f>SUM(P40:P42)</f>
        <v>0</v>
      </c>
      <c r="Q43" s="250"/>
      <c r="R43" s="263">
        <f>SUM(R40:R42)</f>
        <v>0</v>
      </c>
      <c r="S43" s="250"/>
      <c r="T43" s="263">
        <f>SUM(T40:T42)</f>
        <v>0</v>
      </c>
      <c r="U43" s="250"/>
      <c r="V43" s="263">
        <f>SUM(V40:V42)</f>
        <v>0</v>
      </c>
      <c r="W43" s="250"/>
      <c r="X43" s="263">
        <f>SUM(X40:X42)</f>
        <v>0</v>
      </c>
      <c r="Y43" s="250"/>
      <c r="Z43" s="149">
        <f>SUM(Z40:Z42)</f>
        <v>0</v>
      </c>
      <c r="AA43" s="955"/>
      <c r="AB43" s="31"/>
      <c r="AC43" s="1008">
        <f t="shared" ref="AC43:AC44" si="5">AVERAGE(X43,V43,R43,T43,Z43)</f>
        <v>0</v>
      </c>
    </row>
    <row r="44" spans="1:29" s="3" customFormat="1" ht="13.5" thickBot="1" x14ac:dyDescent="0.25">
      <c r="A44" s="2"/>
      <c r="B44" s="1493" t="s">
        <v>174</v>
      </c>
      <c r="C44" s="239"/>
      <c r="D44" s="263">
        <f>SUM(D38,D43)</f>
        <v>7178525</v>
      </c>
      <c r="E44" s="184"/>
      <c r="F44" s="190">
        <f>SUM(F38,F43)</f>
        <v>9729010</v>
      </c>
      <c r="G44" s="239"/>
      <c r="H44" s="263">
        <f>SUM(H38,H43)</f>
        <v>10035538</v>
      </c>
      <c r="I44" s="139"/>
      <c r="J44" s="605">
        <f>SUM(J38,J43)</f>
        <v>10180412</v>
      </c>
      <c r="K44" s="239"/>
      <c r="L44" s="249">
        <f>SUM(L38,L43)</f>
        <v>10368408</v>
      </c>
      <c r="M44" s="239"/>
      <c r="N44" s="263">
        <f>SUM(N38,N43)</f>
        <v>10574135</v>
      </c>
      <c r="O44" s="139"/>
      <c r="P44" s="263">
        <f>SUM(P38,P43)</f>
        <v>10548772</v>
      </c>
      <c r="Q44" s="139"/>
      <c r="R44" s="263">
        <f>SUM(R38,R43)</f>
        <v>10658035</v>
      </c>
      <c r="S44" s="139"/>
      <c r="T44" s="263">
        <f>SUM(T38,T43)</f>
        <v>10687687</v>
      </c>
      <c r="U44" s="139"/>
      <c r="V44" s="263">
        <f>SUM(V38,V43)</f>
        <v>10802328</v>
      </c>
      <c r="W44" s="139"/>
      <c r="X44" s="605">
        <f>SUM(X38,X43)</f>
        <v>10870032</v>
      </c>
      <c r="Y44" s="139"/>
      <c r="Z44" s="149">
        <f>SUM(Z38,Z43)</f>
        <v>11212009</v>
      </c>
      <c r="AA44" s="955"/>
      <c r="AB44" s="327"/>
      <c r="AC44" s="1008">
        <f t="shared" si="5"/>
        <v>10846018.199999999</v>
      </c>
    </row>
    <row r="45" spans="1:29" s="3" customFormat="1" ht="12" x14ac:dyDescent="0.2">
      <c r="B45" s="81" t="s">
        <v>259</v>
      </c>
      <c r="C45" s="265"/>
      <c r="D45" s="248"/>
      <c r="E45" s="52"/>
      <c r="F45" s="191"/>
      <c r="G45" s="265"/>
      <c r="H45" s="248"/>
      <c r="I45" s="151"/>
      <c r="J45" s="151"/>
      <c r="K45" s="265"/>
      <c r="L45" s="151"/>
      <c r="M45" s="265"/>
      <c r="N45" s="248"/>
      <c r="O45" s="151"/>
      <c r="P45" s="248"/>
      <c r="Q45" s="151"/>
      <c r="R45" s="248"/>
      <c r="S45" s="151"/>
      <c r="T45" s="248"/>
      <c r="U45" s="151"/>
      <c r="V45" s="248"/>
      <c r="W45" s="151"/>
      <c r="X45" s="248"/>
      <c r="Y45" s="151"/>
      <c r="Z45" s="152"/>
      <c r="AA45" s="955"/>
      <c r="AB45" s="28"/>
      <c r="AC45" s="978"/>
    </row>
    <row r="46" spans="1:29" x14ac:dyDescent="0.2">
      <c r="A46" s="3"/>
      <c r="B46" s="78" t="s">
        <v>14</v>
      </c>
      <c r="C46" s="272"/>
      <c r="D46" s="462">
        <f>2948208+23071</f>
        <v>2971279</v>
      </c>
      <c r="E46" s="184"/>
      <c r="F46" s="443">
        <v>3227975</v>
      </c>
      <c r="G46" s="239"/>
      <c r="H46" s="443">
        <v>3477945.37</v>
      </c>
      <c r="I46" s="139"/>
      <c r="J46" s="458">
        <v>3356009.25</v>
      </c>
      <c r="K46" s="215"/>
      <c r="L46" s="826">
        <f>134512+480601+3405106</f>
        <v>4020219</v>
      </c>
      <c r="M46" s="215"/>
      <c r="N46" s="510">
        <v>3559183</v>
      </c>
      <c r="O46" s="173"/>
      <c r="P46" s="510">
        <v>3438541</v>
      </c>
      <c r="Q46" s="525"/>
      <c r="R46" s="439">
        <f>3590835+92679</f>
        <v>3683514</v>
      </c>
      <c r="S46" s="525"/>
      <c r="T46" s="439">
        <v>3854263</v>
      </c>
      <c r="U46" s="525"/>
      <c r="V46" s="439">
        <v>4183368</v>
      </c>
      <c r="W46" s="525"/>
      <c r="X46" s="439">
        <v>4052713.65</v>
      </c>
      <c r="Y46" s="525"/>
      <c r="Z46" s="1586"/>
      <c r="AA46" s="1031"/>
      <c r="AB46" s="30"/>
      <c r="AC46" s="949">
        <f>AVERAGE(X46,V46,R46,T46,P46)</f>
        <v>3842479.9299999997</v>
      </c>
    </row>
    <row r="47" spans="1:29" x14ac:dyDescent="0.2">
      <c r="A47" s="3"/>
      <c r="B47" s="1340" t="s">
        <v>15</v>
      </c>
      <c r="C47" s="309"/>
      <c r="D47" s="464">
        <f>518075</f>
        <v>518075</v>
      </c>
      <c r="E47" s="1285"/>
      <c r="F47" s="433">
        <f>168729+674284</f>
        <v>843013</v>
      </c>
      <c r="G47" s="432"/>
      <c r="H47" s="433">
        <v>921051</v>
      </c>
      <c r="I47" s="463"/>
      <c r="J47" s="458">
        <v>885539</v>
      </c>
      <c r="K47" s="432"/>
      <c r="L47" s="458">
        <f>152204+134512+480601</f>
        <v>767317</v>
      </c>
      <c r="M47" s="432"/>
      <c r="N47" s="510">
        <f>864565</f>
        <v>864565</v>
      </c>
      <c r="O47" s="463"/>
      <c r="P47" s="510">
        <f>52+51852+18268+724694</f>
        <v>794866</v>
      </c>
      <c r="Q47" s="525"/>
      <c r="R47" s="1140">
        <f>91899.03+562241.72+87871.72</f>
        <v>742012.47</v>
      </c>
      <c r="S47" s="525"/>
      <c r="T47" s="1140">
        <f>583276.29+28027.2</f>
        <v>611303.49</v>
      </c>
      <c r="U47" s="525"/>
      <c r="V47" s="1140">
        <f>43172+645586</f>
        <v>688758</v>
      </c>
      <c r="W47" s="525"/>
      <c r="X47" s="439">
        <f>530219.58+49945.79</f>
        <v>580165.37</v>
      </c>
      <c r="Y47" s="525"/>
      <c r="Z47" s="1568"/>
      <c r="AA47" s="1031"/>
      <c r="AB47" s="12"/>
      <c r="AC47" s="1041">
        <f>AVERAGE(X47,V47,R47,T47,P47)</f>
        <v>683421.06599999999</v>
      </c>
    </row>
    <row r="48" spans="1:29" ht="13.5" thickBot="1" x14ac:dyDescent="0.25">
      <c r="A48" s="3"/>
      <c r="B48" s="1539"/>
      <c r="C48" s="268"/>
      <c r="D48" s="467"/>
      <c r="E48" s="192"/>
      <c r="F48" s="892"/>
      <c r="G48" s="268"/>
      <c r="H48" s="428"/>
      <c r="I48" s="154"/>
      <c r="J48" s="399"/>
      <c r="K48" s="268"/>
      <c r="L48" s="399"/>
      <c r="M48" s="268"/>
      <c r="N48" s="1336"/>
      <c r="O48" s="154"/>
      <c r="P48" s="428"/>
      <c r="Q48" s="154"/>
      <c r="R48" s="428"/>
      <c r="S48" s="154"/>
      <c r="T48" s="428"/>
      <c r="U48" s="154"/>
      <c r="V48" s="428"/>
      <c r="W48" s="154"/>
      <c r="X48" s="428"/>
      <c r="Y48" s="154"/>
      <c r="Z48" s="155"/>
      <c r="AA48" s="1031"/>
      <c r="AB48" s="1039" t="s">
        <v>133</v>
      </c>
      <c r="AC48" s="1040" t="s">
        <v>139</v>
      </c>
    </row>
    <row r="49" spans="1:29" x14ac:dyDescent="0.2">
      <c r="A49" s="3"/>
      <c r="B49" s="1492"/>
      <c r="C49" s="193" t="s">
        <v>133</v>
      </c>
      <c r="D49" s="194" t="s">
        <v>139</v>
      </c>
      <c r="E49" s="193" t="s">
        <v>133</v>
      </c>
      <c r="F49" s="194" t="s">
        <v>139</v>
      </c>
      <c r="G49" s="166" t="s">
        <v>133</v>
      </c>
      <c r="H49" s="194" t="s">
        <v>139</v>
      </c>
      <c r="I49" s="166" t="s">
        <v>133</v>
      </c>
      <c r="J49" s="84" t="s">
        <v>139</v>
      </c>
      <c r="K49" s="380" t="s">
        <v>133</v>
      </c>
      <c r="L49" s="84" t="s">
        <v>139</v>
      </c>
      <c r="M49" s="386" t="s">
        <v>133</v>
      </c>
      <c r="N49" s="417" t="s">
        <v>139</v>
      </c>
      <c r="O49" s="352" t="s">
        <v>133</v>
      </c>
      <c r="P49" s="417" t="s">
        <v>139</v>
      </c>
      <c r="Q49" s="84" t="s">
        <v>133</v>
      </c>
      <c r="R49" s="194" t="s">
        <v>139</v>
      </c>
      <c r="S49" s="84" t="s">
        <v>133</v>
      </c>
      <c r="T49" s="194" t="s">
        <v>139</v>
      </c>
      <c r="U49" s="84" t="s">
        <v>133</v>
      </c>
      <c r="V49" s="194" t="s">
        <v>139</v>
      </c>
      <c r="W49" s="352" t="s">
        <v>133</v>
      </c>
      <c r="X49" s="417" t="s">
        <v>139</v>
      </c>
      <c r="Y49" s="84" t="s">
        <v>133</v>
      </c>
      <c r="Z49" s="84" t="s">
        <v>139</v>
      </c>
      <c r="AA49" s="1031"/>
      <c r="AB49" s="323"/>
      <c r="AC49" s="295"/>
    </row>
    <row r="50" spans="1:29" s="3" customFormat="1" ht="11.45" customHeight="1" x14ac:dyDescent="0.2">
      <c r="B50" s="80" t="s">
        <v>67</v>
      </c>
      <c r="C50" s="475">
        <v>57</v>
      </c>
      <c r="D50" s="511">
        <f>0+18973281</f>
        <v>18973281</v>
      </c>
      <c r="E50" s="383">
        <v>65</v>
      </c>
      <c r="F50" s="1279">
        <v>9546320</v>
      </c>
      <c r="G50" s="476">
        <v>58</v>
      </c>
      <c r="H50" s="439">
        <v>9413500</v>
      </c>
      <c r="I50" s="477">
        <v>42</v>
      </c>
      <c r="J50" s="525">
        <v>6757185</v>
      </c>
      <c r="K50" s="532">
        <v>36</v>
      </c>
      <c r="L50" s="252">
        <v>4516784</v>
      </c>
      <c r="M50" s="476">
        <v>46</v>
      </c>
      <c r="N50" s="510">
        <v>8604114</v>
      </c>
      <c r="O50" s="476">
        <v>48</v>
      </c>
      <c r="P50" s="510">
        <v>8534277</v>
      </c>
      <c r="Q50" s="476">
        <v>39</v>
      </c>
      <c r="R50" s="510">
        <v>11386299</v>
      </c>
      <c r="S50" s="476">
        <v>36</v>
      </c>
      <c r="T50" s="510">
        <v>6576630</v>
      </c>
      <c r="U50" s="476">
        <v>34</v>
      </c>
      <c r="V50" s="510">
        <v>13443391</v>
      </c>
      <c r="W50" s="476">
        <f>48</f>
        <v>48</v>
      </c>
      <c r="X50" s="510">
        <f>13529139</f>
        <v>13529139</v>
      </c>
      <c r="Y50" s="1445"/>
      <c r="Z50" s="1482"/>
      <c r="AA50" s="955"/>
      <c r="AB50" s="108">
        <f>AVERAGE(W50,U50,Q50,S50,O50)</f>
        <v>41</v>
      </c>
      <c r="AC50" s="951">
        <f>AVERAGE(X50,V50,R50,T50,P50)</f>
        <v>10693947.199999999</v>
      </c>
    </row>
    <row r="51" spans="1:29" s="3" customFormat="1" ht="11.45" customHeight="1" x14ac:dyDescent="0.2">
      <c r="B51" s="80"/>
      <c r="C51" s="916"/>
      <c r="D51" s="197"/>
      <c r="E51" s="385"/>
      <c r="F51" s="1280"/>
      <c r="G51" s="551"/>
      <c r="H51" s="418"/>
      <c r="I51" s="255"/>
      <c r="J51" s="452"/>
      <c r="K51" s="530"/>
      <c r="L51" s="528"/>
      <c r="M51" s="551"/>
      <c r="N51" s="545"/>
      <c r="O51" s="551"/>
      <c r="P51" s="545"/>
      <c r="Q51" s="551"/>
      <c r="R51" s="545"/>
      <c r="S51" s="551"/>
      <c r="T51" s="545"/>
      <c r="U51" s="551"/>
      <c r="V51" s="545"/>
      <c r="W51" s="551"/>
      <c r="X51" s="545"/>
      <c r="Y51" s="1446"/>
      <c r="Z51" s="1483"/>
      <c r="AA51" s="955"/>
      <c r="AB51" s="1013"/>
      <c r="AC51" s="949"/>
    </row>
    <row r="52" spans="1:29" s="3" customFormat="1" thickBot="1" x14ac:dyDescent="0.25">
      <c r="B52" s="167" t="s">
        <v>16</v>
      </c>
      <c r="C52" s="913">
        <v>35</v>
      </c>
      <c r="D52" s="208">
        <f>319947+8052113</f>
        <v>8372060</v>
      </c>
      <c r="E52" s="1286">
        <v>30</v>
      </c>
      <c r="F52" s="1281">
        <v>7444275</v>
      </c>
      <c r="G52" s="552">
        <v>32</v>
      </c>
      <c r="H52" s="524">
        <v>6381189</v>
      </c>
      <c r="I52" s="550">
        <v>38</v>
      </c>
      <c r="J52" s="526">
        <v>7603567</v>
      </c>
      <c r="K52" s="552">
        <v>28</v>
      </c>
      <c r="L52" s="253">
        <v>6521168</v>
      </c>
      <c r="M52" s="552">
        <v>34</v>
      </c>
      <c r="N52" s="509">
        <v>7020697</v>
      </c>
      <c r="O52" s="552">
        <v>26</v>
      </c>
      <c r="P52" s="509">
        <v>5241624</v>
      </c>
      <c r="Q52" s="552">
        <v>26</v>
      </c>
      <c r="R52" s="509">
        <v>9318025</v>
      </c>
      <c r="S52" s="552">
        <v>22</v>
      </c>
      <c r="T52" s="509">
        <v>6921664</v>
      </c>
      <c r="U52" s="552">
        <v>15</v>
      </c>
      <c r="V52" s="509">
        <v>5231021</v>
      </c>
      <c r="W52" s="552">
        <v>21</v>
      </c>
      <c r="X52" s="509">
        <v>5694471</v>
      </c>
      <c r="Y52" s="1447"/>
      <c r="Z52" s="1484"/>
      <c r="AA52" s="955"/>
      <c r="AB52" s="839">
        <f>AVERAGE(W52,U52,Q52,S52,O52)</f>
        <v>22</v>
      </c>
      <c r="AC52" s="1009">
        <f>AVERAGE(X52,V52,R52,T52,P52)</f>
        <v>6481361</v>
      </c>
    </row>
    <row r="53" spans="1:29" s="3" customFormat="1" thickTop="1" x14ac:dyDescent="0.2">
      <c r="B53" s="81" t="s">
        <v>84</v>
      </c>
      <c r="C53" s="199"/>
      <c r="D53" s="209"/>
      <c r="E53" s="199"/>
      <c r="F53" s="1282"/>
      <c r="G53" s="269"/>
      <c r="H53" s="419"/>
      <c r="I53" s="352"/>
      <c r="J53" s="307"/>
      <c r="K53" s="269"/>
      <c r="L53" s="307"/>
      <c r="M53" s="269"/>
      <c r="N53" s="419"/>
      <c r="O53" s="156"/>
      <c r="P53" s="419"/>
      <c r="Q53" s="156"/>
      <c r="R53" s="419"/>
      <c r="S53" s="156"/>
      <c r="T53" s="419"/>
      <c r="U53" s="156"/>
      <c r="V53" s="419"/>
      <c r="W53" s="156"/>
      <c r="X53" s="419"/>
      <c r="Y53" s="156"/>
      <c r="Z53" s="158"/>
      <c r="AA53" s="955"/>
      <c r="AB53" s="109"/>
      <c r="AC53" s="1030"/>
    </row>
    <row r="54" spans="1:29" s="3" customFormat="1" ht="12" x14ac:dyDescent="0.2">
      <c r="B54" s="337" t="s">
        <v>35</v>
      </c>
      <c r="C54" s="201"/>
      <c r="D54" s="210"/>
      <c r="E54" s="201"/>
      <c r="F54" s="593"/>
      <c r="G54" s="271"/>
      <c r="H54" s="420"/>
      <c r="I54" s="157"/>
      <c r="J54" s="135"/>
      <c r="K54" s="271"/>
      <c r="L54" s="135"/>
      <c r="M54" s="271"/>
      <c r="N54" s="420"/>
      <c r="O54" s="157"/>
      <c r="P54" s="420"/>
      <c r="Q54" s="157"/>
      <c r="R54" s="420"/>
      <c r="S54" s="157"/>
      <c r="T54" s="420"/>
      <c r="U54" s="157"/>
      <c r="V54" s="420"/>
      <c r="W54" s="157"/>
      <c r="X54" s="420"/>
      <c r="Y54" s="157"/>
      <c r="Z54" s="287"/>
      <c r="AA54" s="955"/>
      <c r="AB54" s="720"/>
      <c r="AC54" s="1011"/>
    </row>
    <row r="55" spans="1:29" s="3" customFormat="1" ht="12" x14ac:dyDescent="0.2">
      <c r="B55" s="338" t="s">
        <v>85</v>
      </c>
      <c r="C55" s="202"/>
      <c r="D55" s="232">
        <v>141791.10999999999</v>
      </c>
      <c r="E55" s="202"/>
      <c r="F55" s="232">
        <v>53802.75</v>
      </c>
      <c r="G55" s="272"/>
      <c r="H55" s="503">
        <v>340787.94</v>
      </c>
      <c r="I55" s="502"/>
      <c r="J55" s="548">
        <v>1179954.53</v>
      </c>
      <c r="K55" s="272"/>
      <c r="L55" s="508">
        <v>138561.72</v>
      </c>
      <c r="M55" s="272"/>
      <c r="N55" s="548">
        <v>69811</v>
      </c>
      <c r="O55" s="254"/>
      <c r="P55" s="548">
        <v>47700</v>
      </c>
      <c r="Q55" s="254"/>
      <c r="R55" s="548">
        <v>23012</v>
      </c>
      <c r="S55" s="254"/>
      <c r="T55" s="548">
        <v>48590</v>
      </c>
      <c r="U55" s="254"/>
      <c r="V55" s="548">
        <v>106242</v>
      </c>
      <c r="W55" s="254"/>
      <c r="X55" s="548">
        <v>55939.360000000001</v>
      </c>
      <c r="Y55" s="254"/>
      <c r="Z55" s="1581"/>
      <c r="AB55" s="1038"/>
      <c r="AC55" s="949">
        <f>AVERAGE(X55,V55,R55,T55,P55)</f>
        <v>56296.671999999999</v>
      </c>
    </row>
    <row r="56" spans="1:29" s="3" customFormat="1" thickBot="1" x14ac:dyDescent="0.25">
      <c r="B56" s="114" t="s">
        <v>86</v>
      </c>
      <c r="C56" s="192"/>
      <c r="D56" s="208">
        <v>530249.76</v>
      </c>
      <c r="E56" s="204"/>
      <c r="F56" s="1283">
        <v>587507.63</v>
      </c>
      <c r="G56" s="274"/>
      <c r="H56" s="504">
        <v>648052.75</v>
      </c>
      <c r="I56" s="506"/>
      <c r="J56" s="505">
        <v>1837604.85</v>
      </c>
      <c r="K56" s="274"/>
      <c r="L56" s="536">
        <v>1833264.83</v>
      </c>
      <c r="M56" s="274"/>
      <c r="N56" s="1236">
        <v>1449059.52</v>
      </c>
      <c r="O56" s="260"/>
      <c r="P56" s="1236">
        <v>1520058</v>
      </c>
      <c r="Q56" s="260"/>
      <c r="R56" s="505">
        <v>1700480</v>
      </c>
      <c r="S56" s="260"/>
      <c r="T56" s="505">
        <v>1624023.38</v>
      </c>
      <c r="U56" s="260"/>
      <c r="V56" s="505">
        <v>1756696.2</v>
      </c>
      <c r="W56" s="260"/>
      <c r="X56" s="505">
        <v>2014768.73</v>
      </c>
      <c r="Y56" s="260"/>
      <c r="Z56" s="1587"/>
      <c r="AB56" s="1015"/>
      <c r="AC56" s="1024">
        <f t="shared" ref="AC56" si="6">AVERAGE(X56,V56,R56,T56,P56)</f>
        <v>1723205.2619999996</v>
      </c>
    </row>
    <row r="57" spans="1:29" ht="13.5" thickTop="1" x14ac:dyDescent="0.2">
      <c r="A57" s="3"/>
      <c r="B57" s="96"/>
      <c r="C57" s="97"/>
      <c r="D57" s="98"/>
      <c r="E57" s="1043"/>
      <c r="F57" s="1284"/>
      <c r="G57" s="157"/>
      <c r="H57" s="135"/>
      <c r="I57" s="157"/>
      <c r="J57" s="135"/>
      <c r="K57" s="157"/>
      <c r="L57" s="135"/>
      <c r="M57" s="157"/>
      <c r="N57" s="135"/>
      <c r="O57" s="157"/>
      <c r="P57" s="135"/>
      <c r="Q57" s="157"/>
      <c r="R57" s="135"/>
      <c r="S57" s="157"/>
      <c r="T57" s="135"/>
      <c r="U57" s="157"/>
      <c r="V57" s="135"/>
      <c r="W57" s="157"/>
      <c r="X57" s="135"/>
      <c r="Y57" s="157"/>
      <c r="Z57" s="135"/>
    </row>
    <row r="58" spans="1:29" x14ac:dyDescent="0.2">
      <c r="A58" s="2" t="s">
        <v>76</v>
      </c>
      <c r="B58" s="96"/>
      <c r="C58" s="97"/>
      <c r="D58" s="98"/>
      <c r="E58" s="97"/>
      <c r="F58" s="34"/>
      <c r="G58" s="157"/>
      <c r="H58" s="135"/>
      <c r="I58" s="157"/>
      <c r="J58" s="135"/>
      <c r="K58" s="157"/>
      <c r="L58" s="135"/>
      <c r="M58" s="157"/>
      <c r="N58" s="135"/>
      <c r="O58" s="157"/>
      <c r="P58" s="135"/>
      <c r="Q58" s="157"/>
      <c r="R58" s="135"/>
      <c r="S58" s="157"/>
      <c r="T58" s="135"/>
      <c r="U58" s="157"/>
      <c r="V58" s="135"/>
      <c r="W58" s="157"/>
      <c r="X58" s="135"/>
      <c r="Y58" s="157"/>
      <c r="Z58" s="135"/>
    </row>
    <row r="59" spans="1:29" ht="13.5" thickBot="1" x14ac:dyDescent="0.25">
      <c r="A59" s="3"/>
      <c r="B59" s="96"/>
      <c r="C59" s="97"/>
      <c r="D59" s="98"/>
      <c r="E59" s="97"/>
      <c r="F59" s="34"/>
      <c r="G59" s="157"/>
      <c r="H59" s="135"/>
      <c r="I59" s="157"/>
      <c r="J59" s="135"/>
      <c r="K59" s="157"/>
      <c r="L59" s="135"/>
      <c r="M59" s="157"/>
      <c r="N59" s="135"/>
      <c r="O59" s="157"/>
      <c r="P59" s="135"/>
      <c r="Q59" s="157"/>
      <c r="R59" s="135"/>
      <c r="S59" s="157"/>
      <c r="T59" s="135"/>
      <c r="U59" s="157"/>
      <c r="V59" s="135"/>
      <c r="W59" s="157"/>
      <c r="X59" s="135"/>
      <c r="Y59" s="157"/>
      <c r="Z59" s="135"/>
    </row>
    <row r="60" spans="1:29" s="3" customFormat="1" ht="14.25" customHeight="1" thickTop="1" thickBot="1" x14ac:dyDescent="0.25">
      <c r="B60" s="340"/>
      <c r="C60" s="2013" t="s">
        <v>49</v>
      </c>
      <c r="D60" s="2014"/>
      <c r="E60" s="2015" t="s">
        <v>50</v>
      </c>
      <c r="F60" s="2015"/>
      <c r="G60" s="2002" t="s">
        <v>141</v>
      </c>
      <c r="H60" s="1982"/>
      <c r="I60" s="1974" t="s">
        <v>152</v>
      </c>
      <c r="J60" s="1974"/>
      <c r="K60" s="2002" t="s">
        <v>154</v>
      </c>
      <c r="L60" s="1974"/>
      <c r="M60" s="2002" t="s">
        <v>171</v>
      </c>
      <c r="N60" s="1982"/>
      <c r="O60" s="1974" t="s">
        <v>227</v>
      </c>
      <c r="P60" s="1982"/>
      <c r="Q60" s="1974" t="s">
        <v>237</v>
      </c>
      <c r="R60" s="1982"/>
      <c r="S60" s="1974" t="s">
        <v>272</v>
      </c>
      <c r="T60" s="1982"/>
      <c r="U60" s="1974" t="s">
        <v>274</v>
      </c>
      <c r="V60" s="1982"/>
      <c r="W60" s="1974" t="s">
        <v>280</v>
      </c>
      <c r="X60" s="1982"/>
      <c r="Y60" s="1974" t="s">
        <v>290</v>
      </c>
      <c r="Z60" s="1975"/>
      <c r="AB60" s="2003" t="s">
        <v>213</v>
      </c>
      <c r="AC60" s="2004"/>
    </row>
    <row r="61" spans="1:29" s="3" customFormat="1" ht="12" x14ac:dyDescent="0.2">
      <c r="B61" s="73" t="s">
        <v>53</v>
      </c>
      <c r="C61" s="54"/>
      <c r="D61" s="92"/>
      <c r="E61" s="30"/>
      <c r="F61" s="30"/>
      <c r="G61" s="243"/>
      <c r="H61" s="244"/>
      <c r="I61" s="138"/>
      <c r="J61" s="138"/>
      <c r="K61" s="243"/>
      <c r="L61" s="138"/>
      <c r="M61" s="243"/>
      <c r="N61" s="244"/>
      <c r="O61" s="138"/>
      <c r="P61" s="244"/>
      <c r="Q61" s="138"/>
      <c r="R61" s="244"/>
      <c r="S61" s="138"/>
      <c r="T61" s="244"/>
      <c r="U61" s="138"/>
      <c r="V61" s="244"/>
      <c r="W61" s="138"/>
      <c r="X61" s="244"/>
      <c r="Y61" s="138"/>
      <c r="Z61" s="140"/>
      <c r="AB61" s="831"/>
      <c r="AC61" s="930"/>
    </row>
    <row r="62" spans="1:29" s="3" customFormat="1" ht="12" x14ac:dyDescent="0.2">
      <c r="B62" s="74" t="s">
        <v>54</v>
      </c>
      <c r="C62" s="184"/>
      <c r="D62" s="165"/>
      <c r="E62" s="31"/>
      <c r="F62" s="171"/>
      <c r="G62" s="239"/>
      <c r="H62" s="261"/>
      <c r="I62" s="139"/>
      <c r="J62" s="183"/>
      <c r="K62" s="239"/>
      <c r="L62" s="183"/>
      <c r="M62" s="239"/>
      <c r="N62" s="261"/>
      <c r="O62" s="139"/>
      <c r="P62" s="261"/>
      <c r="Q62" s="139"/>
      <c r="R62" s="261"/>
      <c r="S62" s="139"/>
      <c r="T62" s="261"/>
      <c r="U62" s="139"/>
      <c r="V62" s="261"/>
      <c r="W62" s="139"/>
      <c r="X62" s="261"/>
      <c r="Y62" s="139"/>
      <c r="Z62" s="142"/>
      <c r="AB62" s="24"/>
      <c r="AC62" s="579"/>
    </row>
    <row r="63" spans="1:29" s="3" customFormat="1" ht="12" x14ac:dyDescent="0.2">
      <c r="B63" s="75" t="s">
        <v>55</v>
      </c>
      <c r="C63" s="184"/>
      <c r="D63" s="165">
        <f>20+4</f>
        <v>24</v>
      </c>
      <c r="E63" s="31"/>
      <c r="F63" s="171">
        <v>25</v>
      </c>
      <c r="G63" s="239"/>
      <c r="H63" s="261">
        <v>25</v>
      </c>
      <c r="I63" s="139"/>
      <c r="J63" s="183">
        <v>23</v>
      </c>
      <c r="K63" s="239"/>
      <c r="L63" s="183">
        <v>24</v>
      </c>
      <c r="M63" s="239"/>
      <c r="N63" s="261">
        <f>24</f>
        <v>24</v>
      </c>
      <c r="O63" s="139"/>
      <c r="P63" s="261">
        <v>24</v>
      </c>
      <c r="Q63" s="139"/>
      <c r="R63" s="261">
        <v>24</v>
      </c>
      <c r="S63" s="139"/>
      <c r="T63" s="261">
        <v>23</v>
      </c>
      <c r="U63" s="139"/>
      <c r="V63" s="261">
        <v>27</v>
      </c>
      <c r="W63" s="139"/>
      <c r="X63" s="261">
        <v>28</v>
      </c>
      <c r="Y63" s="139"/>
      <c r="Z63" s="142">
        <v>28</v>
      </c>
      <c r="AB63" s="12"/>
      <c r="AC63" s="1113">
        <f>AVERAGE(X63,V63,R63,T63,Z63)</f>
        <v>26</v>
      </c>
    </row>
    <row r="64" spans="1:29" s="3" customFormat="1" ht="12" x14ac:dyDescent="0.2">
      <c r="B64" s="75" t="s">
        <v>181</v>
      </c>
      <c r="C64" s="184"/>
      <c r="D64" s="165">
        <v>2</v>
      </c>
      <c r="E64" s="31"/>
      <c r="F64" s="171">
        <v>1</v>
      </c>
      <c r="G64" s="239"/>
      <c r="H64" s="261">
        <v>0</v>
      </c>
      <c r="I64" s="139"/>
      <c r="J64" s="183">
        <v>2</v>
      </c>
      <c r="K64" s="239"/>
      <c r="L64" s="183">
        <v>1</v>
      </c>
      <c r="M64" s="239"/>
      <c r="N64" s="261">
        <v>1</v>
      </c>
      <c r="O64" s="139"/>
      <c r="P64" s="261">
        <v>2</v>
      </c>
      <c r="Q64" s="139"/>
      <c r="R64" s="261">
        <v>2</v>
      </c>
      <c r="S64" s="139"/>
      <c r="T64" s="261">
        <v>2</v>
      </c>
      <c r="U64" s="139"/>
      <c r="V64" s="261">
        <v>1</v>
      </c>
      <c r="W64" s="139"/>
      <c r="X64" s="261">
        <v>1</v>
      </c>
      <c r="Y64" s="139"/>
      <c r="Z64" s="142">
        <v>3</v>
      </c>
      <c r="AB64" s="12"/>
      <c r="AC64" s="1113">
        <f t="shared" ref="AC64:AC68" si="7">AVERAGE(X64,V64,R64,T64,Z64)</f>
        <v>1.8</v>
      </c>
    </row>
    <row r="65" spans="2:29" s="3" customFormat="1" ht="12" x14ac:dyDescent="0.2">
      <c r="B65" s="74" t="s">
        <v>57</v>
      </c>
      <c r="C65" s="184"/>
      <c r="D65" s="94"/>
      <c r="E65" s="31"/>
      <c r="F65" s="39"/>
      <c r="G65" s="239"/>
      <c r="H65" s="240"/>
      <c r="I65" s="139"/>
      <c r="J65" s="241"/>
      <c r="K65" s="239"/>
      <c r="L65" s="241"/>
      <c r="M65" s="239"/>
      <c r="N65" s="240"/>
      <c r="O65" s="139"/>
      <c r="P65" s="240"/>
      <c r="Q65" s="139"/>
      <c r="R65" s="240"/>
      <c r="S65" s="139"/>
      <c r="T65" s="240"/>
      <c r="U65" s="139"/>
      <c r="V65" s="240"/>
      <c r="W65" s="139"/>
      <c r="X65" s="240"/>
      <c r="Y65" s="139"/>
      <c r="Z65" s="143"/>
      <c r="AB65" s="12"/>
      <c r="AC65" s="1113"/>
    </row>
    <row r="66" spans="2:29" s="3" customFormat="1" ht="12" x14ac:dyDescent="0.2">
      <c r="B66" s="75" t="s">
        <v>55</v>
      </c>
      <c r="C66" s="184"/>
      <c r="D66" s="94">
        <v>3</v>
      </c>
      <c r="E66" s="31"/>
      <c r="F66" s="39">
        <v>6</v>
      </c>
      <c r="G66" s="239"/>
      <c r="H66" s="240">
        <v>2</v>
      </c>
      <c r="I66" s="139"/>
      <c r="J66" s="241">
        <v>1</v>
      </c>
      <c r="K66" s="239"/>
      <c r="L66" s="241">
        <v>1</v>
      </c>
      <c r="M66" s="239"/>
      <c r="N66" s="240">
        <v>2</v>
      </c>
      <c r="O66" s="139"/>
      <c r="P66" s="240">
        <v>2</v>
      </c>
      <c r="Q66" s="139"/>
      <c r="R66" s="240">
        <v>2</v>
      </c>
      <c r="S66" s="139"/>
      <c r="T66" s="240">
        <v>2</v>
      </c>
      <c r="U66" s="139"/>
      <c r="V66" s="240">
        <v>4</v>
      </c>
      <c r="W66" s="139"/>
      <c r="X66" s="240">
        <v>1</v>
      </c>
      <c r="Y66" s="139"/>
      <c r="Z66" s="143">
        <v>1</v>
      </c>
      <c r="AB66" s="12"/>
      <c r="AC66" s="1113">
        <f t="shared" si="7"/>
        <v>2</v>
      </c>
    </row>
    <row r="67" spans="2:29" s="3" customFormat="1" ht="12" x14ac:dyDescent="0.2">
      <c r="B67" s="341" t="s">
        <v>181</v>
      </c>
      <c r="C67" s="184"/>
      <c r="D67" s="94">
        <v>0</v>
      </c>
      <c r="E67" s="31"/>
      <c r="F67" s="39">
        <v>1</v>
      </c>
      <c r="G67" s="239"/>
      <c r="H67" s="240">
        <v>3</v>
      </c>
      <c r="I67" s="139"/>
      <c r="J67" s="241">
        <v>0</v>
      </c>
      <c r="K67" s="239"/>
      <c r="L67" s="241">
        <v>2</v>
      </c>
      <c r="M67" s="239"/>
      <c r="N67" s="240">
        <v>1</v>
      </c>
      <c r="O67" s="139"/>
      <c r="P67" s="240">
        <v>0</v>
      </c>
      <c r="Q67" s="139"/>
      <c r="R67" s="240">
        <v>0</v>
      </c>
      <c r="S67" s="139"/>
      <c r="T67" s="240">
        <v>1</v>
      </c>
      <c r="U67" s="139"/>
      <c r="V67" s="240">
        <v>1</v>
      </c>
      <c r="W67" s="139"/>
      <c r="X67" s="240">
        <v>1</v>
      </c>
      <c r="Y67" s="139"/>
      <c r="Z67" s="143">
        <v>1</v>
      </c>
      <c r="AB67" s="12"/>
      <c r="AC67" s="1113">
        <f t="shared" si="7"/>
        <v>0.8</v>
      </c>
    </row>
    <row r="68" spans="2:29" s="3" customFormat="1" thickBot="1" x14ac:dyDescent="0.25">
      <c r="B68" s="79" t="s">
        <v>13</v>
      </c>
      <c r="C68" s="233"/>
      <c r="D68" s="234">
        <f>SUM(D63:D67)</f>
        <v>29</v>
      </c>
      <c r="E68" s="107"/>
      <c r="F68" s="106">
        <f>SUM(F63:F67)</f>
        <v>33</v>
      </c>
      <c r="G68" s="297"/>
      <c r="H68" s="427">
        <v>30</v>
      </c>
      <c r="I68" s="426"/>
      <c r="J68" s="454">
        <f>SUM(J63:J67)</f>
        <v>26</v>
      </c>
      <c r="K68" s="297"/>
      <c r="L68" s="454">
        <f>SUM(L63:L67)</f>
        <v>28</v>
      </c>
      <c r="M68" s="297"/>
      <c r="N68" s="427">
        <f>SUM(N63:N67)</f>
        <v>28</v>
      </c>
      <c r="O68" s="426"/>
      <c r="P68" s="427">
        <f>SUM(P63:P67)</f>
        <v>28</v>
      </c>
      <c r="Q68" s="426"/>
      <c r="R68" s="427">
        <f>SUM(R63:R67)</f>
        <v>28</v>
      </c>
      <c r="S68" s="426"/>
      <c r="T68" s="427">
        <f>SUM(T63:T67)</f>
        <v>28</v>
      </c>
      <c r="U68" s="426"/>
      <c r="V68" s="427">
        <f>SUM(V63:V67)</f>
        <v>33</v>
      </c>
      <c r="W68" s="426"/>
      <c r="X68" s="427">
        <f>SUM(X63:X67)</f>
        <v>31</v>
      </c>
      <c r="Y68" s="426"/>
      <c r="Z68" s="374">
        <f>SUM(Z63:Z67)</f>
        <v>33</v>
      </c>
      <c r="AB68" s="831"/>
      <c r="AC68" s="1114">
        <f t="shared" si="7"/>
        <v>30.6</v>
      </c>
    </row>
    <row r="69" spans="2:29" s="3" customFormat="1" thickTop="1" x14ac:dyDescent="0.2">
      <c r="B69" s="342" t="s">
        <v>135</v>
      </c>
      <c r="C69" s="392"/>
      <c r="D69" s="393"/>
      <c r="E69" s="43" t="s">
        <v>133</v>
      </c>
      <c r="F69" s="41" t="s">
        <v>134</v>
      </c>
      <c r="G69" s="317" t="s">
        <v>133</v>
      </c>
      <c r="H69" s="412" t="s">
        <v>134</v>
      </c>
      <c r="I69" s="411" t="s">
        <v>133</v>
      </c>
      <c r="J69" s="449" t="s">
        <v>134</v>
      </c>
      <c r="K69" s="317" t="s">
        <v>133</v>
      </c>
      <c r="L69" s="449" t="s">
        <v>134</v>
      </c>
      <c r="M69" s="317" t="s">
        <v>133</v>
      </c>
      <c r="N69" s="441" t="s">
        <v>134</v>
      </c>
      <c r="O69" s="411" t="s">
        <v>133</v>
      </c>
      <c r="P69" s="412" t="s">
        <v>134</v>
      </c>
      <c r="Q69" s="411" t="s">
        <v>133</v>
      </c>
      <c r="R69" s="412" t="s">
        <v>134</v>
      </c>
      <c r="S69" s="411" t="s">
        <v>133</v>
      </c>
      <c r="T69" s="412" t="s">
        <v>134</v>
      </c>
      <c r="U69" s="411" t="s">
        <v>133</v>
      </c>
      <c r="V69" s="412" t="s">
        <v>134</v>
      </c>
      <c r="W69" s="411" t="s">
        <v>133</v>
      </c>
      <c r="X69" s="412" t="s">
        <v>134</v>
      </c>
      <c r="Y69" s="411" t="s">
        <v>133</v>
      </c>
      <c r="Z69" s="289" t="s">
        <v>134</v>
      </c>
      <c r="AB69" s="952" t="s">
        <v>133</v>
      </c>
      <c r="AC69" s="862" t="s">
        <v>134</v>
      </c>
    </row>
    <row r="70" spans="2:29" s="3" customFormat="1" ht="12" x14ac:dyDescent="0.2">
      <c r="B70" s="75" t="s">
        <v>87</v>
      </c>
      <c r="C70" s="319">
        <v>17</v>
      </c>
      <c r="D70" s="216">
        <f>C70/D$68</f>
        <v>0.58620689655172409</v>
      </c>
      <c r="E70" s="173">
        <v>18</v>
      </c>
      <c r="F70" s="221">
        <f t="shared" ref="F70:H77" si="8">E70/F$68</f>
        <v>0.54545454545454541</v>
      </c>
      <c r="G70" s="215">
        <v>17</v>
      </c>
      <c r="H70" s="216">
        <f t="shared" si="8"/>
        <v>0.56666666666666665</v>
      </c>
      <c r="I70" s="173">
        <v>14</v>
      </c>
      <c r="J70" s="221">
        <f t="shared" ref="J70:L77" si="9">I70/J$68</f>
        <v>0.53846153846153844</v>
      </c>
      <c r="K70" s="215">
        <v>17</v>
      </c>
      <c r="L70" s="221">
        <f t="shared" si="9"/>
        <v>0.6071428571428571</v>
      </c>
      <c r="M70" s="215">
        <f>19+2</f>
        <v>21</v>
      </c>
      <c r="N70" s="216">
        <f t="shared" ref="N70:T77" si="10">M70/N$68</f>
        <v>0.75</v>
      </c>
      <c r="O70" s="173">
        <v>19</v>
      </c>
      <c r="P70" s="216">
        <f t="shared" si="10"/>
        <v>0.6785714285714286</v>
      </c>
      <c r="Q70" s="173">
        <v>18</v>
      </c>
      <c r="R70" s="216">
        <f t="shared" si="10"/>
        <v>0.6428571428571429</v>
      </c>
      <c r="S70" s="173">
        <f>18+1</f>
        <v>19</v>
      </c>
      <c r="T70" s="216">
        <f t="shared" si="10"/>
        <v>0.6785714285714286</v>
      </c>
      <c r="U70" s="173">
        <v>21</v>
      </c>
      <c r="V70" s="216">
        <f t="shared" ref="V70:V77" si="11">U70/V$68</f>
        <v>0.63636363636363635</v>
      </c>
      <c r="W70" s="173">
        <f>1+20</f>
        <v>21</v>
      </c>
      <c r="X70" s="216">
        <f t="shared" ref="X70:Z77" si="12">W70/X$68</f>
        <v>0.67741935483870963</v>
      </c>
      <c r="Y70" s="173">
        <v>23</v>
      </c>
      <c r="Z70" s="1494">
        <f t="shared" si="12"/>
        <v>0.69696969696969702</v>
      </c>
      <c r="AA70" s="955"/>
      <c r="AB70" s="1016">
        <f t="shared" ref="AB70:AB89" si="13">AVERAGE(W70,U70,Q70,S70,Y70)</f>
        <v>20.399999999999999</v>
      </c>
      <c r="AC70" s="863">
        <f t="shared" ref="AC70:AC89" si="14">AVERAGE(X70,V70,R70,T70,Z70)</f>
        <v>0.66643625192012301</v>
      </c>
    </row>
    <row r="71" spans="2:29" s="3" customFormat="1" ht="12" x14ac:dyDescent="0.2">
      <c r="B71" s="85" t="s">
        <v>88</v>
      </c>
      <c r="C71" s="319">
        <v>0</v>
      </c>
      <c r="D71" s="216">
        <f t="shared" ref="D71:D89" si="15">C71/$D$68</f>
        <v>0</v>
      </c>
      <c r="E71" s="173">
        <v>0</v>
      </c>
      <c r="F71" s="221">
        <f t="shared" si="8"/>
        <v>0</v>
      </c>
      <c r="G71" s="215">
        <v>0</v>
      </c>
      <c r="H71" s="216">
        <f t="shared" si="8"/>
        <v>0</v>
      </c>
      <c r="I71" s="173">
        <v>0</v>
      </c>
      <c r="J71" s="221">
        <f t="shared" si="9"/>
        <v>0</v>
      </c>
      <c r="K71" s="215">
        <v>0</v>
      </c>
      <c r="L71" s="221">
        <f t="shared" si="9"/>
        <v>0</v>
      </c>
      <c r="M71" s="215">
        <v>0</v>
      </c>
      <c r="N71" s="216">
        <f t="shared" si="10"/>
        <v>0</v>
      </c>
      <c r="O71" s="173"/>
      <c r="P71" s="216">
        <f t="shared" si="10"/>
        <v>0</v>
      </c>
      <c r="Q71" s="173">
        <v>0</v>
      </c>
      <c r="R71" s="216">
        <f t="shared" si="10"/>
        <v>0</v>
      </c>
      <c r="S71" s="173">
        <f>0</f>
        <v>0</v>
      </c>
      <c r="T71" s="216">
        <f t="shared" si="10"/>
        <v>0</v>
      </c>
      <c r="U71" s="173">
        <v>0</v>
      </c>
      <c r="V71" s="216">
        <f t="shared" si="11"/>
        <v>0</v>
      </c>
      <c r="W71" s="173">
        <v>0</v>
      </c>
      <c r="X71" s="216">
        <f t="shared" si="12"/>
        <v>0</v>
      </c>
      <c r="Y71" s="173">
        <v>0</v>
      </c>
      <c r="Z71" s="1494">
        <f t="shared" si="12"/>
        <v>0</v>
      </c>
      <c r="AA71" s="955"/>
      <c r="AB71" s="1016">
        <f t="shared" si="13"/>
        <v>0</v>
      </c>
      <c r="AC71" s="863">
        <f t="shared" si="14"/>
        <v>0</v>
      </c>
    </row>
    <row r="72" spans="2:29" s="3" customFormat="1" ht="12" x14ac:dyDescent="0.2">
      <c r="B72" s="85" t="s">
        <v>89</v>
      </c>
      <c r="C72" s="319">
        <v>0</v>
      </c>
      <c r="D72" s="216">
        <f t="shared" si="15"/>
        <v>0</v>
      </c>
      <c r="E72" s="173">
        <v>0</v>
      </c>
      <c r="F72" s="221">
        <f t="shared" si="8"/>
        <v>0</v>
      </c>
      <c r="G72" s="215">
        <v>0</v>
      </c>
      <c r="H72" s="216">
        <f t="shared" si="8"/>
        <v>0</v>
      </c>
      <c r="I72" s="173">
        <v>0</v>
      </c>
      <c r="J72" s="221">
        <f t="shared" si="9"/>
        <v>0</v>
      </c>
      <c r="K72" s="215">
        <v>0</v>
      </c>
      <c r="L72" s="221">
        <f t="shared" si="9"/>
        <v>0</v>
      </c>
      <c r="M72" s="215">
        <v>0</v>
      </c>
      <c r="N72" s="216">
        <f t="shared" si="10"/>
        <v>0</v>
      </c>
      <c r="O72" s="173"/>
      <c r="P72" s="216">
        <f t="shared" si="10"/>
        <v>0</v>
      </c>
      <c r="Q72" s="173">
        <v>1</v>
      </c>
      <c r="R72" s="216">
        <f t="shared" si="10"/>
        <v>3.5714285714285712E-2</v>
      </c>
      <c r="S72" s="173">
        <f>1</f>
        <v>1</v>
      </c>
      <c r="T72" s="216">
        <f t="shared" si="10"/>
        <v>3.5714285714285712E-2</v>
      </c>
      <c r="U72" s="173">
        <v>1</v>
      </c>
      <c r="V72" s="216">
        <f t="shared" si="11"/>
        <v>3.0303030303030304E-2</v>
      </c>
      <c r="W72" s="173">
        <v>1</v>
      </c>
      <c r="X72" s="216">
        <f t="shared" si="12"/>
        <v>3.2258064516129031E-2</v>
      </c>
      <c r="Y72" s="173">
        <v>1</v>
      </c>
      <c r="Z72" s="1494">
        <f t="shared" si="12"/>
        <v>3.0303030303030304E-2</v>
      </c>
      <c r="AA72" s="955"/>
      <c r="AB72" s="1016">
        <f t="shared" si="13"/>
        <v>1</v>
      </c>
      <c r="AC72" s="863">
        <f t="shared" si="14"/>
        <v>3.2858539310152216E-2</v>
      </c>
    </row>
    <row r="73" spans="2:29" s="3" customFormat="1" ht="12" x14ac:dyDescent="0.2">
      <c r="B73" s="85" t="s">
        <v>90</v>
      </c>
      <c r="C73" s="319">
        <v>0</v>
      </c>
      <c r="D73" s="216">
        <f t="shared" si="15"/>
        <v>0</v>
      </c>
      <c r="E73" s="173">
        <v>0</v>
      </c>
      <c r="F73" s="221">
        <f t="shared" si="8"/>
        <v>0</v>
      </c>
      <c r="G73" s="215">
        <v>0</v>
      </c>
      <c r="H73" s="216">
        <f t="shared" si="8"/>
        <v>0</v>
      </c>
      <c r="I73" s="173">
        <v>0</v>
      </c>
      <c r="J73" s="221">
        <f t="shared" si="9"/>
        <v>0</v>
      </c>
      <c r="K73" s="215">
        <v>0</v>
      </c>
      <c r="L73" s="221">
        <f t="shared" si="9"/>
        <v>0</v>
      </c>
      <c r="M73" s="215">
        <v>0</v>
      </c>
      <c r="N73" s="216">
        <f t="shared" si="10"/>
        <v>0</v>
      </c>
      <c r="O73" s="173"/>
      <c r="P73" s="216">
        <f t="shared" si="10"/>
        <v>0</v>
      </c>
      <c r="Q73" s="173">
        <v>0</v>
      </c>
      <c r="R73" s="216">
        <f t="shared" si="10"/>
        <v>0</v>
      </c>
      <c r="S73" s="173">
        <f>0</f>
        <v>0</v>
      </c>
      <c r="T73" s="216">
        <f t="shared" si="10"/>
        <v>0</v>
      </c>
      <c r="U73" s="173">
        <v>0</v>
      </c>
      <c r="V73" s="216">
        <f t="shared" si="11"/>
        <v>0</v>
      </c>
      <c r="W73" s="173">
        <v>0</v>
      </c>
      <c r="X73" s="216">
        <f t="shared" si="12"/>
        <v>0</v>
      </c>
      <c r="Y73" s="173">
        <v>0</v>
      </c>
      <c r="Z73" s="1494">
        <f t="shared" si="12"/>
        <v>0</v>
      </c>
      <c r="AA73" s="955"/>
      <c r="AB73" s="1016">
        <f t="shared" si="13"/>
        <v>0</v>
      </c>
      <c r="AC73" s="863">
        <f t="shared" si="14"/>
        <v>0</v>
      </c>
    </row>
    <row r="74" spans="2:29" s="3" customFormat="1" ht="12" x14ac:dyDescent="0.2">
      <c r="B74" s="85" t="s">
        <v>91</v>
      </c>
      <c r="C74" s="319">
        <v>9</v>
      </c>
      <c r="D74" s="216">
        <f t="shared" si="15"/>
        <v>0.31034482758620691</v>
      </c>
      <c r="E74" s="173">
        <v>11</v>
      </c>
      <c r="F74" s="221">
        <f t="shared" si="8"/>
        <v>0.33333333333333331</v>
      </c>
      <c r="G74" s="215">
        <v>9</v>
      </c>
      <c r="H74" s="216">
        <f t="shared" si="8"/>
        <v>0.3</v>
      </c>
      <c r="I74" s="173">
        <v>9</v>
      </c>
      <c r="J74" s="221">
        <f t="shared" si="9"/>
        <v>0.34615384615384615</v>
      </c>
      <c r="K74" s="215">
        <v>9</v>
      </c>
      <c r="L74" s="221">
        <f t="shared" si="9"/>
        <v>0.32142857142857145</v>
      </c>
      <c r="M74" s="215">
        <v>4</v>
      </c>
      <c r="N74" s="216">
        <f t="shared" si="10"/>
        <v>0.14285714285714285</v>
      </c>
      <c r="O74" s="173">
        <v>7</v>
      </c>
      <c r="P74" s="216">
        <f t="shared" si="10"/>
        <v>0.25</v>
      </c>
      <c r="Q74" s="173">
        <v>7</v>
      </c>
      <c r="R74" s="216">
        <f t="shared" si="10"/>
        <v>0.25</v>
      </c>
      <c r="S74" s="173">
        <f>5</f>
        <v>5</v>
      </c>
      <c r="T74" s="216">
        <f t="shared" si="10"/>
        <v>0.17857142857142858</v>
      </c>
      <c r="U74" s="173">
        <v>7</v>
      </c>
      <c r="V74" s="216">
        <f t="shared" si="11"/>
        <v>0.21212121212121213</v>
      </c>
      <c r="W74" s="173">
        <v>6</v>
      </c>
      <c r="X74" s="216">
        <f t="shared" si="12"/>
        <v>0.19354838709677419</v>
      </c>
      <c r="Y74" s="173">
        <v>5</v>
      </c>
      <c r="Z74" s="1494">
        <f t="shared" si="12"/>
        <v>0.15151515151515152</v>
      </c>
      <c r="AA74" s="955"/>
      <c r="AB74" s="1016">
        <f t="shared" si="13"/>
        <v>6</v>
      </c>
      <c r="AC74" s="863">
        <f t="shared" si="14"/>
        <v>0.19715123586091327</v>
      </c>
    </row>
    <row r="75" spans="2:29" s="3" customFormat="1" ht="12" x14ac:dyDescent="0.2">
      <c r="B75" s="85" t="s">
        <v>92</v>
      </c>
      <c r="C75" s="319">
        <v>3</v>
      </c>
      <c r="D75" s="216">
        <f t="shared" si="15"/>
        <v>0.10344827586206896</v>
      </c>
      <c r="E75" s="173">
        <v>4</v>
      </c>
      <c r="F75" s="221">
        <f t="shared" si="8"/>
        <v>0.12121212121212122</v>
      </c>
      <c r="G75" s="215">
        <v>4</v>
      </c>
      <c r="H75" s="216">
        <f t="shared" si="8"/>
        <v>0.13333333333333333</v>
      </c>
      <c r="I75" s="173">
        <v>3</v>
      </c>
      <c r="J75" s="221">
        <f t="shared" si="9"/>
        <v>0.11538461538461539</v>
      </c>
      <c r="K75" s="215">
        <v>2</v>
      </c>
      <c r="L75" s="221">
        <f t="shared" si="9"/>
        <v>7.1428571428571425E-2</v>
      </c>
      <c r="M75" s="215">
        <v>3</v>
      </c>
      <c r="N75" s="216">
        <f t="shared" si="10"/>
        <v>0.10714285714285714</v>
      </c>
      <c r="O75" s="173">
        <v>2</v>
      </c>
      <c r="P75" s="216">
        <f t="shared" si="10"/>
        <v>7.1428571428571425E-2</v>
      </c>
      <c r="Q75" s="173">
        <v>2</v>
      </c>
      <c r="R75" s="216">
        <f t="shared" si="10"/>
        <v>7.1428571428571425E-2</v>
      </c>
      <c r="S75" s="173">
        <f>1+1</f>
        <v>2</v>
      </c>
      <c r="T75" s="216">
        <f t="shared" si="10"/>
        <v>7.1428571428571425E-2</v>
      </c>
      <c r="U75" s="173">
        <v>4</v>
      </c>
      <c r="V75" s="216">
        <f t="shared" si="11"/>
        <v>0.12121212121212122</v>
      </c>
      <c r="W75" s="173">
        <f>1+2</f>
        <v>3</v>
      </c>
      <c r="X75" s="216">
        <f t="shared" si="12"/>
        <v>9.6774193548387094E-2</v>
      </c>
      <c r="Y75" s="173">
        <v>4</v>
      </c>
      <c r="Z75" s="1494">
        <f t="shared" si="12"/>
        <v>0.12121212121212122</v>
      </c>
      <c r="AA75" s="955"/>
      <c r="AB75" s="1016">
        <f t="shared" si="13"/>
        <v>3</v>
      </c>
      <c r="AC75" s="863">
        <f t="shared" si="14"/>
        <v>9.6411115765954472E-2</v>
      </c>
    </row>
    <row r="76" spans="2:29" s="3" customFormat="1" ht="12" x14ac:dyDescent="0.2">
      <c r="B76" s="85" t="s">
        <v>277</v>
      </c>
      <c r="C76" s="346"/>
      <c r="D76" s="216"/>
      <c r="E76" s="174"/>
      <c r="F76" s="221"/>
      <c r="G76" s="1510"/>
      <c r="H76" s="1511"/>
      <c r="I76" s="1512"/>
      <c r="J76" s="1513"/>
      <c r="K76" s="1510"/>
      <c r="L76" s="1513"/>
      <c r="M76" s="1510"/>
      <c r="N76" s="1511"/>
      <c r="O76" s="1512"/>
      <c r="P76" s="1511"/>
      <c r="Q76" s="174">
        <v>0</v>
      </c>
      <c r="R76" s="216">
        <f t="shared" si="10"/>
        <v>0</v>
      </c>
      <c r="S76" s="174">
        <f>1</f>
        <v>1</v>
      </c>
      <c r="T76" s="216">
        <f t="shared" si="10"/>
        <v>3.5714285714285712E-2</v>
      </c>
      <c r="U76" s="174">
        <v>0</v>
      </c>
      <c r="V76" s="216">
        <f t="shared" si="11"/>
        <v>0</v>
      </c>
      <c r="W76" s="174">
        <v>0</v>
      </c>
      <c r="X76" s="216">
        <f t="shared" si="12"/>
        <v>0</v>
      </c>
      <c r="Y76" s="174">
        <v>0</v>
      </c>
      <c r="Z76" s="1494">
        <f t="shared" si="12"/>
        <v>0</v>
      </c>
      <c r="AA76" s="955"/>
      <c r="AB76" s="1016">
        <f t="shared" si="13"/>
        <v>0.2</v>
      </c>
      <c r="AC76" s="863">
        <f t="shared" si="14"/>
        <v>7.1428571428571426E-3</v>
      </c>
    </row>
    <row r="77" spans="2:29" s="3" customFormat="1" ht="12" x14ac:dyDescent="0.2">
      <c r="B77" s="85" t="s">
        <v>93</v>
      </c>
      <c r="C77" s="346">
        <v>0</v>
      </c>
      <c r="D77" s="216">
        <f t="shared" si="15"/>
        <v>0</v>
      </c>
      <c r="E77" s="174">
        <v>0</v>
      </c>
      <c r="F77" s="221">
        <f t="shared" si="8"/>
        <v>0</v>
      </c>
      <c r="G77" s="217">
        <v>0</v>
      </c>
      <c r="H77" s="216">
        <f t="shared" si="8"/>
        <v>0</v>
      </c>
      <c r="I77" s="174">
        <v>0</v>
      </c>
      <c r="J77" s="221">
        <f t="shared" si="9"/>
        <v>0</v>
      </c>
      <c r="K77" s="217">
        <v>0</v>
      </c>
      <c r="L77" s="221">
        <f t="shared" si="9"/>
        <v>0</v>
      </c>
      <c r="M77" s="217">
        <v>0</v>
      </c>
      <c r="N77" s="216">
        <f t="shared" si="10"/>
        <v>0</v>
      </c>
      <c r="O77" s="174"/>
      <c r="P77" s="216">
        <f t="shared" si="10"/>
        <v>0</v>
      </c>
      <c r="Q77" s="174">
        <v>0</v>
      </c>
      <c r="R77" s="216">
        <f t="shared" si="10"/>
        <v>0</v>
      </c>
      <c r="S77" s="174">
        <v>0</v>
      </c>
      <c r="T77" s="216">
        <f t="shared" si="10"/>
        <v>0</v>
      </c>
      <c r="U77" s="174">
        <v>0</v>
      </c>
      <c r="V77" s="216">
        <f t="shared" si="11"/>
        <v>0</v>
      </c>
      <c r="W77" s="174">
        <v>0</v>
      </c>
      <c r="X77" s="216">
        <f t="shared" si="12"/>
        <v>0</v>
      </c>
      <c r="Y77" s="174">
        <v>0</v>
      </c>
      <c r="Z77" s="1494">
        <f t="shared" si="12"/>
        <v>0</v>
      </c>
      <c r="AA77" s="955"/>
      <c r="AB77" s="1016">
        <f t="shared" si="13"/>
        <v>0</v>
      </c>
      <c r="AC77" s="863">
        <f t="shared" si="14"/>
        <v>0</v>
      </c>
    </row>
    <row r="78" spans="2:29" s="3" customFormat="1" ht="12" x14ac:dyDescent="0.2">
      <c r="B78" s="343" t="s">
        <v>136</v>
      </c>
      <c r="C78" s="218"/>
      <c r="D78" s="216"/>
      <c r="E78" s="226"/>
      <c r="F78" s="310"/>
      <c r="G78" s="326"/>
      <c r="H78" s="394"/>
      <c r="I78" s="226"/>
      <c r="J78" s="310"/>
      <c r="K78" s="326"/>
      <c r="L78" s="310"/>
      <c r="M78" s="326"/>
      <c r="N78" s="394"/>
      <c r="O78" s="226"/>
      <c r="P78" s="394"/>
      <c r="Q78" s="226"/>
      <c r="R78" s="394"/>
      <c r="S78" s="226"/>
      <c r="T78" s="394"/>
      <c r="U78" s="226"/>
      <c r="V78" s="394"/>
      <c r="W78" s="226"/>
      <c r="X78" s="394"/>
      <c r="Y78" s="226"/>
      <c r="Z78" s="1500"/>
      <c r="AA78" s="955"/>
      <c r="AB78" s="1016"/>
      <c r="AC78" s="863"/>
    </row>
    <row r="79" spans="2:29" s="3" customFormat="1" ht="12" x14ac:dyDescent="0.2">
      <c r="B79" s="75" t="s">
        <v>124</v>
      </c>
      <c r="C79" s="230">
        <v>25</v>
      </c>
      <c r="D79" s="216">
        <f t="shared" si="15"/>
        <v>0.86206896551724133</v>
      </c>
      <c r="E79" s="171">
        <v>29</v>
      </c>
      <c r="F79" s="311">
        <f>E79/F$68</f>
        <v>0.87878787878787878</v>
      </c>
      <c r="G79" s="229">
        <v>27</v>
      </c>
      <c r="H79" s="395">
        <f>G79/H$68</f>
        <v>0.9</v>
      </c>
      <c r="I79" s="183">
        <v>23</v>
      </c>
      <c r="J79" s="221">
        <f>I79/J$68</f>
        <v>0.88461538461538458</v>
      </c>
      <c r="K79" s="229">
        <v>26</v>
      </c>
      <c r="L79" s="221">
        <f>K79/L$68</f>
        <v>0.9285714285714286</v>
      </c>
      <c r="M79" s="229">
        <f>25+2</f>
        <v>27</v>
      </c>
      <c r="N79" s="216">
        <f>M79/N$68</f>
        <v>0.9642857142857143</v>
      </c>
      <c r="O79" s="183">
        <v>26</v>
      </c>
      <c r="P79" s="216">
        <f>O79/P$68</f>
        <v>0.9285714285714286</v>
      </c>
      <c r="Q79" s="183">
        <v>27</v>
      </c>
      <c r="R79" s="216">
        <f>Q79/R$68</f>
        <v>0.9642857142857143</v>
      </c>
      <c r="S79" s="183">
        <f>2+23</f>
        <v>25</v>
      </c>
      <c r="T79" s="216">
        <f>S79/T$68</f>
        <v>0.8928571428571429</v>
      </c>
      <c r="U79" s="183">
        <v>29</v>
      </c>
      <c r="V79" s="216">
        <f>U79/V$68</f>
        <v>0.87878787878787878</v>
      </c>
      <c r="W79" s="183">
        <f>2+25</f>
        <v>27</v>
      </c>
      <c r="X79" s="216">
        <f>W79/X$68</f>
        <v>0.87096774193548387</v>
      </c>
      <c r="Y79" s="183">
        <v>27</v>
      </c>
      <c r="Z79" s="1494">
        <f>Y79/Z$68</f>
        <v>0.81818181818181823</v>
      </c>
      <c r="AA79" s="955"/>
      <c r="AB79" s="1016">
        <f t="shared" si="13"/>
        <v>27</v>
      </c>
      <c r="AC79" s="863">
        <f t="shared" si="14"/>
        <v>0.88501605920960758</v>
      </c>
    </row>
    <row r="80" spans="2:29" s="3" customFormat="1" ht="12" x14ac:dyDescent="0.2">
      <c r="B80" s="75" t="s">
        <v>125</v>
      </c>
      <c r="C80" s="230">
        <v>4</v>
      </c>
      <c r="D80" s="216">
        <f t="shared" si="15"/>
        <v>0.13793103448275862</v>
      </c>
      <c r="E80" s="223">
        <v>4</v>
      </c>
      <c r="F80" s="311">
        <f>E80/F$68</f>
        <v>0.12121212121212122</v>
      </c>
      <c r="G80" s="230">
        <v>3</v>
      </c>
      <c r="H80" s="395">
        <f>G80/H$68</f>
        <v>0.1</v>
      </c>
      <c r="I80" s="283">
        <v>3</v>
      </c>
      <c r="J80" s="221">
        <f>I80/J$68</f>
        <v>0.11538461538461539</v>
      </c>
      <c r="K80" s="230">
        <v>2</v>
      </c>
      <c r="L80" s="221">
        <f>K80/L$68</f>
        <v>7.1428571428571425E-2</v>
      </c>
      <c r="M80" s="230">
        <v>1</v>
      </c>
      <c r="N80" s="216">
        <f>M80/N$68</f>
        <v>3.5714285714285712E-2</v>
      </c>
      <c r="O80" s="283">
        <v>1</v>
      </c>
      <c r="P80" s="216">
        <f>O80/P$68</f>
        <v>3.5714285714285712E-2</v>
      </c>
      <c r="Q80" s="283">
        <v>1</v>
      </c>
      <c r="R80" s="216">
        <f>Q80/R$68</f>
        <v>3.5714285714285712E-2</v>
      </c>
      <c r="S80" s="283">
        <f>1+2</f>
        <v>3</v>
      </c>
      <c r="T80" s="216">
        <f>S80/T$68</f>
        <v>0.10714285714285714</v>
      </c>
      <c r="U80" s="283">
        <v>4</v>
      </c>
      <c r="V80" s="216">
        <f>U80/V$68</f>
        <v>0.12121212121212122</v>
      </c>
      <c r="W80" s="283">
        <v>4</v>
      </c>
      <c r="X80" s="216">
        <f>W80/X$68</f>
        <v>0.12903225806451613</v>
      </c>
      <c r="Y80" s="283">
        <v>6</v>
      </c>
      <c r="Z80" s="1494">
        <f>Y80/Z$68</f>
        <v>0.18181818181818182</v>
      </c>
      <c r="AA80" s="955"/>
      <c r="AB80" s="1016">
        <f t="shared" si="13"/>
        <v>3.6</v>
      </c>
      <c r="AC80" s="863">
        <f t="shared" si="14"/>
        <v>0.1149839407903924</v>
      </c>
    </row>
    <row r="81" spans="1:31" s="3" customFormat="1" ht="12" x14ac:dyDescent="0.2">
      <c r="B81" s="343" t="s">
        <v>137</v>
      </c>
      <c r="C81" s="219"/>
      <c r="D81" s="216"/>
      <c r="E81" s="227"/>
      <c r="F81" s="311"/>
      <c r="G81" s="315"/>
      <c r="H81" s="395"/>
      <c r="I81" s="285"/>
      <c r="J81" s="221"/>
      <c r="K81" s="315"/>
      <c r="L81" s="221"/>
      <c r="M81" s="315"/>
      <c r="N81" s="216"/>
      <c r="O81" s="285"/>
      <c r="P81" s="216"/>
      <c r="Q81" s="285"/>
      <c r="R81" s="216"/>
      <c r="S81" s="285"/>
      <c r="T81" s="216"/>
      <c r="U81" s="285"/>
      <c r="V81" s="216"/>
      <c r="W81" s="285"/>
      <c r="X81" s="216"/>
      <c r="Y81" s="285"/>
      <c r="Z81" s="1494"/>
      <c r="AA81" s="955"/>
      <c r="AB81" s="1016"/>
      <c r="AC81" s="863"/>
    </row>
    <row r="82" spans="1:31" s="3" customFormat="1" ht="12" x14ac:dyDescent="0.2">
      <c r="B82" s="75" t="s">
        <v>126</v>
      </c>
      <c r="C82" s="224">
        <v>20</v>
      </c>
      <c r="D82" s="216">
        <f t="shared" si="15"/>
        <v>0.68965517241379315</v>
      </c>
      <c r="E82" s="223">
        <v>21</v>
      </c>
      <c r="F82" s="311">
        <f>E82/F$68</f>
        <v>0.63636363636363635</v>
      </c>
      <c r="G82" s="230">
        <v>22</v>
      </c>
      <c r="H82" s="395">
        <f>G82/H$68</f>
        <v>0.73333333333333328</v>
      </c>
      <c r="I82" s="283">
        <v>19</v>
      </c>
      <c r="J82" s="221">
        <f>I82/J$68</f>
        <v>0.73076923076923073</v>
      </c>
      <c r="K82" s="230">
        <v>21</v>
      </c>
      <c r="L82" s="221">
        <f>K82/L$68</f>
        <v>0.75</v>
      </c>
      <c r="M82" s="230">
        <f>18+2</f>
        <v>20</v>
      </c>
      <c r="N82" s="216">
        <f>M82/N$68</f>
        <v>0.7142857142857143</v>
      </c>
      <c r="O82" s="283">
        <v>19</v>
      </c>
      <c r="P82" s="216">
        <f>O82/P$68</f>
        <v>0.6785714285714286</v>
      </c>
      <c r="Q82" s="283">
        <v>21</v>
      </c>
      <c r="R82" s="216">
        <f>Q82/R$68</f>
        <v>0.75</v>
      </c>
      <c r="S82" s="283">
        <f>1+19</f>
        <v>20</v>
      </c>
      <c r="T82" s="216">
        <f>S82/T$68</f>
        <v>0.7142857142857143</v>
      </c>
      <c r="U82" s="283">
        <v>20</v>
      </c>
      <c r="V82" s="216">
        <f>U82/V$68</f>
        <v>0.60606060606060608</v>
      </c>
      <c r="W82" s="283">
        <f>1+19</f>
        <v>20</v>
      </c>
      <c r="X82" s="216">
        <f>W82/X$68</f>
        <v>0.64516129032258063</v>
      </c>
      <c r="Y82" s="283">
        <v>22</v>
      </c>
      <c r="Z82" s="1494">
        <f>Y82/Z$68</f>
        <v>0.66666666666666663</v>
      </c>
      <c r="AA82" s="955"/>
      <c r="AB82" s="1016">
        <f t="shared" si="13"/>
        <v>20.6</v>
      </c>
      <c r="AC82" s="863">
        <f t="shared" si="14"/>
        <v>0.67643485546711346</v>
      </c>
    </row>
    <row r="83" spans="1:31" s="3" customFormat="1" ht="12" x14ac:dyDescent="0.2">
      <c r="B83" s="75" t="s">
        <v>127</v>
      </c>
      <c r="C83" s="224">
        <v>4</v>
      </c>
      <c r="D83" s="216">
        <f t="shared" si="15"/>
        <v>0.13793103448275862</v>
      </c>
      <c r="E83" s="223">
        <v>5</v>
      </c>
      <c r="F83" s="311">
        <f>E83/F$68</f>
        <v>0.15151515151515152</v>
      </c>
      <c r="G83" s="230">
        <v>5</v>
      </c>
      <c r="H83" s="395">
        <f>G83/H$68</f>
        <v>0.16666666666666666</v>
      </c>
      <c r="I83" s="283">
        <v>5</v>
      </c>
      <c r="J83" s="221">
        <f>I83/J$68</f>
        <v>0.19230769230769232</v>
      </c>
      <c r="K83" s="230">
        <v>6</v>
      </c>
      <c r="L83" s="221">
        <f>K83/L$68</f>
        <v>0.21428571428571427</v>
      </c>
      <c r="M83" s="230">
        <v>6</v>
      </c>
      <c r="N83" s="216">
        <f>M83/N$68</f>
        <v>0.21428571428571427</v>
      </c>
      <c r="O83" s="283">
        <v>6</v>
      </c>
      <c r="P83" s="216">
        <f>O83/P$68</f>
        <v>0.21428571428571427</v>
      </c>
      <c r="Q83" s="283">
        <v>4</v>
      </c>
      <c r="R83" s="216">
        <f>Q83/R$68</f>
        <v>0.14285714285714285</v>
      </c>
      <c r="S83" s="283">
        <f>0+6</f>
        <v>6</v>
      </c>
      <c r="T83" s="216">
        <f>S83/T$68</f>
        <v>0.21428571428571427</v>
      </c>
      <c r="U83" s="283">
        <v>8</v>
      </c>
      <c r="V83" s="216">
        <f>U83/V$68</f>
        <v>0.24242424242424243</v>
      </c>
      <c r="W83" s="283">
        <v>7</v>
      </c>
      <c r="X83" s="216">
        <f>W83/X$68</f>
        <v>0.22580645161290322</v>
      </c>
      <c r="Y83" s="283">
        <v>7</v>
      </c>
      <c r="Z83" s="1494">
        <f>Y83/Z$68</f>
        <v>0.21212121212121213</v>
      </c>
      <c r="AA83" s="955"/>
      <c r="AB83" s="1016">
        <f t="shared" si="13"/>
        <v>6.4</v>
      </c>
      <c r="AC83" s="863">
        <f t="shared" si="14"/>
        <v>0.20749895266024296</v>
      </c>
    </row>
    <row r="84" spans="1:31" s="3" customFormat="1" ht="12" x14ac:dyDescent="0.2">
      <c r="B84" s="75" t="s">
        <v>128</v>
      </c>
      <c r="C84" s="224">
        <v>5</v>
      </c>
      <c r="D84" s="216">
        <f t="shared" si="15"/>
        <v>0.17241379310344829</v>
      </c>
      <c r="E84" s="223">
        <v>7</v>
      </c>
      <c r="F84" s="311">
        <f>E84/F$68</f>
        <v>0.21212121212121213</v>
      </c>
      <c r="G84" s="230">
        <v>3</v>
      </c>
      <c r="H84" s="395">
        <f>G84/H$68</f>
        <v>0.1</v>
      </c>
      <c r="I84" s="283">
        <v>2</v>
      </c>
      <c r="J84" s="221">
        <f>I84/J$68</f>
        <v>7.6923076923076927E-2</v>
      </c>
      <c r="K84" s="230">
        <v>1</v>
      </c>
      <c r="L84" s="221">
        <f>K84/L$68</f>
        <v>3.5714285714285712E-2</v>
      </c>
      <c r="M84" s="230">
        <v>2</v>
      </c>
      <c r="N84" s="216">
        <f>M84/N$68</f>
        <v>7.1428571428571425E-2</v>
      </c>
      <c r="O84" s="283">
        <v>3</v>
      </c>
      <c r="P84" s="216">
        <f>O84/P$68</f>
        <v>0.10714285714285714</v>
      </c>
      <c r="Q84" s="283">
        <v>3</v>
      </c>
      <c r="R84" s="216">
        <f>Q84/R$68</f>
        <v>0.10714285714285714</v>
      </c>
      <c r="S84" s="283">
        <f>2+0</f>
        <v>2</v>
      </c>
      <c r="T84" s="216">
        <f>S84/T$68</f>
        <v>7.1428571428571425E-2</v>
      </c>
      <c r="U84" s="283">
        <v>5</v>
      </c>
      <c r="V84" s="216">
        <f>U84/V$68</f>
        <v>0.15151515151515152</v>
      </c>
      <c r="W84" s="283">
        <v>4</v>
      </c>
      <c r="X84" s="216">
        <f>W84/X$68</f>
        <v>0.12903225806451613</v>
      </c>
      <c r="Y84" s="283">
        <v>4</v>
      </c>
      <c r="Z84" s="1494">
        <f>Y84/Z$68</f>
        <v>0.12121212121212122</v>
      </c>
      <c r="AA84" s="955"/>
      <c r="AB84" s="1016">
        <f t="shared" si="13"/>
        <v>3.6</v>
      </c>
      <c r="AC84" s="863">
        <f t="shared" si="14"/>
        <v>0.11606619187264348</v>
      </c>
    </row>
    <row r="85" spans="1:31" s="3" customFormat="1" ht="12" x14ac:dyDescent="0.2">
      <c r="B85" s="343" t="s">
        <v>138</v>
      </c>
      <c r="C85" s="219"/>
      <c r="D85" s="216"/>
      <c r="E85" s="227"/>
      <c r="F85" s="311"/>
      <c r="G85" s="315"/>
      <c r="H85" s="395"/>
      <c r="I85" s="285"/>
      <c r="J85" s="221"/>
      <c r="K85" s="315"/>
      <c r="L85" s="221"/>
      <c r="M85" s="315"/>
      <c r="N85" s="216"/>
      <c r="O85" s="285"/>
      <c r="P85" s="216"/>
      <c r="Q85" s="285"/>
      <c r="R85" s="216"/>
      <c r="S85" s="285"/>
      <c r="T85" s="216"/>
      <c r="U85" s="285"/>
      <c r="V85" s="216"/>
      <c r="W85" s="285"/>
      <c r="X85" s="216"/>
      <c r="Y85" s="285"/>
      <c r="Z85" s="1494"/>
      <c r="AA85" s="955"/>
      <c r="AB85" s="1016"/>
      <c r="AC85" s="863"/>
    </row>
    <row r="86" spans="1:31" s="3" customFormat="1" ht="12" x14ac:dyDescent="0.2">
      <c r="B86" s="75" t="s">
        <v>129</v>
      </c>
      <c r="C86" s="224">
        <v>29</v>
      </c>
      <c r="D86" s="216">
        <f t="shared" si="15"/>
        <v>1</v>
      </c>
      <c r="E86" s="223">
        <v>33</v>
      </c>
      <c r="F86" s="311">
        <f>E86/F$68</f>
        <v>1</v>
      </c>
      <c r="G86" s="230">
        <v>29</v>
      </c>
      <c r="H86" s="395">
        <f>G86/H$68</f>
        <v>0.96666666666666667</v>
      </c>
      <c r="I86" s="283">
        <v>26</v>
      </c>
      <c r="J86" s="221">
        <f>I86/J$68</f>
        <v>1</v>
      </c>
      <c r="K86" s="230">
        <v>28</v>
      </c>
      <c r="L86" s="221">
        <f>K86/L$68</f>
        <v>1</v>
      </c>
      <c r="M86" s="230">
        <f>26+2</f>
        <v>28</v>
      </c>
      <c r="N86" s="216">
        <f>M86/N$68</f>
        <v>1</v>
      </c>
      <c r="O86" s="283">
        <v>27</v>
      </c>
      <c r="P86" s="216">
        <f>O86/P$68</f>
        <v>0.9642857142857143</v>
      </c>
      <c r="Q86" s="283">
        <v>27</v>
      </c>
      <c r="R86" s="216">
        <f>Q86/R$68</f>
        <v>0.9642857142857143</v>
      </c>
      <c r="S86" s="283">
        <f>25+1</f>
        <v>26</v>
      </c>
      <c r="T86" s="216">
        <f>S86/T$68</f>
        <v>0.9285714285714286</v>
      </c>
      <c r="U86" s="283">
        <v>32</v>
      </c>
      <c r="V86" s="216">
        <f>U86/V$68</f>
        <v>0.96969696969696972</v>
      </c>
      <c r="W86" s="283">
        <f>2+28</f>
        <v>30</v>
      </c>
      <c r="X86" s="216">
        <f>W86/X$68</f>
        <v>0.967741935483871</v>
      </c>
      <c r="Y86" s="283">
        <v>32</v>
      </c>
      <c r="Z86" s="1494">
        <f>Y86/Z$68</f>
        <v>0.96969696969696972</v>
      </c>
      <c r="AB86" s="1016">
        <f t="shared" si="13"/>
        <v>29.4</v>
      </c>
      <c r="AC86" s="863">
        <f t="shared" si="14"/>
        <v>0.95999860354699074</v>
      </c>
    </row>
    <row r="87" spans="1:31" s="3" customFormat="1" ht="12" x14ac:dyDescent="0.2">
      <c r="B87" s="75" t="s">
        <v>130</v>
      </c>
      <c r="C87" s="224">
        <v>0</v>
      </c>
      <c r="D87" s="216">
        <f t="shared" si="15"/>
        <v>0</v>
      </c>
      <c r="E87" s="223">
        <v>0</v>
      </c>
      <c r="F87" s="311">
        <f>E87/F$68</f>
        <v>0</v>
      </c>
      <c r="G87" s="230">
        <v>1</v>
      </c>
      <c r="H87" s="395">
        <f>G87/H$68</f>
        <v>3.3333333333333333E-2</v>
      </c>
      <c r="I87" s="283">
        <v>0</v>
      </c>
      <c r="J87" s="221">
        <f>I87/J$68</f>
        <v>0</v>
      </c>
      <c r="K87" s="230">
        <v>0</v>
      </c>
      <c r="L87" s="221">
        <f>K87/L$68</f>
        <v>0</v>
      </c>
      <c r="M87" s="230">
        <v>0</v>
      </c>
      <c r="N87" s="216">
        <f>M87/N$68</f>
        <v>0</v>
      </c>
      <c r="O87" s="283">
        <v>1</v>
      </c>
      <c r="P87" s="216">
        <f>O87/P$68</f>
        <v>3.5714285714285712E-2</v>
      </c>
      <c r="Q87" s="283">
        <v>1</v>
      </c>
      <c r="R87" s="216">
        <f>Q87/R$68</f>
        <v>3.5714285714285712E-2</v>
      </c>
      <c r="S87" s="283">
        <f>1+0</f>
        <v>1</v>
      </c>
      <c r="T87" s="216">
        <f>S87/T$68</f>
        <v>3.5714285714285712E-2</v>
      </c>
      <c r="U87" s="283">
        <v>0</v>
      </c>
      <c r="V87" s="216">
        <f>U87/V$68</f>
        <v>0</v>
      </c>
      <c r="W87" s="283">
        <v>1</v>
      </c>
      <c r="X87" s="216">
        <f>W87/X$68</f>
        <v>3.2258064516129031E-2</v>
      </c>
      <c r="Y87" s="283">
        <v>0</v>
      </c>
      <c r="Z87" s="1494">
        <f>Y87/Z$68</f>
        <v>0</v>
      </c>
      <c r="AB87" s="1016">
        <f t="shared" si="13"/>
        <v>0.6</v>
      </c>
      <c r="AC87" s="863">
        <f t="shared" si="14"/>
        <v>2.0737327188940093E-2</v>
      </c>
    </row>
    <row r="88" spans="1:31" s="3" customFormat="1" ht="12" x14ac:dyDescent="0.2">
      <c r="B88" s="75" t="s">
        <v>131</v>
      </c>
      <c r="C88" s="224">
        <v>0</v>
      </c>
      <c r="D88" s="216">
        <f t="shared" si="15"/>
        <v>0</v>
      </c>
      <c r="E88" s="223">
        <v>0</v>
      </c>
      <c r="F88" s="311">
        <f>E88/F$68</f>
        <v>0</v>
      </c>
      <c r="G88" s="230">
        <v>0</v>
      </c>
      <c r="H88" s="395">
        <f>G88/H$68</f>
        <v>0</v>
      </c>
      <c r="I88" s="283">
        <v>0</v>
      </c>
      <c r="J88" s="221">
        <f>I88/J$68</f>
        <v>0</v>
      </c>
      <c r="K88" s="230">
        <v>0</v>
      </c>
      <c r="L88" s="221">
        <f>K88/L$68</f>
        <v>0</v>
      </c>
      <c r="M88" s="230">
        <v>0</v>
      </c>
      <c r="N88" s="216">
        <f>M88/N$68</f>
        <v>0</v>
      </c>
      <c r="O88" s="283">
        <v>0</v>
      </c>
      <c r="P88" s="216">
        <f>O88/P$68</f>
        <v>0</v>
      </c>
      <c r="Q88" s="283">
        <v>0</v>
      </c>
      <c r="R88" s="216">
        <f>Q88/R$68</f>
        <v>0</v>
      </c>
      <c r="S88" s="283">
        <f>1</f>
        <v>1</v>
      </c>
      <c r="T88" s="216">
        <f>S88/T$68</f>
        <v>3.5714285714285712E-2</v>
      </c>
      <c r="U88" s="283">
        <v>1</v>
      </c>
      <c r="V88" s="216">
        <f>U88/V$68</f>
        <v>3.0303030303030304E-2</v>
      </c>
      <c r="W88" s="283">
        <v>0</v>
      </c>
      <c r="X88" s="216">
        <f>W88/X$68</f>
        <v>0</v>
      </c>
      <c r="Y88" s="283">
        <v>1</v>
      </c>
      <c r="Z88" s="1494">
        <f>Y88/Z$68</f>
        <v>3.0303030303030304E-2</v>
      </c>
      <c r="AB88" s="1016">
        <f t="shared" si="13"/>
        <v>0.6</v>
      </c>
      <c r="AC88" s="863">
        <f t="shared" si="14"/>
        <v>1.9264069264069265E-2</v>
      </c>
    </row>
    <row r="89" spans="1:31" s="3" customFormat="1" thickBot="1" x14ac:dyDescent="0.25">
      <c r="B89" s="344" t="s">
        <v>132</v>
      </c>
      <c r="C89" s="61">
        <v>0</v>
      </c>
      <c r="D89" s="220">
        <f t="shared" si="15"/>
        <v>0</v>
      </c>
      <c r="E89" s="228">
        <v>0</v>
      </c>
      <c r="F89" s="312">
        <f>E89/F$68</f>
        <v>0</v>
      </c>
      <c r="G89" s="375">
        <v>0</v>
      </c>
      <c r="H89" s="397">
        <f>G89/H$68</f>
        <v>0</v>
      </c>
      <c r="I89" s="284">
        <v>0</v>
      </c>
      <c r="J89" s="222">
        <f>I89/J$68</f>
        <v>0</v>
      </c>
      <c r="K89" s="375">
        <v>0</v>
      </c>
      <c r="L89" s="222">
        <f>K89/L$68</f>
        <v>0</v>
      </c>
      <c r="M89" s="375">
        <v>0</v>
      </c>
      <c r="N89" s="220">
        <f>M89/N$68</f>
        <v>0</v>
      </c>
      <c r="O89" s="284">
        <v>0</v>
      </c>
      <c r="P89" s="220">
        <f>O89/P$68</f>
        <v>0</v>
      </c>
      <c r="Q89" s="284">
        <v>0</v>
      </c>
      <c r="R89" s="220">
        <f>Q89/R$68</f>
        <v>0</v>
      </c>
      <c r="S89" s="284">
        <f>0</f>
        <v>0</v>
      </c>
      <c r="T89" s="220">
        <f>S89/T$68</f>
        <v>0</v>
      </c>
      <c r="U89" s="284">
        <v>0</v>
      </c>
      <c r="V89" s="220">
        <f>U89/V$68</f>
        <v>0</v>
      </c>
      <c r="W89" s="284">
        <v>0</v>
      </c>
      <c r="X89" s="220">
        <f>W89/X$68</f>
        <v>0</v>
      </c>
      <c r="Y89" s="284">
        <v>0</v>
      </c>
      <c r="Z89" s="1495">
        <f>Y89/Z$68</f>
        <v>0</v>
      </c>
      <c r="AB89" s="1016">
        <f t="shared" si="13"/>
        <v>0</v>
      </c>
      <c r="AC89" s="863">
        <f t="shared" si="14"/>
        <v>0</v>
      </c>
    </row>
    <row r="90" spans="1:31" ht="14.25" thickTop="1" thickBot="1" x14ac:dyDescent="0.25">
      <c r="A90" s="1"/>
      <c r="B90" s="956" t="s">
        <v>186</v>
      </c>
      <c r="C90" s="1992" t="s">
        <v>51</v>
      </c>
      <c r="D90" s="1993"/>
      <c r="E90" s="1992" t="s">
        <v>52</v>
      </c>
      <c r="F90" s="1993"/>
      <c r="G90" s="1989" t="s">
        <v>184</v>
      </c>
      <c r="H90" s="1990"/>
      <c r="I90" s="1989" t="s">
        <v>185</v>
      </c>
      <c r="J90" s="1990"/>
      <c r="K90" s="1989" t="s">
        <v>202</v>
      </c>
      <c r="L90" s="1990"/>
      <c r="M90" s="1991" t="s">
        <v>203</v>
      </c>
      <c r="N90" s="1979"/>
      <c r="O90" s="1970" t="s">
        <v>228</v>
      </c>
      <c r="P90" s="1979"/>
      <c r="Q90" s="1970" t="s">
        <v>238</v>
      </c>
      <c r="R90" s="1979"/>
      <c r="S90" s="1970" t="s">
        <v>273</v>
      </c>
      <c r="T90" s="1979"/>
      <c r="U90" s="1970" t="s">
        <v>275</v>
      </c>
      <c r="V90" s="1979"/>
      <c r="W90" s="1970" t="s">
        <v>281</v>
      </c>
      <c r="X90" s="1979"/>
      <c r="Y90" s="1970" t="s">
        <v>291</v>
      </c>
      <c r="Z90" s="1976"/>
      <c r="AB90" s="2003" t="s">
        <v>213</v>
      </c>
      <c r="AC90" s="2004"/>
    </row>
    <row r="91" spans="1:31" x14ac:dyDescent="0.2">
      <c r="A91" s="1"/>
      <c r="B91" s="957"/>
      <c r="C91" s="958"/>
      <c r="D91" s="959"/>
      <c r="E91" s="1273" t="s">
        <v>133</v>
      </c>
      <c r="F91" s="1180" t="s">
        <v>17</v>
      </c>
      <c r="G91" s="958" t="s">
        <v>133</v>
      </c>
      <c r="H91" s="1242" t="s">
        <v>17</v>
      </c>
      <c r="I91" s="1273" t="s">
        <v>133</v>
      </c>
      <c r="J91" s="1242" t="s">
        <v>17</v>
      </c>
      <c r="K91" s="1273" t="s">
        <v>133</v>
      </c>
      <c r="L91" s="1242" t="s">
        <v>17</v>
      </c>
      <c r="M91" s="1273" t="s">
        <v>133</v>
      </c>
      <c r="N91" s="1242" t="s">
        <v>17</v>
      </c>
      <c r="O91" s="1448" t="s">
        <v>133</v>
      </c>
      <c r="P91" s="1450" t="s">
        <v>17</v>
      </c>
      <c r="Q91" s="1451" t="s">
        <v>133</v>
      </c>
      <c r="R91" s="1450" t="s">
        <v>17</v>
      </c>
      <c r="S91" s="1451" t="s">
        <v>133</v>
      </c>
      <c r="T91" s="1450" t="s">
        <v>17</v>
      </c>
      <c r="U91" s="1768" t="s">
        <v>133</v>
      </c>
      <c r="V91" s="1450" t="s">
        <v>17</v>
      </c>
      <c r="W91" s="1768" t="s">
        <v>133</v>
      </c>
      <c r="X91" s="1450" t="s">
        <v>17</v>
      </c>
      <c r="Y91" s="1768" t="s">
        <v>133</v>
      </c>
      <c r="Z91" s="1452" t="s">
        <v>17</v>
      </c>
      <c r="AB91" s="953" t="s">
        <v>133</v>
      </c>
      <c r="AC91" s="954" t="s">
        <v>17</v>
      </c>
    </row>
    <row r="92" spans="1:31" x14ac:dyDescent="0.2">
      <c r="A92" s="1"/>
      <c r="B92" s="341" t="s">
        <v>187</v>
      </c>
      <c r="C92" s="960">
        <v>41</v>
      </c>
      <c r="D92" s="961">
        <v>20.3</v>
      </c>
      <c r="E92" s="960">
        <v>42</v>
      </c>
      <c r="F92" s="961">
        <v>20.75</v>
      </c>
      <c r="G92" s="960">
        <v>46</v>
      </c>
      <c r="H92" s="961">
        <v>22</v>
      </c>
      <c r="I92" s="960">
        <v>59</v>
      </c>
      <c r="J92" s="961">
        <v>28.75</v>
      </c>
      <c r="K92" s="960">
        <v>55</v>
      </c>
      <c r="L92" s="961">
        <v>27.4</v>
      </c>
      <c r="M92" s="960">
        <v>54</v>
      </c>
      <c r="N92" s="961">
        <v>25.75</v>
      </c>
      <c r="O92" s="960">
        <v>49</v>
      </c>
      <c r="P92" s="961">
        <v>24</v>
      </c>
      <c r="Q92" s="960">
        <v>44</v>
      </c>
      <c r="R92" s="961">
        <v>21.5</v>
      </c>
      <c r="S92" s="960">
        <v>40</v>
      </c>
      <c r="T92" s="961">
        <v>20</v>
      </c>
      <c r="U92" s="960">
        <v>37</v>
      </c>
      <c r="V92" s="961">
        <v>18</v>
      </c>
      <c r="W92" s="960">
        <v>37</v>
      </c>
      <c r="X92" s="961">
        <v>18.25</v>
      </c>
      <c r="Y92" s="960">
        <v>37</v>
      </c>
      <c r="Z92" s="1517">
        <v>18</v>
      </c>
      <c r="AB92" s="1115">
        <f t="shared" ref="AB92:AB94" si="16">AVERAGE(W92,U92,Q92,S92,Y92)</f>
        <v>39</v>
      </c>
      <c r="AC92" s="1116">
        <f>AVERAGE(X92,V92,R92,T92,Z92)</f>
        <v>19.149999999999999</v>
      </c>
    </row>
    <row r="93" spans="1:31" x14ac:dyDescent="0.2">
      <c r="A93" s="1"/>
      <c r="B93" s="341" t="s">
        <v>188</v>
      </c>
      <c r="C93" s="960">
        <v>18</v>
      </c>
      <c r="D93" s="961">
        <v>7.9</v>
      </c>
      <c r="E93" s="960">
        <v>18</v>
      </c>
      <c r="F93" s="961">
        <v>8.75</v>
      </c>
      <c r="G93" s="960">
        <v>19</v>
      </c>
      <c r="H93" s="961">
        <v>8.5</v>
      </c>
      <c r="I93" s="960">
        <v>13</v>
      </c>
      <c r="J93" s="961">
        <v>9.25</v>
      </c>
      <c r="K93" s="960">
        <v>21</v>
      </c>
      <c r="L93" s="961">
        <v>10.1</v>
      </c>
      <c r="M93" s="960">
        <v>22</v>
      </c>
      <c r="N93" s="961">
        <v>9.75</v>
      </c>
      <c r="O93" s="960">
        <v>17</v>
      </c>
      <c r="P93" s="961">
        <v>8.25</v>
      </c>
      <c r="Q93" s="960">
        <v>12</v>
      </c>
      <c r="R93" s="961">
        <v>6</v>
      </c>
      <c r="S93" s="960">
        <v>18</v>
      </c>
      <c r="T93" s="961">
        <v>9</v>
      </c>
      <c r="U93" s="960">
        <v>21</v>
      </c>
      <c r="V93" s="961">
        <v>10</v>
      </c>
      <c r="W93" s="960">
        <v>22</v>
      </c>
      <c r="X93" s="961">
        <v>10.75</v>
      </c>
      <c r="Y93" s="960">
        <v>25</v>
      </c>
      <c r="Z93" s="1517">
        <v>12</v>
      </c>
      <c r="AB93" s="1115">
        <f t="shared" si="16"/>
        <v>19.600000000000001</v>
      </c>
      <c r="AC93" s="1116">
        <f t="shared" ref="AC93:AC94" si="17">AVERAGE(X93,V93,R93,T93,Z93)</f>
        <v>9.5500000000000007</v>
      </c>
    </row>
    <row r="94" spans="1:31" ht="13.5" thickBot="1" x14ac:dyDescent="0.25">
      <c r="A94" s="1"/>
      <c r="B94" s="344" t="s">
        <v>211</v>
      </c>
      <c r="C94" s="962">
        <v>0</v>
      </c>
      <c r="D94" s="963">
        <v>0</v>
      </c>
      <c r="E94" s="964">
        <v>0</v>
      </c>
      <c r="F94" s="963">
        <v>0</v>
      </c>
      <c r="G94" s="964">
        <v>0</v>
      </c>
      <c r="H94" s="963">
        <v>0</v>
      </c>
      <c r="I94" s="964">
        <v>0</v>
      </c>
      <c r="J94" s="963">
        <v>0</v>
      </c>
      <c r="K94" s="964">
        <v>0</v>
      </c>
      <c r="L94" s="963">
        <v>0</v>
      </c>
      <c r="M94" s="964">
        <v>0</v>
      </c>
      <c r="N94" s="963">
        <v>0</v>
      </c>
      <c r="O94" s="964">
        <v>0</v>
      </c>
      <c r="P94" s="963">
        <v>0</v>
      </c>
      <c r="Q94" s="964">
        <v>0</v>
      </c>
      <c r="R94" s="963">
        <v>0</v>
      </c>
      <c r="S94" s="964">
        <v>0</v>
      </c>
      <c r="T94" s="963">
        <v>0</v>
      </c>
      <c r="U94" s="964">
        <v>1</v>
      </c>
      <c r="V94" s="963">
        <v>0.5</v>
      </c>
      <c r="W94" s="964">
        <v>0</v>
      </c>
      <c r="X94" s="963">
        <v>0</v>
      </c>
      <c r="Y94" s="964">
        <v>0</v>
      </c>
      <c r="Z94" s="1518">
        <v>0</v>
      </c>
      <c r="AB94" s="1115">
        <f t="shared" si="16"/>
        <v>0.2</v>
      </c>
      <c r="AC94" s="1116">
        <f t="shared" si="17"/>
        <v>0.1</v>
      </c>
    </row>
    <row r="95" spans="1:31" ht="17.25" thickTop="1" thickBot="1" x14ac:dyDescent="0.3">
      <c r="A95" s="966"/>
      <c r="B95" s="967"/>
      <c r="C95" s="1992" t="s">
        <v>51</v>
      </c>
      <c r="D95" s="1993"/>
      <c r="E95" s="1992" t="s">
        <v>52</v>
      </c>
      <c r="F95" s="1993"/>
      <c r="G95" s="1989" t="s">
        <v>184</v>
      </c>
      <c r="H95" s="1990"/>
      <c r="I95" s="1989" t="s">
        <v>185</v>
      </c>
      <c r="J95" s="1990"/>
      <c r="K95" s="1989" t="s">
        <v>202</v>
      </c>
      <c r="L95" s="1990"/>
      <c r="M95" s="1991" t="s">
        <v>203</v>
      </c>
      <c r="N95" s="1979"/>
      <c r="O95" s="1970" t="s">
        <v>254</v>
      </c>
      <c r="P95" s="1979"/>
      <c r="Q95" s="1970" t="s">
        <v>238</v>
      </c>
      <c r="R95" s="1979"/>
      <c r="S95" s="1970" t="s">
        <v>273</v>
      </c>
      <c r="T95" s="1979"/>
      <c r="U95" s="1970" t="s">
        <v>275</v>
      </c>
      <c r="V95" s="1979"/>
      <c r="W95" s="1970" t="s">
        <v>281</v>
      </c>
      <c r="X95" s="1979"/>
      <c r="Y95" s="1970" t="s">
        <v>291</v>
      </c>
      <c r="Z95" s="1976"/>
      <c r="AA95" s="968"/>
      <c r="AB95" s="1987"/>
      <c r="AC95" s="1988"/>
      <c r="AD95" s="3"/>
      <c r="AE95" s="3"/>
    </row>
    <row r="96" spans="1:31" x14ac:dyDescent="0.2">
      <c r="A96" s="3"/>
      <c r="B96" s="342" t="s">
        <v>210</v>
      </c>
      <c r="C96" s="3"/>
      <c r="D96" s="969"/>
      <c r="E96" s="970"/>
      <c r="F96" s="971"/>
      <c r="G96" s="972"/>
      <c r="H96" s="973"/>
      <c r="I96" s="974"/>
      <c r="J96" s="593"/>
      <c r="K96" s="975"/>
      <c r="L96" s="976"/>
      <c r="M96" s="975"/>
      <c r="N96" s="991"/>
      <c r="O96" s="974"/>
      <c r="P96" s="593"/>
      <c r="Q96" s="975"/>
      <c r="R96" s="991"/>
      <c r="S96" s="975"/>
      <c r="T96" s="991"/>
      <c r="U96" s="117"/>
      <c r="V96" s="1422"/>
      <c r="W96" s="975"/>
      <c r="X96" s="991"/>
      <c r="Y96" s="975"/>
      <c r="Z96" s="977"/>
      <c r="AA96" s="28"/>
      <c r="AB96" s="28"/>
      <c r="AC96" s="28"/>
      <c r="AD96" s="3"/>
      <c r="AE96" s="3"/>
    </row>
    <row r="97" spans="1:31" x14ac:dyDescent="0.2">
      <c r="A97" s="930"/>
      <c r="B97" s="979" t="s">
        <v>192</v>
      </c>
      <c r="C97" s="1983">
        <v>10.3</v>
      </c>
      <c r="D97" s="1984"/>
      <c r="E97" s="980"/>
      <c r="F97" s="981"/>
      <c r="G97" s="982"/>
      <c r="H97" s="983"/>
      <c r="I97" s="1983">
        <v>10.25</v>
      </c>
      <c r="J97" s="1984"/>
      <c r="K97" s="984"/>
      <c r="L97" s="985"/>
      <c r="M97" s="984"/>
      <c r="N97" s="991"/>
      <c r="O97" s="1898"/>
      <c r="P97" s="1899">
        <v>23.7</v>
      </c>
      <c r="Q97" s="984"/>
      <c r="R97" s="991"/>
      <c r="S97" s="984"/>
      <c r="T97" s="991"/>
      <c r="U97" s="367"/>
      <c r="V97" s="1899">
        <v>23.3</v>
      </c>
      <c r="W97" s="984"/>
      <c r="X97" s="991"/>
      <c r="Y97" s="984"/>
      <c r="Z97" s="977"/>
      <c r="AA97" s="28"/>
      <c r="AB97" s="28"/>
      <c r="AC97" s="1106"/>
      <c r="AD97" s="3"/>
      <c r="AE97" s="3"/>
    </row>
    <row r="98" spans="1:31" x14ac:dyDescent="0.2">
      <c r="A98" s="930"/>
      <c r="B98" s="986" t="s">
        <v>193</v>
      </c>
      <c r="C98" s="1983"/>
      <c r="D98" s="1984"/>
      <c r="E98" s="980"/>
      <c r="F98" s="981"/>
      <c r="G98" s="982"/>
      <c r="H98" s="983"/>
      <c r="I98" s="1983"/>
      <c r="J98" s="1984"/>
      <c r="K98" s="984"/>
      <c r="L98" s="985"/>
      <c r="M98" s="984"/>
      <c r="N98" s="991"/>
      <c r="O98" s="1898"/>
      <c r="P98" s="1899"/>
      <c r="Q98" s="984"/>
      <c r="R98" s="991"/>
      <c r="S98" s="984"/>
      <c r="T98" s="991"/>
      <c r="U98" s="367"/>
      <c r="V98" s="1899"/>
      <c r="W98" s="984"/>
      <c r="X98" s="991"/>
      <c r="Y98" s="984"/>
      <c r="Z98" s="977"/>
      <c r="AA98" s="28"/>
      <c r="AB98" s="28"/>
      <c r="AC98" s="1106"/>
      <c r="AD98" s="3"/>
      <c r="AE98" s="3"/>
    </row>
    <row r="99" spans="1:31" x14ac:dyDescent="0.2">
      <c r="A99" s="930"/>
      <c r="B99" s="986" t="s">
        <v>194</v>
      </c>
      <c r="C99" s="1983">
        <v>6.13</v>
      </c>
      <c r="D99" s="1984"/>
      <c r="E99" s="980"/>
      <c r="F99" s="981"/>
      <c r="G99" s="982"/>
      <c r="H99" s="983"/>
      <c r="I99" s="1983">
        <v>6.25</v>
      </c>
      <c r="J99" s="1984"/>
      <c r="K99" s="984"/>
      <c r="L99" s="985"/>
      <c r="M99" s="984"/>
      <c r="N99" s="991"/>
      <c r="O99" s="1898"/>
      <c r="P99" s="1899">
        <v>5</v>
      </c>
      <c r="Q99" s="984"/>
      <c r="R99" s="991"/>
      <c r="S99" s="984"/>
      <c r="T99" s="991"/>
      <c r="U99" s="367"/>
      <c r="V99" s="1899">
        <v>10.25</v>
      </c>
      <c r="W99" s="984"/>
      <c r="X99" s="991"/>
      <c r="Y99" s="984"/>
      <c r="Z99" s="977"/>
      <c r="AA99" s="28"/>
      <c r="AB99" s="28"/>
      <c r="AC99" s="1106"/>
      <c r="AD99" s="3"/>
      <c r="AE99" s="3"/>
    </row>
    <row r="100" spans="1:31" x14ac:dyDescent="0.2">
      <c r="A100" s="930"/>
      <c r="B100" s="979" t="s">
        <v>195</v>
      </c>
      <c r="C100" s="1983">
        <v>1.74</v>
      </c>
      <c r="D100" s="1984"/>
      <c r="E100" s="980"/>
      <c r="F100" s="981"/>
      <c r="G100" s="982"/>
      <c r="H100" s="983"/>
      <c r="I100" s="1983">
        <v>5</v>
      </c>
      <c r="J100" s="1984"/>
      <c r="K100" s="984"/>
      <c r="L100" s="985"/>
      <c r="M100" s="984"/>
      <c r="N100" s="991"/>
      <c r="O100" s="1898"/>
      <c r="P100" s="1899">
        <v>6.5</v>
      </c>
      <c r="Q100" s="984"/>
      <c r="R100" s="991"/>
      <c r="S100" s="984"/>
      <c r="T100" s="991"/>
      <c r="U100" s="367"/>
      <c r="V100" s="1899">
        <v>4.25</v>
      </c>
      <c r="W100" s="984"/>
      <c r="X100" s="991"/>
      <c r="Y100" s="984"/>
      <c r="Z100" s="977"/>
      <c r="AA100" s="28"/>
      <c r="AB100" s="28"/>
      <c r="AC100" s="1106"/>
      <c r="AD100" s="3"/>
      <c r="AE100" s="3"/>
    </row>
    <row r="101" spans="1:31" x14ac:dyDescent="0.2">
      <c r="A101" s="930"/>
      <c r="B101" s="987" t="s">
        <v>196</v>
      </c>
      <c r="C101" s="1983">
        <v>4</v>
      </c>
      <c r="D101" s="1984"/>
      <c r="E101" s="980"/>
      <c r="F101" s="981"/>
      <c r="G101" s="982"/>
      <c r="H101" s="983"/>
      <c r="I101" s="1983">
        <v>0.7</v>
      </c>
      <c r="J101" s="1984"/>
      <c r="K101" s="984"/>
      <c r="L101" s="985"/>
      <c r="M101" s="984"/>
      <c r="N101" s="991"/>
      <c r="O101" s="1898"/>
      <c r="P101" s="1899">
        <v>2.1</v>
      </c>
      <c r="Q101" s="984"/>
      <c r="R101" s="991"/>
      <c r="S101" s="984"/>
      <c r="T101" s="991"/>
      <c r="U101" s="367"/>
      <c r="V101" s="1899">
        <f>0.7+3.5+1.5</f>
        <v>5.7</v>
      </c>
      <c r="W101" s="984"/>
      <c r="X101" s="991"/>
      <c r="Y101" s="984"/>
      <c r="Z101" s="977"/>
      <c r="AA101" s="28"/>
      <c r="AB101" s="28"/>
      <c r="AC101" s="1106"/>
      <c r="AD101" s="3"/>
      <c r="AE101" s="3"/>
    </row>
    <row r="102" spans="1:31" x14ac:dyDescent="0.2">
      <c r="A102" s="930"/>
      <c r="B102" s="987" t="s">
        <v>197</v>
      </c>
      <c r="C102" s="1983">
        <f>SUM(C97:D101)</f>
        <v>22.169999999999998</v>
      </c>
      <c r="D102" s="1984"/>
      <c r="E102" s="980"/>
      <c r="F102" s="981"/>
      <c r="G102" s="982"/>
      <c r="H102" s="983"/>
      <c r="I102" s="1983">
        <f>SUM(I97:J101)</f>
        <v>22.2</v>
      </c>
      <c r="J102" s="1984"/>
      <c r="K102" s="984"/>
      <c r="L102" s="985"/>
      <c r="M102" s="984"/>
      <c r="N102" s="991"/>
      <c r="O102" s="1898"/>
      <c r="P102" s="1899">
        <f>SUM(P97:Q101)</f>
        <v>37.300000000000004</v>
      </c>
      <c r="Q102" s="984"/>
      <c r="R102" s="991"/>
      <c r="S102" s="984"/>
      <c r="T102" s="991"/>
      <c r="U102" s="367"/>
      <c r="V102" s="1899">
        <f>SUM(V97:V101)</f>
        <v>43.5</v>
      </c>
      <c r="W102" s="984"/>
      <c r="X102" s="991"/>
      <c r="Y102" s="984"/>
      <c r="Z102" s="977"/>
      <c r="AA102" s="28"/>
      <c r="AB102" s="28"/>
      <c r="AC102" s="1106"/>
      <c r="AD102" s="3"/>
      <c r="AE102" s="3"/>
    </row>
    <row r="103" spans="1:31" ht="13.5" thickBot="1" x14ac:dyDescent="0.25">
      <c r="A103" s="930"/>
      <c r="B103" s="988" t="s">
        <v>204</v>
      </c>
      <c r="C103" s="2056"/>
      <c r="D103" s="2055"/>
      <c r="E103" s="989"/>
      <c r="F103" s="990"/>
      <c r="G103" s="975"/>
      <c r="H103" s="991"/>
      <c r="I103" s="2056"/>
      <c r="J103" s="2055"/>
      <c r="K103" s="984"/>
      <c r="L103" s="985"/>
      <c r="M103" s="984"/>
      <c r="N103" s="991"/>
      <c r="O103" s="1900"/>
      <c r="P103" s="1901"/>
      <c r="Q103" s="984"/>
      <c r="R103" s="991"/>
      <c r="S103" s="984"/>
      <c r="T103" s="991"/>
      <c r="U103" s="367"/>
      <c r="V103" s="1901"/>
      <c r="W103" s="984"/>
      <c r="X103" s="991"/>
      <c r="Y103" s="984"/>
      <c r="Z103" s="977"/>
      <c r="AA103" s="28"/>
      <c r="AB103" s="28"/>
      <c r="AC103" s="1106"/>
      <c r="AD103" s="3"/>
      <c r="AE103" s="3"/>
    </row>
    <row r="104" spans="1:31" x14ac:dyDescent="0.2">
      <c r="A104" s="930"/>
      <c r="B104" s="979" t="s">
        <v>198</v>
      </c>
      <c r="C104" s="2043">
        <v>5012</v>
      </c>
      <c r="D104" s="2044"/>
      <c r="E104" s="992"/>
      <c r="F104" s="993"/>
      <c r="G104" s="994"/>
      <c r="H104" s="995"/>
      <c r="I104" s="2043">
        <v>5767</v>
      </c>
      <c r="J104" s="2044"/>
      <c r="K104" s="984"/>
      <c r="L104" s="985"/>
      <c r="M104" s="984"/>
      <c r="N104" s="991"/>
      <c r="O104" s="1902"/>
      <c r="P104" s="1903">
        <v>6464</v>
      </c>
      <c r="Q104" s="984"/>
      <c r="R104" s="991"/>
      <c r="S104" s="984"/>
      <c r="T104" s="991"/>
      <c r="U104" s="367"/>
      <c r="V104" s="1903">
        <v>6498</v>
      </c>
      <c r="W104" s="984"/>
      <c r="X104" s="991"/>
      <c r="Y104" s="984"/>
      <c r="Z104" s="977"/>
      <c r="AA104" s="28"/>
      <c r="AB104" s="28"/>
      <c r="AC104" s="1473"/>
      <c r="AD104" s="3"/>
      <c r="AE104" s="3"/>
    </row>
    <row r="105" spans="1:31" x14ac:dyDescent="0.2">
      <c r="A105" s="930"/>
      <c r="B105" s="987" t="s">
        <v>199</v>
      </c>
      <c r="C105" s="2043">
        <v>0</v>
      </c>
      <c r="D105" s="2044"/>
      <c r="E105" s="992"/>
      <c r="F105" s="993"/>
      <c r="G105" s="994"/>
      <c r="H105" s="995"/>
      <c r="I105" s="2043">
        <v>106</v>
      </c>
      <c r="J105" s="2044"/>
      <c r="K105" s="984"/>
      <c r="L105" s="985"/>
      <c r="M105" s="984"/>
      <c r="N105" s="991"/>
      <c r="O105" s="1902"/>
      <c r="P105" s="1903">
        <v>0</v>
      </c>
      <c r="Q105" s="984"/>
      <c r="R105" s="991"/>
      <c r="S105" s="984"/>
      <c r="T105" s="991"/>
      <c r="U105" s="367"/>
      <c r="V105" s="1903">
        <v>0</v>
      </c>
      <c r="W105" s="984"/>
      <c r="X105" s="991"/>
      <c r="Y105" s="984"/>
      <c r="Z105" s="977"/>
      <c r="AA105" s="28"/>
      <c r="AB105" s="28"/>
      <c r="AC105" s="1473"/>
      <c r="AD105" s="3"/>
      <c r="AE105" s="3"/>
    </row>
    <row r="106" spans="1:31" x14ac:dyDescent="0.2">
      <c r="A106" s="930"/>
      <c r="B106" s="987" t="s">
        <v>200</v>
      </c>
      <c r="C106" s="2043">
        <v>1520</v>
      </c>
      <c r="D106" s="2044"/>
      <c r="E106" s="992"/>
      <c r="F106" s="993"/>
      <c r="G106" s="994"/>
      <c r="H106" s="995"/>
      <c r="I106" s="2043">
        <v>91</v>
      </c>
      <c r="J106" s="2044"/>
      <c r="K106" s="984"/>
      <c r="L106" s="985"/>
      <c r="M106" s="984"/>
      <c r="N106" s="991"/>
      <c r="O106" s="1902"/>
      <c r="P106" s="1903">
        <v>140</v>
      </c>
      <c r="Q106" s="984"/>
      <c r="R106" s="991"/>
      <c r="S106" s="984"/>
      <c r="T106" s="991"/>
      <c r="U106" s="367"/>
      <c r="V106" s="1903">
        <f>348+152</f>
        <v>500</v>
      </c>
      <c r="W106" s="984"/>
      <c r="X106" s="991"/>
      <c r="Y106" s="984"/>
      <c r="Z106" s="977"/>
      <c r="AA106" s="28"/>
      <c r="AB106" s="28"/>
      <c r="AC106" s="1473"/>
      <c r="AD106" s="3"/>
      <c r="AE106" s="3"/>
    </row>
    <row r="107" spans="1:31" x14ac:dyDescent="0.2">
      <c r="A107" s="930"/>
      <c r="B107" s="987" t="s">
        <v>209</v>
      </c>
      <c r="C107" s="2043">
        <f>SUM(C104:D106)</f>
        <v>6532</v>
      </c>
      <c r="D107" s="2044"/>
      <c r="E107" s="992"/>
      <c r="F107" s="993"/>
      <c r="G107" s="994"/>
      <c r="H107" s="995"/>
      <c r="I107" s="2043">
        <f>SUM(I104:J106)</f>
        <v>5964</v>
      </c>
      <c r="J107" s="2044"/>
      <c r="K107" s="984"/>
      <c r="L107" s="985"/>
      <c r="M107" s="984"/>
      <c r="N107" s="991"/>
      <c r="O107" s="1902"/>
      <c r="P107" s="1903">
        <f>SUM(P104:Q106)</f>
        <v>6604</v>
      </c>
      <c r="Q107" s="984"/>
      <c r="R107" s="991"/>
      <c r="S107" s="984"/>
      <c r="T107" s="991"/>
      <c r="U107" s="367"/>
      <c r="V107" s="1903">
        <f>SUM(V104:V106)</f>
        <v>6998</v>
      </c>
      <c r="W107" s="984"/>
      <c r="X107" s="991"/>
      <c r="Y107" s="984"/>
      <c r="Z107" s="977"/>
      <c r="AA107" s="28"/>
      <c r="AB107" s="28"/>
      <c r="AC107" s="1473"/>
      <c r="AD107" s="3"/>
      <c r="AE107" s="3"/>
    </row>
    <row r="108" spans="1:31" ht="13.5" thickBot="1" x14ac:dyDescent="0.25">
      <c r="A108" s="930"/>
      <c r="B108" s="988" t="s">
        <v>205</v>
      </c>
      <c r="C108" s="2056"/>
      <c r="D108" s="2055"/>
      <c r="E108" s="989"/>
      <c r="F108" s="990"/>
      <c r="G108" s="975"/>
      <c r="H108" s="991"/>
      <c r="I108" s="2056"/>
      <c r="J108" s="2055"/>
      <c r="K108" s="984"/>
      <c r="L108" s="985"/>
      <c r="M108" s="984"/>
      <c r="N108" s="991"/>
      <c r="O108" s="1900"/>
      <c r="P108" s="1901"/>
      <c r="Q108" s="984"/>
      <c r="R108" s="991"/>
      <c r="S108" s="984"/>
      <c r="T108" s="991"/>
      <c r="U108" s="367"/>
      <c r="V108" s="1901"/>
      <c r="W108" s="984"/>
      <c r="X108" s="991"/>
      <c r="Y108" s="984"/>
      <c r="Z108" s="977"/>
      <c r="AA108" s="28"/>
      <c r="AB108" s="28"/>
      <c r="AC108" s="1106"/>
      <c r="AD108" s="28"/>
      <c r="AE108" s="28"/>
    </row>
    <row r="109" spans="1:31" x14ac:dyDescent="0.2">
      <c r="A109" s="930"/>
      <c r="B109" s="979" t="s">
        <v>206</v>
      </c>
      <c r="C109" s="1985">
        <f>C104/C97</f>
        <v>486.60194174757277</v>
      </c>
      <c r="D109" s="1986"/>
      <c r="E109" s="996"/>
      <c r="F109" s="997"/>
      <c r="G109" s="998"/>
      <c r="H109" s="999"/>
      <c r="I109" s="1985">
        <f>I104/I97</f>
        <v>562.63414634146341</v>
      </c>
      <c r="J109" s="1986"/>
      <c r="K109" s="1000"/>
      <c r="L109" s="1001"/>
      <c r="M109" s="1000"/>
      <c r="N109" s="999"/>
      <c r="O109" s="1904"/>
      <c r="P109" s="1905">
        <f>P104/P97</f>
        <v>272.74261603375527</v>
      </c>
      <c r="Q109" s="1000"/>
      <c r="R109" s="999"/>
      <c r="S109" s="1000"/>
      <c r="T109" s="999"/>
      <c r="U109" s="1464"/>
      <c r="V109" s="1905">
        <f>V104/V97</f>
        <v>278.88412017167383</v>
      </c>
      <c r="W109" s="1000"/>
      <c r="X109" s="999"/>
      <c r="Y109" s="1000"/>
      <c r="Z109" s="1460"/>
      <c r="AA109" s="668"/>
      <c r="AB109" s="668"/>
      <c r="AC109" s="1106"/>
      <c r="AD109" s="21"/>
      <c r="AE109" s="21"/>
    </row>
    <row r="110" spans="1:31" x14ac:dyDescent="0.2">
      <c r="A110" s="930"/>
      <c r="B110" s="987" t="s">
        <v>207</v>
      </c>
      <c r="C110" s="1985">
        <f>C105/C99</f>
        <v>0</v>
      </c>
      <c r="D110" s="1986"/>
      <c r="E110" s="996"/>
      <c r="F110" s="997"/>
      <c r="G110" s="998"/>
      <c r="H110" s="999"/>
      <c r="I110" s="1985">
        <f>I105/I99</f>
        <v>16.96</v>
      </c>
      <c r="J110" s="1986"/>
      <c r="K110" s="1000"/>
      <c r="L110" s="1001"/>
      <c r="M110" s="1000"/>
      <c r="N110" s="999"/>
      <c r="O110" s="1904"/>
      <c r="P110" s="1905">
        <f>P105/P99</f>
        <v>0</v>
      </c>
      <c r="Q110" s="1000"/>
      <c r="R110" s="999"/>
      <c r="S110" s="1000"/>
      <c r="T110" s="999"/>
      <c r="U110" s="1464"/>
      <c r="V110" s="1905">
        <v>0</v>
      </c>
      <c r="W110" s="1000"/>
      <c r="X110" s="999"/>
      <c r="Y110" s="1000"/>
      <c r="Z110" s="1460"/>
      <c r="AA110" s="668"/>
      <c r="AB110" s="668"/>
      <c r="AC110" s="1106"/>
      <c r="AD110" s="21"/>
      <c r="AE110" s="21"/>
    </row>
    <row r="111" spans="1:31" x14ac:dyDescent="0.2">
      <c r="A111" s="930"/>
      <c r="B111" s="987" t="s">
        <v>208</v>
      </c>
      <c r="C111" s="1985">
        <f>C106/C101</f>
        <v>380</v>
      </c>
      <c r="D111" s="1986"/>
      <c r="E111" s="996"/>
      <c r="F111" s="997"/>
      <c r="G111" s="998"/>
      <c r="H111" s="999"/>
      <c r="I111" s="1985">
        <f>I106/I101</f>
        <v>130</v>
      </c>
      <c r="J111" s="1986"/>
      <c r="K111" s="1000"/>
      <c r="L111" s="1001"/>
      <c r="M111" s="1000"/>
      <c r="N111" s="999"/>
      <c r="O111" s="1904"/>
      <c r="P111" s="1905">
        <f>P106/P101</f>
        <v>66.666666666666657</v>
      </c>
      <c r="Q111" s="1000"/>
      <c r="R111" s="999"/>
      <c r="S111" s="1000"/>
      <c r="T111" s="999"/>
      <c r="U111" s="1464"/>
      <c r="V111" s="1905">
        <f>V106/V101</f>
        <v>87.719298245614027</v>
      </c>
      <c r="W111" s="1000"/>
      <c r="X111" s="999"/>
      <c r="Y111" s="1000"/>
      <c r="Z111" s="1460"/>
      <c r="AA111" s="668"/>
      <c r="AB111" s="668"/>
      <c r="AC111" s="1106"/>
      <c r="AD111" s="21"/>
      <c r="AE111" s="21"/>
    </row>
    <row r="112" spans="1:31" ht="13.5" thickBot="1" x14ac:dyDescent="0.25">
      <c r="A112" s="930"/>
      <c r="B112" s="1002" t="s">
        <v>201</v>
      </c>
      <c r="C112" s="2045">
        <f>C107/C102</f>
        <v>294.63238610735232</v>
      </c>
      <c r="D112" s="2046"/>
      <c r="E112" s="1003"/>
      <c r="F112" s="1004"/>
      <c r="G112" s="1005"/>
      <c r="H112" s="1006"/>
      <c r="I112" s="2045">
        <f>I107/I102</f>
        <v>268.64864864864865</v>
      </c>
      <c r="J112" s="2046"/>
      <c r="K112" s="1005"/>
      <c r="L112" s="1006"/>
      <c r="M112" s="1005"/>
      <c r="N112" s="1006"/>
      <c r="O112" s="1906"/>
      <c r="P112" s="1907">
        <f>P107/P102</f>
        <v>177.0509383378016</v>
      </c>
      <c r="Q112" s="1005"/>
      <c r="R112" s="1006"/>
      <c r="S112" s="1005"/>
      <c r="T112" s="1006"/>
      <c r="U112" s="1465"/>
      <c r="V112" s="1907">
        <f>V107/V102</f>
        <v>160.87356321839081</v>
      </c>
      <c r="W112" s="1005"/>
      <c r="X112" s="1006"/>
      <c r="Y112" s="1005"/>
      <c r="Z112" s="1461"/>
      <c r="AA112" s="668"/>
      <c r="AB112" s="668"/>
      <c r="AC112" s="1106"/>
      <c r="AD112" s="21"/>
      <c r="AE112" s="21"/>
    </row>
    <row r="113" spans="1:12" ht="13.5" thickTop="1" x14ac:dyDescent="0.2">
      <c r="A113" s="3"/>
      <c r="B113" s="3" t="str">
        <f>Dean_AS!B169</f>
        <v>*Note: Beginning with the 2009 collection cycle, Instructional FTE was defined according to the national Delaware Study of Instructional Costs and Productivity</v>
      </c>
      <c r="K113" s="3"/>
      <c r="L113" s="3"/>
    </row>
    <row r="114" spans="1:12" x14ac:dyDescent="0.2">
      <c r="A114" s="3"/>
      <c r="B114" s="3"/>
      <c r="K114" s="3"/>
      <c r="L114" s="3"/>
    </row>
    <row r="115" spans="1:12" x14ac:dyDescent="0.2">
      <c r="A115" s="3"/>
      <c r="B115" s="3"/>
      <c r="K115" s="3"/>
      <c r="L115" s="3"/>
    </row>
    <row r="116" spans="1:12" x14ac:dyDescent="0.2">
      <c r="A116" s="3"/>
      <c r="B116" s="3"/>
      <c r="K116" s="3"/>
      <c r="L116" s="3"/>
    </row>
    <row r="117" spans="1:12" x14ac:dyDescent="0.2">
      <c r="A117" s="3"/>
      <c r="B117" s="3"/>
      <c r="K117" s="3"/>
      <c r="L117" s="3"/>
    </row>
    <row r="118" spans="1:12" x14ac:dyDescent="0.2">
      <c r="A118" s="3"/>
      <c r="B118" s="3"/>
      <c r="K118" s="3"/>
      <c r="L118" s="3"/>
    </row>
    <row r="119" spans="1:12" x14ac:dyDescent="0.2">
      <c r="A119" s="3"/>
      <c r="B119" s="3"/>
      <c r="K119" s="3"/>
      <c r="L119" s="3"/>
    </row>
    <row r="120" spans="1:12" x14ac:dyDescent="0.2">
      <c r="A120" s="3"/>
      <c r="B120" s="3"/>
      <c r="K120" s="3"/>
      <c r="L120" s="3"/>
    </row>
    <row r="121" spans="1:12" x14ac:dyDescent="0.2">
      <c r="A121" s="3"/>
      <c r="B121" s="3"/>
      <c r="K121" s="3"/>
      <c r="L121" s="3"/>
    </row>
    <row r="122" spans="1:12" x14ac:dyDescent="0.2">
      <c r="A122" s="3"/>
      <c r="B122" s="3"/>
      <c r="K122" s="3"/>
      <c r="L122" s="3"/>
    </row>
    <row r="123" spans="1:12" x14ac:dyDescent="0.2">
      <c r="A123" s="3"/>
      <c r="B123" s="3"/>
      <c r="K123" s="3"/>
      <c r="L123" s="3"/>
    </row>
    <row r="124" spans="1:12" x14ac:dyDescent="0.2">
      <c r="A124" s="3"/>
      <c r="B124" s="3"/>
      <c r="K124" s="3"/>
      <c r="L124" s="3"/>
    </row>
    <row r="125" spans="1:12" x14ac:dyDescent="0.2">
      <c r="A125" s="3"/>
      <c r="B125" s="3"/>
      <c r="K125" s="3"/>
      <c r="L125" s="3"/>
    </row>
    <row r="126" spans="1:12" x14ac:dyDescent="0.2">
      <c r="A126" s="3"/>
      <c r="B126" s="3"/>
      <c r="K126" s="3"/>
      <c r="L126" s="3"/>
    </row>
    <row r="127" spans="1:12" x14ac:dyDescent="0.2">
      <c r="A127" s="3"/>
      <c r="B127" s="3"/>
      <c r="K127" s="3"/>
      <c r="L127" s="3"/>
    </row>
    <row r="128" spans="1:12" x14ac:dyDescent="0.2">
      <c r="A128" s="3"/>
      <c r="B128" s="3"/>
      <c r="K128" s="3"/>
      <c r="L128" s="3"/>
    </row>
    <row r="129" spans="1:12" x14ac:dyDescent="0.2">
      <c r="A129" s="3"/>
      <c r="B129" s="3"/>
      <c r="K129" s="3"/>
      <c r="L129" s="3"/>
    </row>
    <row r="130" spans="1:12" x14ac:dyDescent="0.2">
      <c r="A130" s="3"/>
      <c r="B130" s="3"/>
      <c r="K130" s="3"/>
      <c r="L130" s="3"/>
    </row>
    <row r="131" spans="1:12" x14ac:dyDescent="0.2">
      <c r="A131" s="3"/>
      <c r="B131" s="3"/>
      <c r="K131" s="3"/>
      <c r="L131" s="3"/>
    </row>
    <row r="132" spans="1:12" x14ac:dyDescent="0.2">
      <c r="A132" s="3"/>
      <c r="B132" s="3"/>
      <c r="K132" s="3"/>
      <c r="L132" s="3"/>
    </row>
    <row r="133" spans="1:12" x14ac:dyDescent="0.2">
      <c r="A133" s="3"/>
      <c r="B133" s="3"/>
      <c r="K133" s="3"/>
      <c r="L133" s="3"/>
    </row>
    <row r="134" spans="1:12" x14ac:dyDescent="0.2">
      <c r="A134" s="3"/>
      <c r="B134" s="3"/>
      <c r="K134" s="3"/>
      <c r="L134" s="3"/>
    </row>
    <row r="135" spans="1:12" x14ac:dyDescent="0.2">
      <c r="A135" s="3"/>
      <c r="B135" s="3"/>
      <c r="K135" s="3"/>
      <c r="L135" s="3"/>
    </row>
    <row r="136" spans="1:12" x14ac:dyDescent="0.2">
      <c r="A136" s="3"/>
      <c r="B136" s="3"/>
      <c r="K136" s="3"/>
      <c r="L136" s="3"/>
    </row>
    <row r="137" spans="1:12" x14ac:dyDescent="0.2">
      <c r="A137" s="3"/>
      <c r="B137" s="3"/>
      <c r="K137" s="3"/>
      <c r="L137" s="3"/>
    </row>
    <row r="138" spans="1:12" x14ac:dyDescent="0.2">
      <c r="A138" s="3"/>
      <c r="B138" s="3"/>
      <c r="K138" s="3"/>
      <c r="L138" s="3"/>
    </row>
    <row r="139" spans="1:12" x14ac:dyDescent="0.2">
      <c r="A139" s="3"/>
      <c r="B139" s="3"/>
      <c r="K139" s="3"/>
      <c r="L139" s="3"/>
    </row>
    <row r="140" spans="1:12" x14ac:dyDescent="0.2">
      <c r="A140" s="3"/>
      <c r="B140" s="3"/>
      <c r="K140" s="3"/>
      <c r="L140" s="3"/>
    </row>
    <row r="141" spans="1:12" x14ac:dyDescent="0.2">
      <c r="A141" s="3"/>
      <c r="B141" s="3"/>
      <c r="K141" s="3"/>
      <c r="L141" s="3"/>
    </row>
    <row r="142" spans="1:12" x14ac:dyDescent="0.2">
      <c r="A142" s="3"/>
      <c r="B142" s="3"/>
      <c r="K142" s="3"/>
      <c r="L142" s="3"/>
    </row>
    <row r="143" spans="1:12" x14ac:dyDescent="0.2">
      <c r="A143" s="3"/>
      <c r="B143" s="3"/>
      <c r="K143" s="3"/>
      <c r="L143" s="3"/>
    </row>
    <row r="144" spans="1:12" x14ac:dyDescent="0.2">
      <c r="A144" s="3"/>
      <c r="B144" s="3"/>
      <c r="K144" s="3"/>
      <c r="L144" s="3"/>
    </row>
    <row r="145" spans="1:12" x14ac:dyDescent="0.2">
      <c r="A145" s="3"/>
      <c r="B145" s="3"/>
      <c r="K145" s="3"/>
      <c r="L145" s="3"/>
    </row>
    <row r="146" spans="1:12" x14ac:dyDescent="0.2">
      <c r="A146" s="3"/>
      <c r="B146" s="3"/>
      <c r="K146" s="3"/>
      <c r="L146" s="3"/>
    </row>
    <row r="147" spans="1:12" x14ac:dyDescent="0.2">
      <c r="A147" s="3"/>
      <c r="B147" s="3"/>
      <c r="K147" s="3"/>
      <c r="L147" s="3"/>
    </row>
    <row r="148" spans="1:12" x14ac:dyDescent="0.2">
      <c r="A148" s="3"/>
      <c r="B148" s="3"/>
      <c r="K148" s="3"/>
      <c r="L148" s="3"/>
    </row>
    <row r="149" spans="1:12" x14ac:dyDescent="0.2">
      <c r="A149" s="3"/>
      <c r="B149" s="3"/>
      <c r="K149" s="3"/>
      <c r="L149" s="3"/>
    </row>
    <row r="150" spans="1:12" x14ac:dyDescent="0.2">
      <c r="A150" s="3"/>
      <c r="B150" s="3"/>
      <c r="K150" s="3"/>
      <c r="L150" s="3"/>
    </row>
    <row r="151" spans="1:12" x14ac:dyDescent="0.2">
      <c r="A151" s="3"/>
      <c r="B151" s="3"/>
      <c r="K151" s="3"/>
      <c r="L151" s="3"/>
    </row>
    <row r="152" spans="1:12" x14ac:dyDescent="0.2">
      <c r="A152" s="3"/>
      <c r="B152" s="3"/>
      <c r="K152" s="3"/>
      <c r="L152" s="3"/>
    </row>
    <row r="153" spans="1:12" x14ac:dyDescent="0.2">
      <c r="A153" s="3"/>
      <c r="B153" s="3"/>
      <c r="K153" s="3"/>
      <c r="L153" s="3"/>
    </row>
    <row r="154" spans="1:12" x14ac:dyDescent="0.2">
      <c r="A154" s="3"/>
      <c r="B154" s="3"/>
      <c r="K154" s="3"/>
      <c r="L154" s="3"/>
    </row>
    <row r="155" spans="1:12" x14ac:dyDescent="0.2">
      <c r="A155" s="3"/>
      <c r="B155" s="3"/>
      <c r="K155" s="3"/>
      <c r="L155" s="3"/>
    </row>
    <row r="156" spans="1:12" x14ac:dyDescent="0.2">
      <c r="A156" s="3"/>
      <c r="B156" s="3"/>
      <c r="K156" s="3"/>
      <c r="L156" s="3"/>
    </row>
    <row r="157" spans="1:12" x14ac:dyDescent="0.2">
      <c r="A157" s="3"/>
      <c r="B157" s="3"/>
      <c r="K157" s="3"/>
      <c r="L157" s="3"/>
    </row>
    <row r="158" spans="1:12" x14ac:dyDescent="0.2">
      <c r="A158" s="3"/>
      <c r="B158" s="3"/>
      <c r="K158" s="3"/>
      <c r="L158" s="3"/>
    </row>
    <row r="159" spans="1:12" x14ac:dyDescent="0.2">
      <c r="A159" s="3"/>
      <c r="B159" s="3"/>
      <c r="K159" s="3"/>
      <c r="L159" s="3"/>
    </row>
    <row r="160" spans="1:12" x14ac:dyDescent="0.2">
      <c r="A160" s="3"/>
      <c r="B160" s="3"/>
      <c r="K160" s="3"/>
      <c r="L160" s="3"/>
    </row>
    <row r="161" spans="1:12" x14ac:dyDescent="0.2">
      <c r="A161" s="3"/>
      <c r="B161" s="3"/>
      <c r="K161" s="3"/>
      <c r="L161" s="3"/>
    </row>
    <row r="162" spans="1:12" x14ac:dyDescent="0.2">
      <c r="A162" s="3"/>
      <c r="B162" s="3"/>
      <c r="K162" s="3"/>
      <c r="L162" s="3"/>
    </row>
    <row r="163" spans="1:12" x14ac:dyDescent="0.2">
      <c r="A163" s="3"/>
      <c r="B163" s="3"/>
      <c r="K163" s="3"/>
      <c r="L163" s="3"/>
    </row>
    <row r="164" spans="1:12" x14ac:dyDescent="0.2">
      <c r="A164" s="3"/>
      <c r="B164" s="3"/>
      <c r="K164" s="3"/>
      <c r="L164" s="3"/>
    </row>
    <row r="165" spans="1:12" x14ac:dyDescent="0.2">
      <c r="A165" s="3"/>
      <c r="B165" s="3"/>
      <c r="K165" s="3"/>
      <c r="L165" s="3"/>
    </row>
    <row r="166" spans="1:12" x14ac:dyDescent="0.2">
      <c r="A166" s="3"/>
      <c r="B166" s="3"/>
      <c r="K166" s="3"/>
      <c r="L166" s="3"/>
    </row>
    <row r="167" spans="1:12" x14ac:dyDescent="0.2">
      <c r="A167" s="3"/>
      <c r="B167" s="3"/>
      <c r="K167" s="3"/>
      <c r="L167" s="3"/>
    </row>
    <row r="168" spans="1:12" x14ac:dyDescent="0.2">
      <c r="A168" s="3"/>
      <c r="B168" s="3"/>
      <c r="K168" s="3"/>
      <c r="L168" s="3"/>
    </row>
    <row r="169" spans="1:12" x14ac:dyDescent="0.2">
      <c r="A169" s="3"/>
      <c r="B169" s="3"/>
      <c r="K169" s="3"/>
      <c r="L169" s="3"/>
    </row>
    <row r="170" spans="1:12" x14ac:dyDescent="0.2">
      <c r="A170" s="3"/>
      <c r="B170" s="3"/>
      <c r="K170" s="3"/>
      <c r="L170" s="3"/>
    </row>
    <row r="171" spans="1:12" x14ac:dyDescent="0.2">
      <c r="A171" s="3"/>
      <c r="B171" s="3"/>
      <c r="K171" s="3"/>
      <c r="L171" s="3"/>
    </row>
    <row r="172" spans="1:12" x14ac:dyDescent="0.2">
      <c r="A172" s="3"/>
      <c r="B172" s="3"/>
      <c r="K172" s="3"/>
      <c r="L172" s="3"/>
    </row>
    <row r="173" spans="1:12" x14ac:dyDescent="0.2">
      <c r="A173" s="3"/>
      <c r="B173" s="3"/>
      <c r="K173" s="3"/>
      <c r="L173" s="3"/>
    </row>
    <row r="174" spans="1:12" x14ac:dyDescent="0.2">
      <c r="A174" s="3"/>
      <c r="B174" s="3"/>
      <c r="K174" s="3"/>
      <c r="L174" s="3"/>
    </row>
    <row r="175" spans="1:12" x14ac:dyDescent="0.2">
      <c r="A175" s="3"/>
      <c r="B175" s="3"/>
      <c r="K175" s="3"/>
      <c r="L175" s="3"/>
    </row>
    <row r="176" spans="1:12" x14ac:dyDescent="0.2">
      <c r="A176" s="3"/>
      <c r="B176" s="3"/>
      <c r="K176" s="3"/>
      <c r="L176" s="3"/>
    </row>
    <row r="177" spans="1:12" x14ac:dyDescent="0.2">
      <c r="A177" s="3"/>
      <c r="B177" s="3"/>
      <c r="K177" s="3"/>
      <c r="L177" s="3"/>
    </row>
    <row r="178" spans="1:12" x14ac:dyDescent="0.2">
      <c r="A178" s="3"/>
      <c r="B178" s="3"/>
      <c r="K178" s="3"/>
      <c r="L178" s="3"/>
    </row>
    <row r="179" spans="1:12" x14ac:dyDescent="0.2">
      <c r="A179" s="3"/>
      <c r="B179" s="3"/>
      <c r="K179" s="3"/>
      <c r="L179" s="3"/>
    </row>
    <row r="180" spans="1:12" x14ac:dyDescent="0.2">
      <c r="A180" s="3"/>
      <c r="B180" s="3"/>
      <c r="K180" s="3"/>
      <c r="L180" s="3"/>
    </row>
    <row r="181" spans="1:12" x14ac:dyDescent="0.2">
      <c r="A181" s="3"/>
      <c r="B181" s="3"/>
      <c r="K181" s="3"/>
      <c r="L181" s="3"/>
    </row>
    <row r="182" spans="1:12" x14ac:dyDescent="0.2">
      <c r="A182" s="3"/>
      <c r="B182" s="3"/>
      <c r="K182" s="3"/>
      <c r="L182" s="3"/>
    </row>
    <row r="183" spans="1:12" x14ac:dyDescent="0.2">
      <c r="A183" s="3"/>
      <c r="B183" s="3"/>
      <c r="K183" s="3"/>
      <c r="L183" s="3"/>
    </row>
    <row r="184" spans="1:12" x14ac:dyDescent="0.2">
      <c r="A184" s="3"/>
      <c r="B184" s="3"/>
      <c r="K184" s="3"/>
      <c r="L184" s="3"/>
    </row>
    <row r="185" spans="1:12" x14ac:dyDescent="0.2">
      <c r="A185" s="3"/>
      <c r="B185" s="3"/>
      <c r="K185" s="3"/>
      <c r="L185" s="3"/>
    </row>
    <row r="186" spans="1:12" x14ac:dyDescent="0.2">
      <c r="A186" s="3"/>
      <c r="B186" s="3"/>
      <c r="K186" s="3"/>
      <c r="L186" s="3"/>
    </row>
    <row r="187" spans="1:12" x14ac:dyDescent="0.2">
      <c r="A187" s="3"/>
      <c r="B187" s="3"/>
      <c r="K187" s="3"/>
      <c r="L187" s="3"/>
    </row>
    <row r="188" spans="1:12" x14ac:dyDescent="0.2">
      <c r="A188" s="3"/>
      <c r="B188" s="3"/>
      <c r="K188" s="3"/>
      <c r="L188" s="3"/>
    </row>
    <row r="189" spans="1:12" x14ac:dyDescent="0.2">
      <c r="A189" s="3"/>
      <c r="B189" s="3"/>
      <c r="K189" s="3"/>
      <c r="L189" s="3"/>
    </row>
    <row r="190" spans="1:12" x14ac:dyDescent="0.2">
      <c r="A190" s="3"/>
      <c r="B190" s="3"/>
      <c r="K190" s="3"/>
      <c r="L190" s="3"/>
    </row>
    <row r="191" spans="1:12" x14ac:dyDescent="0.2">
      <c r="A191" s="3"/>
      <c r="B191" s="3"/>
      <c r="K191" s="3"/>
      <c r="L191" s="3"/>
    </row>
    <row r="192" spans="1:12" x14ac:dyDescent="0.2">
      <c r="A192" s="3"/>
      <c r="B192" s="3"/>
      <c r="K192" s="3"/>
      <c r="L192" s="3"/>
    </row>
    <row r="193" spans="1:12" x14ac:dyDescent="0.2">
      <c r="A193" s="3"/>
      <c r="B193" s="3"/>
      <c r="K193" s="3"/>
      <c r="L193" s="3"/>
    </row>
    <row r="194" spans="1:12" x14ac:dyDescent="0.2">
      <c r="A194" s="3"/>
      <c r="B194" s="3"/>
      <c r="K194" s="3"/>
      <c r="L194" s="3"/>
    </row>
    <row r="195" spans="1:12" x14ac:dyDescent="0.2">
      <c r="A195" s="3"/>
      <c r="B195" s="3"/>
      <c r="K195" s="3"/>
      <c r="L195" s="3"/>
    </row>
    <row r="196" spans="1:12" x14ac:dyDescent="0.2">
      <c r="A196" s="3"/>
      <c r="B196" s="3"/>
      <c r="K196" s="3"/>
      <c r="L196" s="3"/>
    </row>
    <row r="197" spans="1:12" x14ac:dyDescent="0.2">
      <c r="A197" s="3"/>
      <c r="B197" s="3"/>
      <c r="K197" s="3"/>
      <c r="L197" s="3"/>
    </row>
    <row r="198" spans="1:12" x14ac:dyDescent="0.2">
      <c r="A198" s="3"/>
      <c r="B198" s="3"/>
      <c r="K198" s="3"/>
      <c r="L198" s="3"/>
    </row>
    <row r="199" spans="1:12" x14ac:dyDescent="0.2">
      <c r="A199" s="3"/>
      <c r="B199" s="3"/>
      <c r="K199" s="3"/>
      <c r="L199" s="3"/>
    </row>
    <row r="200" spans="1:12" x14ac:dyDescent="0.2">
      <c r="A200" s="3"/>
      <c r="B200" s="3"/>
      <c r="K200" s="3"/>
      <c r="L200" s="3"/>
    </row>
    <row r="201" spans="1:12" x14ac:dyDescent="0.2">
      <c r="A201" s="3"/>
      <c r="B201" s="3"/>
      <c r="K201" s="3"/>
      <c r="L201" s="3"/>
    </row>
    <row r="202" spans="1:12" x14ac:dyDescent="0.2">
      <c r="A202" s="3"/>
      <c r="B202" s="3"/>
      <c r="K202" s="3"/>
      <c r="L202" s="3"/>
    </row>
    <row r="203" spans="1:12" x14ac:dyDescent="0.2">
      <c r="A203" s="3"/>
      <c r="B203" s="3"/>
      <c r="K203" s="3"/>
      <c r="L203" s="3"/>
    </row>
  </sheetData>
  <mergeCells count="141">
    <mergeCell ref="C112:D112"/>
    <mergeCell ref="I112:J112"/>
    <mergeCell ref="AB7:AC7"/>
    <mergeCell ref="AB18:AC18"/>
    <mergeCell ref="AB33:AC33"/>
    <mergeCell ref="AB60:AC60"/>
    <mergeCell ref="AB29:AC29"/>
    <mergeCell ref="C109:D109"/>
    <mergeCell ref="I109:J109"/>
    <mergeCell ref="C110:D110"/>
    <mergeCell ref="Q90:R90"/>
    <mergeCell ref="Q95:R95"/>
    <mergeCell ref="Q7:R7"/>
    <mergeCell ref="Q18:R18"/>
    <mergeCell ref="Q26:R26"/>
    <mergeCell ref="Q29:R29"/>
    <mergeCell ref="Q33:R33"/>
    <mergeCell ref="Q60:R60"/>
    <mergeCell ref="C99:D99"/>
    <mergeCell ref="I99:J99"/>
    <mergeCell ref="U95:V95"/>
    <mergeCell ref="I7:J7"/>
    <mergeCell ref="W7:X7"/>
    <mergeCell ref="W18:X18"/>
    <mergeCell ref="C97:D97"/>
    <mergeCell ref="I97:J97"/>
    <mergeCell ref="C98:D98"/>
    <mergeCell ref="I98:J98"/>
    <mergeCell ref="C90:D90"/>
    <mergeCell ref="E90:F90"/>
    <mergeCell ref="C95:D95"/>
    <mergeCell ref="E95:F95"/>
    <mergeCell ref="G95:H95"/>
    <mergeCell ref="I95:J95"/>
    <mergeCell ref="C111:D111"/>
    <mergeCell ref="I111:J111"/>
    <mergeCell ref="C106:D106"/>
    <mergeCell ref="I106:J106"/>
    <mergeCell ref="C107:D107"/>
    <mergeCell ref="I107:J107"/>
    <mergeCell ref="C108:D108"/>
    <mergeCell ref="I108:J108"/>
    <mergeCell ref="C100:D100"/>
    <mergeCell ref="I100:J100"/>
    <mergeCell ref="C103:D103"/>
    <mergeCell ref="I103:J103"/>
    <mergeCell ref="C104:D104"/>
    <mergeCell ref="I104:J104"/>
    <mergeCell ref="C101:D101"/>
    <mergeCell ref="I101:J101"/>
    <mergeCell ref="C102:D102"/>
    <mergeCell ref="I102:J102"/>
    <mergeCell ref="C105:D105"/>
    <mergeCell ref="I105:J105"/>
    <mergeCell ref="I110:J110"/>
    <mergeCell ref="AB90:AC90"/>
    <mergeCell ref="K90:L90"/>
    <mergeCell ref="M90:N90"/>
    <mergeCell ref="K60:L60"/>
    <mergeCell ref="G60:H60"/>
    <mergeCell ref="G27:H27"/>
    <mergeCell ref="E29:F29"/>
    <mergeCell ref="K95:L95"/>
    <mergeCell ref="M95:N95"/>
    <mergeCell ref="AB95:AC95"/>
    <mergeCell ref="G90:H90"/>
    <mergeCell ref="I90:J90"/>
    <mergeCell ref="O95:P95"/>
    <mergeCell ref="O60:P60"/>
    <mergeCell ref="O90:P90"/>
    <mergeCell ref="S90:T90"/>
    <mergeCell ref="S95:T95"/>
    <mergeCell ref="W90:X90"/>
    <mergeCell ref="W95:X95"/>
    <mergeCell ref="U29:V29"/>
    <mergeCell ref="U33:V33"/>
    <mergeCell ref="U60:V60"/>
    <mergeCell ref="U90:V90"/>
    <mergeCell ref="W29:X29"/>
    <mergeCell ref="AB26:AC26"/>
    <mergeCell ref="K29:L29"/>
    <mergeCell ref="G29:H29"/>
    <mergeCell ref="I29:J29"/>
    <mergeCell ref="K26:L26"/>
    <mergeCell ref="E27:F27"/>
    <mergeCell ref="C18:D18"/>
    <mergeCell ref="C26:D26"/>
    <mergeCell ref="E26:F26"/>
    <mergeCell ref="G26:H26"/>
    <mergeCell ref="M18:N18"/>
    <mergeCell ref="E18:F18"/>
    <mergeCell ref="G18:H18"/>
    <mergeCell ref="K18:L18"/>
    <mergeCell ref="I26:J26"/>
    <mergeCell ref="C27:D27"/>
    <mergeCell ref="M26:N26"/>
    <mergeCell ref="I18:J18"/>
    <mergeCell ref="I27:J27"/>
    <mergeCell ref="U18:V18"/>
    <mergeCell ref="U26:V26"/>
    <mergeCell ref="W26:X26"/>
    <mergeCell ref="O7:P7"/>
    <mergeCell ref="O18:P18"/>
    <mergeCell ref="O26:P26"/>
    <mergeCell ref="O29:P29"/>
    <mergeCell ref="O33:P33"/>
    <mergeCell ref="M7:N7"/>
    <mergeCell ref="K7:L7"/>
    <mergeCell ref="C60:D60"/>
    <mergeCell ref="E60:F60"/>
    <mergeCell ref="I33:J33"/>
    <mergeCell ref="I60:J60"/>
    <mergeCell ref="G33:H33"/>
    <mergeCell ref="M33:N33"/>
    <mergeCell ref="M60:N60"/>
    <mergeCell ref="C28:D28"/>
    <mergeCell ref="G28:H28"/>
    <mergeCell ref="I28:J28"/>
    <mergeCell ref="E28:F28"/>
    <mergeCell ref="C29:D29"/>
    <mergeCell ref="K33:L33"/>
    <mergeCell ref="C33:D33"/>
    <mergeCell ref="E33:F33"/>
    <mergeCell ref="M29:N29"/>
    <mergeCell ref="Y7:Z7"/>
    <mergeCell ref="Y18:Z18"/>
    <mergeCell ref="Y26:Z26"/>
    <mergeCell ref="Y29:Z29"/>
    <mergeCell ref="Y33:Z33"/>
    <mergeCell ref="Y60:Z60"/>
    <mergeCell ref="Y90:Z90"/>
    <mergeCell ref="Y95:Z95"/>
    <mergeCell ref="S7:T7"/>
    <mergeCell ref="S18:T18"/>
    <mergeCell ref="S26:T26"/>
    <mergeCell ref="S29:T29"/>
    <mergeCell ref="S33:T33"/>
    <mergeCell ref="S60:T60"/>
    <mergeCell ref="U7:V7"/>
    <mergeCell ref="W33:X33"/>
    <mergeCell ref="W60:X60"/>
  </mergeCells>
  <phoneticPr fontId="3" type="noConversion"/>
  <printOptions horizontalCentered="1"/>
  <pageMargins left="0.5" right="0.5" top="0.25" bottom="0.25" header="0.5" footer="0.5"/>
  <pageSetup scale="72" orientation="landscape" r:id="rId1"/>
  <headerFooter alignWithMargins="0">
    <oddFooter>&amp;R&amp;P of &amp;N
&amp;D</oddFooter>
  </headerFooter>
  <rowBreaks count="1" manualBreakCount="1">
    <brk id="57" max="20" man="1"/>
  </rowBreaks>
  <ignoredErrors>
    <ignoredError sqref="M70:M86 S70:S89 W70:X90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9"/>
  <sheetViews>
    <sheetView view="pageBreakPreview" zoomScaleNormal="100" workbookViewId="0">
      <pane xSplit="2" ySplit="1" topLeftCell="O2" activePane="bottomRight" state="frozen"/>
      <selection activeCell="AF81" sqref="AF81"/>
      <selection pane="topRight" activeCell="AF81" sqref="AF81"/>
      <selection pane="bottomLeft" activeCell="AF81" sqref="AF81"/>
      <selection pane="bottomRight" activeCell="AF81" sqref="AF81"/>
    </sheetView>
  </sheetViews>
  <sheetFormatPr defaultColWidth="10.28515625" defaultRowHeight="12.75" x14ac:dyDescent="0.2"/>
  <cols>
    <col min="1" max="1" width="3.7109375" customWidth="1"/>
    <col min="2" max="2" width="29.7109375" customWidth="1"/>
    <col min="3" max="3" width="7.7109375" hidden="1" customWidth="1"/>
    <col min="4" max="4" width="10.85546875" hidden="1" customWidth="1"/>
    <col min="5" max="5" width="7.7109375" hidden="1" customWidth="1"/>
    <col min="6" max="6" width="10.85546875" hidden="1" customWidth="1"/>
    <col min="7" max="7" width="7.7109375" style="115" hidden="1" customWidth="1"/>
    <col min="8" max="8" width="10.85546875" style="115" hidden="1" customWidth="1"/>
    <col min="9" max="9" width="7.7109375" style="115" hidden="1" customWidth="1"/>
    <col min="10" max="10" width="10.85546875" style="115" hidden="1" customWidth="1"/>
    <col min="11" max="11" width="7.7109375" hidden="1" customWidth="1"/>
    <col min="12" max="12" width="10.85546875" hidden="1" customWidth="1"/>
    <col min="13" max="13" width="7.7109375" hidden="1" customWidth="1"/>
    <col min="14" max="14" width="10.85546875" hidden="1" customWidth="1"/>
    <col min="15" max="15" width="7.7109375" customWidth="1"/>
    <col min="16" max="16" width="10.85546875" customWidth="1"/>
    <col min="17" max="17" width="7.7109375" customWidth="1"/>
    <col min="18" max="18" width="10.85546875" customWidth="1"/>
    <col min="19" max="19" width="7.7109375" customWidth="1"/>
    <col min="20" max="20" width="10.85546875" customWidth="1"/>
    <col min="21" max="21" width="7.7109375" customWidth="1"/>
    <col min="22" max="22" width="10.85546875" customWidth="1"/>
    <col min="23" max="23" width="7.7109375" customWidth="1"/>
    <col min="24" max="24" width="10.85546875" customWidth="1"/>
    <col min="25" max="25" width="7.7109375" customWidth="1"/>
    <col min="26" max="26" width="10.85546875" customWidth="1"/>
    <col min="27" max="27" width="1.7109375" customWidth="1"/>
    <col min="28" max="28" width="7.7109375" customWidth="1"/>
    <col min="29" max="29" width="10.85546875" customWidth="1"/>
    <col min="30" max="30" width="1.42578125" customWidth="1"/>
  </cols>
  <sheetData>
    <row r="1" spans="1:29" ht="18" x14ac:dyDescent="0.25">
      <c r="A1" s="1183" t="str">
        <f>Dean_AS!A1</f>
        <v>Department Profile Report - FY 2015</v>
      </c>
      <c r="B1" s="1183"/>
      <c r="C1" s="1183"/>
      <c r="D1" s="1183"/>
      <c r="E1" s="1183"/>
      <c r="F1" s="1183"/>
      <c r="G1" s="1183"/>
      <c r="H1" s="1183"/>
      <c r="I1" s="1181"/>
      <c r="J1" s="1181"/>
      <c r="K1" s="1182"/>
      <c r="L1" s="1182"/>
      <c r="M1" s="1182"/>
      <c r="N1" s="1182"/>
      <c r="O1" s="1182"/>
      <c r="P1" s="1182"/>
      <c r="Q1" s="1182"/>
      <c r="R1" s="1182"/>
      <c r="S1" s="1182"/>
      <c r="T1" s="1182"/>
      <c r="U1" s="1182"/>
      <c r="V1" s="1182"/>
      <c r="W1" s="1182"/>
      <c r="X1" s="1182"/>
      <c r="Y1" s="1182"/>
      <c r="Z1" s="1182"/>
      <c r="AA1" s="1182"/>
      <c r="AB1" s="1182"/>
      <c r="AC1" s="1182"/>
    </row>
    <row r="2" spans="1:29" x14ac:dyDescent="0.2">
      <c r="A2" s="3"/>
      <c r="B2" s="3"/>
      <c r="C2" s="3"/>
      <c r="D2" s="3"/>
      <c r="E2" s="3"/>
      <c r="F2" s="3"/>
      <c r="G2" s="117"/>
      <c r="H2" s="117"/>
      <c r="I2" s="117"/>
      <c r="J2" s="117"/>
    </row>
    <row r="3" spans="1:29" x14ac:dyDescent="0.2">
      <c r="A3" s="2" t="s">
        <v>114</v>
      </c>
      <c r="B3" s="117"/>
      <c r="C3" s="3"/>
      <c r="D3" s="3"/>
      <c r="E3" s="3"/>
      <c r="F3" s="3"/>
      <c r="G3" s="117"/>
      <c r="H3" s="117"/>
      <c r="I3" s="117"/>
      <c r="J3" s="117"/>
    </row>
    <row r="4" spans="1:29" x14ac:dyDescent="0.2">
      <c r="A4" s="3"/>
      <c r="B4" s="3"/>
      <c r="C4" s="3"/>
      <c r="D4" s="3"/>
      <c r="E4" s="3"/>
      <c r="F4" s="3"/>
      <c r="G4" s="117"/>
      <c r="H4" s="117"/>
      <c r="I4" s="117"/>
      <c r="J4" s="117"/>
    </row>
    <row r="5" spans="1:29" x14ac:dyDescent="0.2">
      <c r="A5" s="2" t="s">
        <v>77</v>
      </c>
      <c r="B5" s="3"/>
      <c r="C5" s="3"/>
      <c r="D5" s="3"/>
      <c r="E5" s="3"/>
      <c r="F5" s="3"/>
      <c r="G5" s="117"/>
      <c r="H5" s="117"/>
      <c r="I5" s="117"/>
      <c r="J5" s="117"/>
    </row>
    <row r="6" spans="1:29" ht="13.5" thickBot="1" x14ac:dyDescent="0.25">
      <c r="A6" s="4"/>
      <c r="B6" s="3"/>
      <c r="C6" s="3"/>
      <c r="D6" s="3"/>
      <c r="E6" s="3"/>
      <c r="F6" s="3"/>
      <c r="G6" s="117"/>
      <c r="H6" s="117"/>
      <c r="I6" s="117"/>
      <c r="J6" s="117"/>
    </row>
    <row r="7" spans="1:29" ht="14.25" thickTop="1" thickBot="1" x14ac:dyDescent="0.25">
      <c r="A7" s="3"/>
      <c r="B7" s="22"/>
      <c r="C7" s="29" t="s">
        <v>49</v>
      </c>
      <c r="D7" s="51"/>
      <c r="E7" s="29" t="s">
        <v>50</v>
      </c>
      <c r="F7" s="7"/>
      <c r="G7" s="302" t="s">
        <v>141</v>
      </c>
      <c r="H7" s="121"/>
      <c r="I7" s="1968" t="s">
        <v>152</v>
      </c>
      <c r="J7" s="1968"/>
      <c r="K7" s="1994" t="s">
        <v>154</v>
      </c>
      <c r="L7" s="1968"/>
      <c r="M7" s="1994" t="s">
        <v>171</v>
      </c>
      <c r="N7" s="1980"/>
      <c r="O7" s="1968" t="s">
        <v>227</v>
      </c>
      <c r="P7" s="1980"/>
      <c r="Q7" s="1968" t="s">
        <v>237</v>
      </c>
      <c r="R7" s="1980"/>
      <c r="S7" s="1968" t="s">
        <v>272</v>
      </c>
      <c r="T7" s="1980"/>
      <c r="U7" s="1968" t="s">
        <v>274</v>
      </c>
      <c r="V7" s="1980"/>
      <c r="W7" s="1968" t="s">
        <v>280</v>
      </c>
      <c r="X7" s="1980"/>
      <c r="Y7" s="1968" t="s">
        <v>290</v>
      </c>
      <c r="Z7" s="1969"/>
      <c r="AB7" s="2003" t="s">
        <v>213</v>
      </c>
      <c r="AC7" s="2004"/>
    </row>
    <row r="8" spans="1:29" x14ac:dyDescent="0.2">
      <c r="A8" s="3"/>
      <c r="B8" s="71"/>
      <c r="C8" s="42" t="s">
        <v>1</v>
      </c>
      <c r="D8" s="47" t="s">
        <v>2</v>
      </c>
      <c r="E8" s="42" t="s">
        <v>1</v>
      </c>
      <c r="F8" s="8" t="s">
        <v>2</v>
      </c>
      <c r="G8" s="303" t="s">
        <v>1</v>
      </c>
      <c r="H8" s="125" t="s">
        <v>2</v>
      </c>
      <c r="I8" s="124" t="s">
        <v>1</v>
      </c>
      <c r="J8" s="300" t="s">
        <v>2</v>
      </c>
      <c r="K8" s="303" t="s">
        <v>1</v>
      </c>
      <c r="L8" s="300" t="s">
        <v>2</v>
      </c>
      <c r="M8" s="303" t="s">
        <v>1</v>
      </c>
      <c r="N8" s="125" t="s">
        <v>2</v>
      </c>
      <c r="O8" s="124" t="s">
        <v>1</v>
      </c>
      <c r="P8" s="125" t="s">
        <v>2</v>
      </c>
      <c r="Q8" s="124" t="s">
        <v>1</v>
      </c>
      <c r="R8" s="125" t="s">
        <v>2</v>
      </c>
      <c r="S8" s="124" t="s">
        <v>1</v>
      </c>
      <c r="T8" s="125" t="s">
        <v>2</v>
      </c>
      <c r="U8" s="124" t="s">
        <v>1</v>
      </c>
      <c r="V8" s="125" t="s">
        <v>2</v>
      </c>
      <c r="W8" s="124" t="s">
        <v>1</v>
      </c>
      <c r="X8" s="125" t="s">
        <v>2</v>
      </c>
      <c r="Y8" s="124" t="s">
        <v>1</v>
      </c>
      <c r="Z8" s="126" t="s">
        <v>2</v>
      </c>
      <c r="AB8" s="921" t="s">
        <v>214</v>
      </c>
      <c r="AC8" s="922" t="s">
        <v>215</v>
      </c>
    </row>
    <row r="9" spans="1:29" ht="13.5" thickBot="1" x14ac:dyDescent="0.25">
      <c r="A9" s="3"/>
      <c r="B9" s="72"/>
      <c r="C9" s="46" t="s">
        <v>3</v>
      </c>
      <c r="D9" s="48" t="s">
        <v>4</v>
      </c>
      <c r="E9" s="46" t="s">
        <v>3</v>
      </c>
      <c r="F9" s="26" t="s">
        <v>4</v>
      </c>
      <c r="G9" s="304" t="s">
        <v>3</v>
      </c>
      <c r="H9" s="123" t="s">
        <v>4</v>
      </c>
      <c r="I9" s="127" t="s">
        <v>3</v>
      </c>
      <c r="J9" s="301" t="s">
        <v>4</v>
      </c>
      <c r="K9" s="304" t="s">
        <v>3</v>
      </c>
      <c r="L9" s="301" t="s">
        <v>4</v>
      </c>
      <c r="M9" s="304" t="s">
        <v>3</v>
      </c>
      <c r="N9" s="123" t="s">
        <v>4</v>
      </c>
      <c r="O9" s="127" t="s">
        <v>3</v>
      </c>
      <c r="P9" s="123" t="s">
        <v>4</v>
      </c>
      <c r="Q9" s="127" t="s">
        <v>3</v>
      </c>
      <c r="R9" s="123" t="s">
        <v>4</v>
      </c>
      <c r="S9" s="127" t="s">
        <v>3</v>
      </c>
      <c r="T9" s="123" t="s">
        <v>4</v>
      </c>
      <c r="U9" s="127" t="s">
        <v>3</v>
      </c>
      <c r="V9" s="123" t="s">
        <v>4</v>
      </c>
      <c r="W9" s="127" t="s">
        <v>3</v>
      </c>
      <c r="X9" s="123" t="s">
        <v>4</v>
      </c>
      <c r="Y9" s="127" t="s">
        <v>3</v>
      </c>
      <c r="Z9" s="128" t="s">
        <v>4</v>
      </c>
      <c r="AB9" s="923" t="s">
        <v>3</v>
      </c>
      <c r="AC9" s="924" t="s">
        <v>4</v>
      </c>
    </row>
    <row r="10" spans="1:29" x14ac:dyDescent="0.2">
      <c r="A10" s="3"/>
      <c r="B10" s="73" t="s">
        <v>5</v>
      </c>
      <c r="C10" s="15"/>
      <c r="D10" s="49"/>
      <c r="E10" s="15"/>
      <c r="F10" s="13"/>
      <c r="G10" s="305"/>
      <c r="H10" s="131"/>
      <c r="I10" s="130"/>
      <c r="J10" s="150"/>
      <c r="K10" s="305"/>
      <c r="L10" s="150"/>
      <c r="M10" s="305"/>
      <c r="N10" s="131"/>
      <c r="O10" s="130"/>
      <c r="P10" s="131"/>
      <c r="Q10" s="130"/>
      <c r="R10" s="131"/>
      <c r="S10" s="130"/>
      <c r="T10" s="131"/>
      <c r="U10" s="130"/>
      <c r="V10" s="131"/>
      <c r="W10" s="130"/>
      <c r="X10" s="131"/>
      <c r="Y10" s="130"/>
      <c r="Z10" s="296"/>
      <c r="AB10" s="925"/>
      <c r="AC10" s="581"/>
    </row>
    <row r="11" spans="1:29" x14ac:dyDescent="0.2">
      <c r="A11" s="3"/>
      <c r="B11" s="408" t="s">
        <v>115</v>
      </c>
      <c r="C11" s="18"/>
      <c r="D11" s="53"/>
      <c r="E11" s="18"/>
      <c r="F11" s="17"/>
      <c r="G11" s="175"/>
      <c r="H11" s="176"/>
      <c r="I11" s="132"/>
      <c r="J11" s="137"/>
      <c r="K11" s="175"/>
      <c r="L11" s="137"/>
      <c r="M11" s="175"/>
      <c r="N11" s="176"/>
      <c r="O11" s="132"/>
      <c r="P11" s="176"/>
      <c r="Q11" s="132"/>
      <c r="R11" s="176"/>
      <c r="S11" s="132"/>
      <c r="T11" s="176"/>
      <c r="U11" s="132"/>
      <c r="V11" s="176"/>
      <c r="W11" s="132"/>
      <c r="X11" s="176"/>
      <c r="Y11" s="132"/>
      <c r="Z11" s="290"/>
      <c r="AB11" s="926"/>
      <c r="AC11" s="927"/>
    </row>
    <row r="12" spans="1:29" s="617" customFormat="1" x14ac:dyDescent="0.2">
      <c r="A12" s="618"/>
      <c r="B12" s="654" t="s">
        <v>221</v>
      </c>
      <c r="C12" s="682">
        <v>239</v>
      </c>
      <c r="D12" s="683">
        <f>43+3</f>
        <v>46</v>
      </c>
      <c r="E12" s="682">
        <f>239+26</f>
        <v>265</v>
      </c>
      <c r="F12" s="684">
        <f>54+3</f>
        <v>57</v>
      </c>
      <c r="G12" s="676">
        <v>292</v>
      </c>
      <c r="H12" s="647">
        <f>43+5</f>
        <v>48</v>
      </c>
      <c r="I12" s="646">
        <v>275</v>
      </c>
      <c r="J12" s="648">
        <f>60+10</f>
        <v>70</v>
      </c>
      <c r="K12" s="676">
        <v>268</v>
      </c>
      <c r="L12" s="648">
        <f>55+9</f>
        <v>64</v>
      </c>
      <c r="M12" s="676">
        <f>220+21</f>
        <v>241</v>
      </c>
      <c r="N12" s="647">
        <v>47</v>
      </c>
      <c r="O12" s="646">
        <v>255</v>
      </c>
      <c r="P12" s="647">
        <f>54+5</f>
        <v>59</v>
      </c>
      <c r="Q12" s="646">
        <v>243</v>
      </c>
      <c r="R12" s="647">
        <v>56</v>
      </c>
      <c r="S12" s="646">
        <v>211</v>
      </c>
      <c r="T12" s="647">
        <v>55</v>
      </c>
      <c r="U12" s="646">
        <f>211+2</f>
        <v>213</v>
      </c>
      <c r="V12" s="647">
        <v>52</v>
      </c>
      <c r="W12" s="646">
        <v>211</v>
      </c>
      <c r="X12" s="647">
        <v>67</v>
      </c>
      <c r="Y12" s="646">
        <v>178</v>
      </c>
      <c r="Z12" s="1667"/>
      <c r="AB12" s="926">
        <f>AVERAGE(W12,U12,Q12,S12,Y12)</f>
        <v>211.2</v>
      </c>
      <c r="AC12" s="928">
        <f>AVERAGE(X12,V12,R12,T12,P12)</f>
        <v>57.8</v>
      </c>
    </row>
    <row r="13" spans="1:29" s="617" customFormat="1" x14ac:dyDescent="0.2">
      <c r="A13" s="618"/>
      <c r="B13" s="669" t="s">
        <v>80</v>
      </c>
      <c r="C13" s="646">
        <v>22</v>
      </c>
      <c r="D13" s="683">
        <v>7</v>
      </c>
      <c r="E13" s="682">
        <v>23</v>
      </c>
      <c r="F13" s="684">
        <v>11</v>
      </c>
      <c r="G13" s="676">
        <v>26</v>
      </c>
      <c r="H13" s="647">
        <v>9</v>
      </c>
      <c r="I13" s="646">
        <v>27</v>
      </c>
      <c r="J13" s="648">
        <v>5</v>
      </c>
      <c r="K13" s="676">
        <v>23</v>
      </c>
      <c r="L13" s="648">
        <v>6</v>
      </c>
      <c r="M13" s="676">
        <v>22</v>
      </c>
      <c r="N13" s="647">
        <v>14</v>
      </c>
      <c r="O13" s="646">
        <v>21</v>
      </c>
      <c r="P13" s="647">
        <v>5</v>
      </c>
      <c r="Q13" s="646">
        <v>15</v>
      </c>
      <c r="R13" s="647">
        <v>2</v>
      </c>
      <c r="S13" s="646">
        <v>19</v>
      </c>
      <c r="T13" s="647">
        <v>13</v>
      </c>
      <c r="U13" s="646">
        <v>23</v>
      </c>
      <c r="V13" s="647">
        <v>6</v>
      </c>
      <c r="W13" s="646">
        <v>21</v>
      </c>
      <c r="X13" s="647">
        <v>11</v>
      </c>
      <c r="Y13" s="646">
        <v>22</v>
      </c>
      <c r="Z13" s="1667"/>
      <c r="AB13" s="926">
        <f t="shared" ref="AB13:AB14" si="0">AVERAGE(W13,U13,Q13,S13,Y13)</f>
        <v>20</v>
      </c>
      <c r="AC13" s="928">
        <f t="shared" ref="AC13:AC17" si="1">AVERAGE(X13,V13,R13,T13,P13)</f>
        <v>7.4</v>
      </c>
    </row>
    <row r="14" spans="1:29" s="617" customFormat="1" x14ac:dyDescent="0.2">
      <c r="A14" s="618"/>
      <c r="B14" s="669" t="s">
        <v>167</v>
      </c>
      <c r="C14" s="693">
        <v>31</v>
      </c>
      <c r="D14" s="694">
        <v>14</v>
      </c>
      <c r="E14" s="693">
        <v>30</v>
      </c>
      <c r="F14" s="695">
        <v>15</v>
      </c>
      <c r="G14" s="649">
        <v>22</v>
      </c>
      <c r="H14" s="696">
        <v>9</v>
      </c>
      <c r="I14" s="650">
        <v>24</v>
      </c>
      <c r="J14" s="697">
        <v>8</v>
      </c>
      <c r="K14" s="649">
        <v>29</v>
      </c>
      <c r="L14" s="697">
        <f>9+1</f>
        <v>10</v>
      </c>
      <c r="M14" s="649">
        <v>25</v>
      </c>
      <c r="N14" s="696">
        <v>13</v>
      </c>
      <c r="O14" s="650">
        <v>16</v>
      </c>
      <c r="P14" s="696">
        <v>3</v>
      </c>
      <c r="Q14" s="650">
        <v>25</v>
      </c>
      <c r="R14" s="696">
        <v>5</v>
      </c>
      <c r="S14" s="650">
        <v>24</v>
      </c>
      <c r="T14" s="696">
        <v>15</v>
      </c>
      <c r="U14" s="650">
        <v>17</v>
      </c>
      <c r="V14" s="696">
        <v>5</v>
      </c>
      <c r="W14" s="650">
        <v>13</v>
      </c>
      <c r="X14" s="696">
        <v>4</v>
      </c>
      <c r="Y14" s="650">
        <v>11</v>
      </c>
      <c r="Z14" s="1669"/>
      <c r="AB14" s="926">
        <f t="shared" si="0"/>
        <v>18</v>
      </c>
      <c r="AC14" s="928">
        <f t="shared" si="1"/>
        <v>6.4</v>
      </c>
    </row>
    <row r="15" spans="1:29" s="617" customFormat="1" x14ac:dyDescent="0.2">
      <c r="A15" s="618"/>
      <c r="B15" s="1538" t="s">
        <v>116</v>
      </c>
      <c r="C15" s="672"/>
      <c r="D15" s="700"/>
      <c r="E15" s="672"/>
      <c r="F15" s="735"/>
      <c r="G15" s="662"/>
      <c r="H15" s="658"/>
      <c r="I15" s="664"/>
      <c r="J15" s="736"/>
      <c r="K15" s="662"/>
      <c r="L15" s="736"/>
      <c r="M15" s="662"/>
      <c r="N15" s="658"/>
      <c r="O15" s="664"/>
      <c r="P15" s="658"/>
      <c r="Q15" s="664"/>
      <c r="R15" s="658"/>
      <c r="S15" s="664"/>
      <c r="T15" s="658"/>
      <c r="U15" s="664"/>
      <c r="V15" s="658"/>
      <c r="W15" s="664"/>
      <c r="X15" s="658"/>
      <c r="Y15" s="664"/>
      <c r="Z15" s="1666"/>
      <c r="AB15" s="926"/>
      <c r="AC15" s="928"/>
    </row>
    <row r="16" spans="1:29" s="617" customFormat="1" x14ac:dyDescent="0.2">
      <c r="A16" s="618"/>
      <c r="B16" s="669" t="s">
        <v>82</v>
      </c>
      <c r="C16" s="693"/>
      <c r="D16" s="694"/>
      <c r="E16" s="693">
        <v>0</v>
      </c>
      <c r="F16" s="695">
        <v>0</v>
      </c>
      <c r="G16" s="649">
        <v>0</v>
      </c>
      <c r="H16" s="696">
        <v>0</v>
      </c>
      <c r="I16" s="650">
        <v>1</v>
      </c>
      <c r="J16" s="697">
        <v>0</v>
      </c>
      <c r="K16" s="649">
        <v>1</v>
      </c>
      <c r="L16" s="697">
        <v>0</v>
      </c>
      <c r="M16" s="649">
        <v>1</v>
      </c>
      <c r="N16" s="696">
        <v>1</v>
      </c>
      <c r="O16" s="650">
        <v>4</v>
      </c>
      <c r="P16" s="696">
        <v>1</v>
      </c>
      <c r="Q16" s="650">
        <f>2+1</f>
        <v>3</v>
      </c>
      <c r="R16" s="696">
        <v>1</v>
      </c>
      <c r="S16" s="650">
        <v>3</v>
      </c>
      <c r="T16" s="696">
        <v>2</v>
      </c>
      <c r="U16" s="650">
        <v>2</v>
      </c>
      <c r="V16" s="696">
        <v>1</v>
      </c>
      <c r="W16" s="650">
        <v>3</v>
      </c>
      <c r="X16" s="696">
        <v>2</v>
      </c>
      <c r="Y16" s="650">
        <v>3</v>
      </c>
      <c r="Z16" s="1669"/>
      <c r="AA16" s="1020"/>
      <c r="AB16" s="926">
        <f t="shared" ref="AB16:AB17" si="2">AVERAGE(W16,U16,Q16,S16,Y16)</f>
        <v>2.8</v>
      </c>
      <c r="AC16" s="928">
        <f t="shared" si="1"/>
        <v>1.4</v>
      </c>
    </row>
    <row r="17" spans="1:32" s="617" customFormat="1" ht="13.5" thickBot="1" x14ac:dyDescent="0.25">
      <c r="A17" s="618"/>
      <c r="B17" s="737" t="s">
        <v>167</v>
      </c>
      <c r="C17" s="714">
        <v>25</v>
      </c>
      <c r="D17" s="712">
        <v>6</v>
      </c>
      <c r="E17" s="714">
        <v>30</v>
      </c>
      <c r="F17" s="713">
        <v>10</v>
      </c>
      <c r="G17" s="715">
        <v>32</v>
      </c>
      <c r="H17" s="716">
        <v>7</v>
      </c>
      <c r="I17" s="717">
        <v>28</v>
      </c>
      <c r="J17" s="718">
        <v>10</v>
      </c>
      <c r="K17" s="715">
        <v>18</v>
      </c>
      <c r="L17" s="718">
        <v>7</v>
      </c>
      <c r="M17" s="715">
        <v>20</v>
      </c>
      <c r="N17" s="716">
        <v>6</v>
      </c>
      <c r="O17" s="717">
        <v>23</v>
      </c>
      <c r="P17" s="716">
        <v>5</v>
      </c>
      <c r="Q17" s="717">
        <v>21</v>
      </c>
      <c r="R17" s="716">
        <v>6</v>
      </c>
      <c r="S17" s="717">
        <v>20</v>
      </c>
      <c r="T17" s="716">
        <v>4</v>
      </c>
      <c r="U17" s="717">
        <v>24</v>
      </c>
      <c r="V17" s="716">
        <v>9</v>
      </c>
      <c r="W17" s="717">
        <v>32</v>
      </c>
      <c r="X17" s="716">
        <v>7</v>
      </c>
      <c r="Y17" s="717">
        <v>25</v>
      </c>
      <c r="Z17" s="1648"/>
      <c r="AA17" s="1020"/>
      <c r="AB17" s="929">
        <f t="shared" si="2"/>
        <v>24.4</v>
      </c>
      <c r="AC17" s="1021">
        <f t="shared" si="1"/>
        <v>6.2</v>
      </c>
    </row>
    <row r="18" spans="1:32" ht="13.5" thickTop="1" x14ac:dyDescent="0.2">
      <c r="A18" s="3"/>
      <c r="B18" s="70" t="s">
        <v>170</v>
      </c>
      <c r="C18" s="33"/>
      <c r="D18" s="34"/>
      <c r="E18" s="33"/>
      <c r="F18" s="34"/>
      <c r="G18" s="133"/>
      <c r="H18" s="135"/>
      <c r="I18" s="133"/>
      <c r="J18" s="135"/>
      <c r="K18" s="133"/>
      <c r="L18" s="135"/>
      <c r="M18" s="133"/>
      <c r="N18" s="135"/>
      <c r="O18" s="133"/>
      <c r="P18" s="135"/>
      <c r="Q18" s="133"/>
      <c r="R18" s="135"/>
      <c r="S18" s="133"/>
      <c r="T18" s="135"/>
      <c r="U18" s="133"/>
      <c r="V18" s="135"/>
      <c r="W18" s="133"/>
      <c r="X18" s="135"/>
      <c r="Y18" s="133"/>
      <c r="Z18" s="135"/>
    </row>
    <row r="19" spans="1:32" ht="13.5" thickBot="1" x14ac:dyDescent="0.25">
      <c r="A19" s="3"/>
      <c r="B19" s="3"/>
      <c r="C19" s="3"/>
      <c r="D19" s="3"/>
      <c r="E19" s="3"/>
      <c r="F19" s="3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</row>
    <row r="20" spans="1:32" ht="14.25" thickTop="1" thickBot="1" x14ac:dyDescent="0.25">
      <c r="A20" s="3"/>
      <c r="B20" s="340"/>
      <c r="C20" s="2013" t="s">
        <v>49</v>
      </c>
      <c r="D20" s="2014"/>
      <c r="E20" s="2015" t="s">
        <v>50</v>
      </c>
      <c r="F20" s="2015"/>
      <c r="G20" s="2002" t="s">
        <v>141</v>
      </c>
      <c r="H20" s="1982"/>
      <c r="I20" s="1974" t="s">
        <v>152</v>
      </c>
      <c r="J20" s="1974"/>
      <c r="K20" s="2002" t="s">
        <v>154</v>
      </c>
      <c r="L20" s="1974"/>
      <c r="M20" s="2002" t="s">
        <v>171</v>
      </c>
      <c r="N20" s="1982"/>
      <c r="O20" s="1974" t="s">
        <v>227</v>
      </c>
      <c r="P20" s="1982"/>
      <c r="Q20" s="1974" t="s">
        <v>237</v>
      </c>
      <c r="R20" s="1982"/>
      <c r="S20" s="1974" t="s">
        <v>272</v>
      </c>
      <c r="T20" s="1982"/>
      <c r="U20" s="1974" t="s">
        <v>274</v>
      </c>
      <c r="V20" s="1982"/>
      <c r="W20" s="1974" t="s">
        <v>280</v>
      </c>
      <c r="X20" s="1982"/>
      <c r="Y20" s="1974" t="s">
        <v>290</v>
      </c>
      <c r="Z20" s="1975"/>
      <c r="AB20" s="2003" t="s">
        <v>213</v>
      </c>
      <c r="AC20" s="2004"/>
    </row>
    <row r="21" spans="1:32" x14ac:dyDescent="0.2">
      <c r="A21" s="3"/>
      <c r="B21" s="73" t="s">
        <v>7</v>
      </c>
      <c r="C21" s="54"/>
      <c r="D21" s="92"/>
      <c r="E21" s="30"/>
      <c r="F21" s="30"/>
      <c r="G21" s="243"/>
      <c r="H21" s="244"/>
      <c r="I21" s="138"/>
      <c r="J21" s="138"/>
      <c r="K21" s="243"/>
      <c r="L21" s="138"/>
      <c r="M21" s="243"/>
      <c r="N21" s="244"/>
      <c r="O21" s="138"/>
      <c r="P21" s="244"/>
      <c r="Q21" s="138"/>
      <c r="R21" s="244"/>
      <c r="S21" s="138"/>
      <c r="T21" s="244"/>
      <c r="U21" s="138"/>
      <c r="V21" s="244"/>
      <c r="W21" s="138"/>
      <c r="X21" s="244"/>
      <c r="Y21" s="138"/>
      <c r="Z21" s="140"/>
      <c r="AB21" s="831"/>
      <c r="AC21" s="930"/>
    </row>
    <row r="22" spans="1:32" x14ac:dyDescent="0.2">
      <c r="A22" s="3"/>
      <c r="B22" s="78" t="s">
        <v>8</v>
      </c>
      <c r="C22" s="184"/>
      <c r="D22" s="93"/>
      <c r="E22" s="31"/>
      <c r="F22" s="31"/>
      <c r="G22" s="239"/>
      <c r="H22" s="245"/>
      <c r="I22" s="139"/>
      <c r="J22" s="139"/>
      <c r="K22" s="239"/>
      <c r="L22" s="139"/>
      <c r="M22" s="239"/>
      <c r="N22" s="245"/>
      <c r="O22" s="139"/>
      <c r="P22" s="245"/>
      <c r="Q22" s="139"/>
      <c r="R22" s="245"/>
      <c r="S22" s="139"/>
      <c r="T22" s="245"/>
      <c r="U22" s="139"/>
      <c r="V22" s="245"/>
      <c r="W22" s="139"/>
      <c r="X22" s="245"/>
      <c r="Y22" s="139"/>
      <c r="Z22" s="141"/>
      <c r="AB22" s="831"/>
      <c r="AC22" s="930"/>
    </row>
    <row r="23" spans="1:32" x14ac:dyDescent="0.2">
      <c r="A23" s="3"/>
      <c r="B23" s="78" t="s">
        <v>9</v>
      </c>
      <c r="C23" s="184"/>
      <c r="D23" s="165">
        <v>1189</v>
      </c>
      <c r="E23" s="31"/>
      <c r="F23" s="171">
        <v>1170</v>
      </c>
      <c r="G23" s="239"/>
      <c r="H23" s="261">
        <v>1218</v>
      </c>
      <c r="I23" s="139"/>
      <c r="J23" s="183">
        <v>1239</v>
      </c>
      <c r="K23" s="239"/>
      <c r="L23" s="183">
        <v>1023</v>
      </c>
      <c r="M23" s="239"/>
      <c r="N23" s="261">
        <v>1386</v>
      </c>
      <c r="O23" s="139"/>
      <c r="P23" s="261">
        <v>1485</v>
      </c>
      <c r="Q23" s="139"/>
      <c r="R23" s="261">
        <v>1401</v>
      </c>
      <c r="S23" s="139"/>
      <c r="T23" s="261">
        <v>993</v>
      </c>
      <c r="U23" s="139"/>
      <c r="V23" s="261">
        <v>3339</v>
      </c>
      <c r="W23" s="139"/>
      <c r="X23" s="261">
        <v>3192</v>
      </c>
      <c r="Y23" s="139"/>
      <c r="Z23" s="1649"/>
      <c r="AB23" s="24"/>
      <c r="AC23" s="947">
        <f>AVERAGE(X23,V23,R23,T23,P23)</f>
        <v>2082</v>
      </c>
    </row>
    <row r="24" spans="1:32" x14ac:dyDescent="0.2">
      <c r="A24" s="3"/>
      <c r="B24" s="78" t="s">
        <v>10</v>
      </c>
      <c r="C24" s="184"/>
      <c r="D24" s="165">
        <v>7015</v>
      </c>
      <c r="E24" s="31"/>
      <c r="F24" s="171">
        <v>7509</v>
      </c>
      <c r="G24" s="239"/>
      <c r="H24" s="261">
        <v>7749</v>
      </c>
      <c r="I24" s="139"/>
      <c r="J24" s="183">
        <v>7345</v>
      </c>
      <c r="K24" s="239"/>
      <c r="L24" s="183">
        <v>6346</v>
      </c>
      <c r="M24" s="239"/>
      <c r="N24" s="261">
        <v>6561</v>
      </c>
      <c r="O24" s="139"/>
      <c r="P24" s="261">
        <v>6106</v>
      </c>
      <c r="Q24" s="139"/>
      <c r="R24" s="261">
        <v>6364</v>
      </c>
      <c r="S24" s="139"/>
      <c r="T24" s="261">
        <v>5431</v>
      </c>
      <c r="U24" s="139"/>
      <c r="V24" s="261">
        <v>3415</v>
      </c>
      <c r="W24" s="139"/>
      <c r="X24" s="261">
        <v>2869</v>
      </c>
      <c r="Y24" s="139"/>
      <c r="Z24" s="1649"/>
      <c r="AB24" s="12"/>
      <c r="AC24" s="947">
        <f t="shared" ref="AC24:AC27" si="3">AVERAGE(X24,V24,R24,T24,P24)</f>
        <v>4837</v>
      </c>
    </row>
    <row r="25" spans="1:32" x14ac:dyDescent="0.2">
      <c r="A25" s="3"/>
      <c r="B25" s="78" t="s">
        <v>11</v>
      </c>
      <c r="C25" s="184"/>
      <c r="D25" s="165">
        <v>945</v>
      </c>
      <c r="E25" s="31"/>
      <c r="F25" s="171">
        <v>881</v>
      </c>
      <c r="G25" s="239"/>
      <c r="H25" s="261">
        <v>659</v>
      </c>
      <c r="I25" s="139"/>
      <c r="J25" s="183">
        <v>885</v>
      </c>
      <c r="K25" s="239"/>
      <c r="L25" s="183">
        <v>1186</v>
      </c>
      <c r="M25" s="239"/>
      <c r="N25" s="261">
        <v>1019</v>
      </c>
      <c r="O25" s="139"/>
      <c r="P25" s="261">
        <v>1185</v>
      </c>
      <c r="Q25" s="139"/>
      <c r="R25" s="261">
        <v>930</v>
      </c>
      <c r="S25" s="139"/>
      <c r="T25" s="261">
        <v>910</v>
      </c>
      <c r="U25" s="139"/>
      <c r="V25" s="261">
        <v>798</v>
      </c>
      <c r="W25" s="139"/>
      <c r="X25" s="261">
        <v>886</v>
      </c>
      <c r="Y25" s="139"/>
      <c r="Z25" s="1649"/>
      <c r="AA25" s="1031"/>
      <c r="AB25" s="31"/>
      <c r="AC25" s="947">
        <f t="shared" si="3"/>
        <v>941.8</v>
      </c>
      <c r="AE25" t="s">
        <v>29</v>
      </c>
    </row>
    <row r="26" spans="1:32" x14ac:dyDescent="0.2">
      <c r="A26" s="3"/>
      <c r="B26" s="78" t="s">
        <v>12</v>
      </c>
      <c r="C26" s="184"/>
      <c r="D26" s="94">
        <v>0</v>
      </c>
      <c r="E26" s="31"/>
      <c r="F26" s="39">
        <v>0</v>
      </c>
      <c r="G26" s="239"/>
      <c r="H26" s="240">
        <v>0</v>
      </c>
      <c r="I26" s="139"/>
      <c r="J26" s="241">
        <v>0</v>
      </c>
      <c r="K26" s="239"/>
      <c r="L26" s="241">
        <v>42</v>
      </c>
      <c r="M26" s="239"/>
      <c r="N26" s="240">
        <v>30</v>
      </c>
      <c r="O26" s="139"/>
      <c r="P26" s="240">
        <v>152</v>
      </c>
      <c r="Q26" s="139"/>
      <c r="R26" s="240">
        <v>253</v>
      </c>
      <c r="S26" s="139"/>
      <c r="T26" s="240">
        <v>285</v>
      </c>
      <c r="U26" s="139"/>
      <c r="V26" s="240">
        <v>200</v>
      </c>
      <c r="W26" s="139"/>
      <c r="X26" s="240">
        <v>134</v>
      </c>
      <c r="Y26" s="139"/>
      <c r="Z26" s="1650"/>
      <c r="AA26" s="1031"/>
      <c r="AB26" s="31"/>
      <c r="AC26" s="947">
        <f t="shared" si="3"/>
        <v>204.8</v>
      </c>
    </row>
    <row r="27" spans="1:32" ht="13.5" thickBot="1" x14ac:dyDescent="0.25">
      <c r="A27" s="3"/>
      <c r="B27" s="79" t="s">
        <v>13</v>
      </c>
      <c r="C27" s="185"/>
      <c r="D27" s="186">
        <f>SUM(D23:D26)</f>
        <v>9149</v>
      </c>
      <c r="E27" s="90"/>
      <c r="F27" s="58">
        <f>SUM(F23:F26)</f>
        <v>9560</v>
      </c>
      <c r="G27" s="246"/>
      <c r="H27" s="247">
        <f>SUM(H23:H26)</f>
        <v>9626</v>
      </c>
      <c r="I27" s="164"/>
      <c r="J27" s="242">
        <f>SUM(J23:J26)</f>
        <v>9469</v>
      </c>
      <c r="K27" s="246"/>
      <c r="L27" s="242">
        <f>SUM(L23:L26)</f>
        <v>8597</v>
      </c>
      <c r="M27" s="246"/>
      <c r="N27" s="247">
        <f>SUM(N23:N26)</f>
        <v>8996</v>
      </c>
      <c r="O27" s="164"/>
      <c r="P27" s="247">
        <f>SUM(P23:P26)</f>
        <v>8928</v>
      </c>
      <c r="Q27" s="164"/>
      <c r="R27" s="247">
        <f>SUM(R23:R26)</f>
        <v>8948</v>
      </c>
      <c r="S27" s="164"/>
      <c r="T27" s="247">
        <f>SUM(T23:T26)</f>
        <v>7619</v>
      </c>
      <c r="U27" s="164"/>
      <c r="V27" s="247">
        <f>SUM(V23:V26)</f>
        <v>7752</v>
      </c>
      <c r="W27" s="164"/>
      <c r="X27" s="247">
        <f>SUM(X23:X26)</f>
        <v>7081</v>
      </c>
      <c r="Y27" s="164"/>
      <c r="Z27" s="1651"/>
      <c r="AA27" s="1031"/>
      <c r="AB27" s="182"/>
      <c r="AC27" s="1008">
        <f t="shared" si="3"/>
        <v>8065.6</v>
      </c>
    </row>
    <row r="28" spans="1:32" ht="17.25" customHeight="1" thickTop="1" thickBot="1" x14ac:dyDescent="0.25">
      <c r="A28" s="930"/>
      <c r="B28" s="931" t="s">
        <v>212</v>
      </c>
      <c r="C28" s="1992" t="s">
        <v>51</v>
      </c>
      <c r="D28" s="1997"/>
      <c r="E28" s="1992" t="s">
        <v>52</v>
      </c>
      <c r="F28" s="1997"/>
      <c r="G28" s="1989" t="s">
        <v>184</v>
      </c>
      <c r="H28" s="1981"/>
      <c r="I28" s="1989" t="s">
        <v>185</v>
      </c>
      <c r="J28" s="2005"/>
      <c r="K28" s="1989" t="s">
        <v>202</v>
      </c>
      <c r="L28" s="2005"/>
      <c r="M28" s="1991" t="s">
        <v>203</v>
      </c>
      <c r="N28" s="1981"/>
      <c r="O28" s="1970" t="s">
        <v>228</v>
      </c>
      <c r="P28" s="1981"/>
      <c r="Q28" s="1970" t="s">
        <v>238</v>
      </c>
      <c r="R28" s="1981"/>
      <c r="S28" s="1970" t="s">
        <v>273</v>
      </c>
      <c r="T28" s="1981"/>
      <c r="U28" s="1970" t="s">
        <v>275</v>
      </c>
      <c r="V28" s="1981"/>
      <c r="W28" s="1970" t="s">
        <v>281</v>
      </c>
      <c r="X28" s="1981"/>
      <c r="Y28" s="1970" t="s">
        <v>291</v>
      </c>
      <c r="Z28" s="1971"/>
      <c r="AA28" s="932"/>
      <c r="AB28" s="2009"/>
      <c r="AC28" s="2010"/>
      <c r="AD28" s="293"/>
      <c r="AE28" s="293"/>
      <c r="AF28" s="21"/>
    </row>
    <row r="29" spans="1:32" ht="12" customHeight="1" x14ac:dyDescent="0.2">
      <c r="A29" s="930"/>
      <c r="B29" s="933" t="s">
        <v>189</v>
      </c>
      <c r="C29" s="2016">
        <v>0.23300000000000001</v>
      </c>
      <c r="D29" s="2017"/>
      <c r="E29" s="1995">
        <v>0.24099999999999999</v>
      </c>
      <c r="F29" s="1996"/>
      <c r="G29" s="1995">
        <v>0.26800000000000002</v>
      </c>
      <c r="H29" s="1996"/>
      <c r="I29" s="1995">
        <v>0.26400000000000001</v>
      </c>
      <c r="J29" s="2006"/>
      <c r="K29" s="934"/>
      <c r="L29" s="935">
        <v>0.28599999999999998</v>
      </c>
      <c r="M29" s="936"/>
      <c r="N29" s="1178">
        <v>0.27900000000000003</v>
      </c>
      <c r="O29" s="1176"/>
      <c r="P29" s="1178">
        <v>0.25800000000000001</v>
      </c>
      <c r="Q29" s="1271"/>
      <c r="R29" s="1178">
        <v>0.26400000000000001</v>
      </c>
      <c r="S29" s="1271"/>
      <c r="T29" s="1178">
        <v>0.24399999999999999</v>
      </c>
      <c r="U29" s="1271"/>
      <c r="V29" s="1178">
        <v>0.26400000000000001</v>
      </c>
      <c r="W29" s="1271"/>
      <c r="X29" s="1178">
        <v>0.26</v>
      </c>
      <c r="Y29" s="1271"/>
      <c r="Z29" s="1479">
        <v>0.25900000000000001</v>
      </c>
      <c r="AA29" s="937"/>
      <c r="AB29" s="938"/>
      <c r="AC29" s="1048">
        <v>0.25900000000000001</v>
      </c>
      <c r="AD29" s="293"/>
      <c r="AE29" s="293"/>
      <c r="AF29" s="21"/>
    </row>
    <row r="30" spans="1:32" ht="12" customHeight="1" x14ac:dyDescent="0.2">
      <c r="A30" s="930"/>
      <c r="B30" s="940" t="s">
        <v>190</v>
      </c>
      <c r="C30" s="2018">
        <v>0.05</v>
      </c>
      <c r="D30" s="2019"/>
      <c r="E30" s="2000">
        <v>4.2999999999999997E-2</v>
      </c>
      <c r="F30" s="2001"/>
      <c r="G30" s="2000">
        <v>3.6999999999999998E-2</v>
      </c>
      <c r="H30" s="2001"/>
      <c r="I30" s="2000">
        <v>3.7999999999999999E-2</v>
      </c>
      <c r="J30" s="2011"/>
      <c r="K30" s="941"/>
      <c r="L30" s="942">
        <v>5.0999999999999997E-2</v>
      </c>
      <c r="M30" s="941"/>
      <c r="N30" s="1179">
        <v>9.5000000000000001E-2</v>
      </c>
      <c r="O30" s="1177"/>
      <c r="P30" s="1179">
        <v>6.3E-2</v>
      </c>
      <c r="Q30" s="1272"/>
      <c r="R30" s="1179">
        <v>7.3999999999999996E-2</v>
      </c>
      <c r="S30" s="1272"/>
      <c r="T30" s="1179">
        <v>8.2000000000000003E-2</v>
      </c>
      <c r="U30" s="1272"/>
      <c r="V30" s="1179">
        <v>6.6000000000000003E-2</v>
      </c>
      <c r="W30" s="1272"/>
      <c r="X30" s="1179">
        <v>8.1000000000000003E-2</v>
      </c>
      <c r="Y30" s="1272"/>
      <c r="Z30" s="1480">
        <v>8.8999999999999996E-2</v>
      </c>
      <c r="AA30" s="937"/>
      <c r="AB30" s="938"/>
      <c r="AC30" s="1048">
        <f t="shared" ref="AC30" si="4">AVERAGE(X30,V30,R30,T30,Z30)</f>
        <v>7.8399999999999997E-2</v>
      </c>
      <c r="AD30" s="293"/>
      <c r="AE30" s="293"/>
      <c r="AF30" s="21"/>
    </row>
    <row r="31" spans="1:32" ht="12.75" customHeight="1" thickBot="1" x14ac:dyDescent="0.25">
      <c r="A31" s="3"/>
      <c r="B31" s="943" t="s">
        <v>191</v>
      </c>
      <c r="C31" s="1998">
        <f>1-C29-C30</f>
        <v>0.71699999999999997</v>
      </c>
      <c r="D31" s="1999"/>
      <c r="E31" s="1998">
        <f>1-E29-E30</f>
        <v>0.71599999999999997</v>
      </c>
      <c r="F31" s="1999"/>
      <c r="G31" s="1998">
        <f>1-G29-G30</f>
        <v>0.69499999999999995</v>
      </c>
      <c r="H31" s="1999"/>
      <c r="I31" s="1998">
        <f>1-I29-I30</f>
        <v>0.69799999999999995</v>
      </c>
      <c r="J31" s="1999"/>
      <c r="K31" s="1998">
        <f>1-L29-L30</f>
        <v>0.66299999999999992</v>
      </c>
      <c r="L31" s="1999"/>
      <c r="M31" s="1998">
        <f>1-N29-N30</f>
        <v>0.626</v>
      </c>
      <c r="N31" s="1999"/>
      <c r="O31" s="1998">
        <f>1-P29-P30</f>
        <v>0.67900000000000005</v>
      </c>
      <c r="P31" s="1999"/>
      <c r="Q31" s="1972">
        <f>1-R29-R30</f>
        <v>0.66200000000000003</v>
      </c>
      <c r="R31" s="1973"/>
      <c r="S31" s="1972">
        <f>1-T29-T30</f>
        <v>0.67400000000000004</v>
      </c>
      <c r="T31" s="1973"/>
      <c r="U31" s="1972">
        <f>1-V29-V30</f>
        <v>0.66999999999999993</v>
      </c>
      <c r="V31" s="1973"/>
      <c r="W31" s="1972">
        <f>1-X29-X30</f>
        <v>0.65900000000000003</v>
      </c>
      <c r="X31" s="1973"/>
      <c r="Y31" s="1972">
        <f>1-Z29-Z30</f>
        <v>0.65200000000000002</v>
      </c>
      <c r="Z31" s="1973"/>
      <c r="AA31" s="937"/>
      <c r="AB31" s="2007">
        <f>1-AC29-AC30</f>
        <v>0.66259999999999997</v>
      </c>
      <c r="AC31" s="2008"/>
      <c r="AD31" s="1050"/>
      <c r="AE31" s="293"/>
      <c r="AF31" s="21"/>
    </row>
    <row r="32" spans="1:32" s="3" customFormat="1" thickTop="1" x14ac:dyDescent="0.2">
      <c r="B32" s="109"/>
      <c r="C32" s="110"/>
      <c r="D32" s="111"/>
      <c r="E32" s="110"/>
      <c r="F32" s="111"/>
      <c r="G32" s="146"/>
      <c r="H32" s="147"/>
      <c r="I32" s="146"/>
      <c r="J32" s="147"/>
      <c r="K32" s="146"/>
      <c r="L32" s="147"/>
      <c r="M32" s="146"/>
      <c r="N32" s="147"/>
      <c r="O32" s="146"/>
      <c r="P32" s="147"/>
      <c r="Q32" s="146"/>
      <c r="R32" s="147"/>
      <c r="S32" s="146"/>
      <c r="T32" s="147"/>
      <c r="U32" s="146"/>
      <c r="V32" s="147"/>
      <c r="W32" s="146"/>
      <c r="X32" s="147"/>
      <c r="Y32" s="146"/>
      <c r="Z32" s="147"/>
    </row>
    <row r="33" spans="1:29" s="3" customFormat="1" x14ac:dyDescent="0.2">
      <c r="A33" s="112" t="s">
        <v>68</v>
      </c>
      <c r="B33" s="96"/>
      <c r="C33" s="28"/>
      <c r="D33" s="28"/>
      <c r="E33" s="28"/>
      <c r="F33" s="28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</row>
    <row r="34" spans="1:29" s="3" customFormat="1" ht="13.5" thickBot="1" x14ac:dyDescent="0.25">
      <c r="A34" s="112"/>
      <c r="B34" s="96"/>
      <c r="C34" s="28"/>
      <c r="D34" s="28"/>
      <c r="E34" s="28"/>
      <c r="F34" s="28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</row>
    <row r="35" spans="1:29" s="3" customFormat="1" ht="14.25" thickTop="1" thickBot="1" x14ac:dyDescent="0.25">
      <c r="A35" s="2"/>
      <c r="B35" s="329" t="s">
        <v>69</v>
      </c>
      <c r="C35" s="2013" t="s">
        <v>49</v>
      </c>
      <c r="D35" s="2014"/>
      <c r="E35" s="2015" t="s">
        <v>50</v>
      </c>
      <c r="F35" s="2015"/>
      <c r="G35" s="2002" t="s">
        <v>141</v>
      </c>
      <c r="H35" s="1982"/>
      <c r="I35" s="1974" t="s">
        <v>152</v>
      </c>
      <c r="J35" s="1974"/>
      <c r="K35" s="2002" t="s">
        <v>154</v>
      </c>
      <c r="L35" s="1974"/>
      <c r="M35" s="2002" t="s">
        <v>171</v>
      </c>
      <c r="N35" s="1982"/>
      <c r="O35" s="1974" t="s">
        <v>227</v>
      </c>
      <c r="P35" s="1982"/>
      <c r="Q35" s="1974" t="s">
        <v>237</v>
      </c>
      <c r="R35" s="1982"/>
      <c r="S35" s="1974" t="s">
        <v>272</v>
      </c>
      <c r="T35" s="1982"/>
      <c r="U35" s="1974" t="s">
        <v>274</v>
      </c>
      <c r="V35" s="1982"/>
      <c r="W35" s="1974" t="s">
        <v>280</v>
      </c>
      <c r="X35" s="1982"/>
      <c r="Y35" s="1974" t="s">
        <v>290</v>
      </c>
      <c r="Z35" s="1975"/>
      <c r="AA35" s="955"/>
      <c r="AB35" s="2015" t="s">
        <v>213</v>
      </c>
      <c r="AC35" s="2004"/>
    </row>
    <row r="36" spans="1:29" s="3" customFormat="1" x14ac:dyDescent="0.2">
      <c r="A36" s="2"/>
      <c r="B36" s="330" t="s">
        <v>70</v>
      </c>
      <c r="C36" s="184"/>
      <c r="D36" s="93"/>
      <c r="E36" s="31"/>
      <c r="F36" s="31"/>
      <c r="G36" s="239"/>
      <c r="H36" s="245"/>
      <c r="I36" s="138"/>
      <c r="J36" s="138"/>
      <c r="K36" s="243"/>
      <c r="L36" s="138"/>
      <c r="M36" s="243"/>
      <c r="N36" s="244"/>
      <c r="O36" s="138"/>
      <c r="P36" s="244"/>
      <c r="Q36" s="138"/>
      <c r="R36" s="244"/>
      <c r="S36" s="138"/>
      <c r="T36" s="244"/>
      <c r="U36" s="138"/>
      <c r="V36" s="244"/>
      <c r="W36" s="138"/>
      <c r="X36" s="244"/>
      <c r="Y36" s="138"/>
      <c r="Z36" s="140"/>
      <c r="AA36" s="955"/>
      <c r="AB36" s="28"/>
      <c r="AC36" s="930"/>
    </row>
    <row r="37" spans="1:29" s="3" customFormat="1" x14ac:dyDescent="0.2">
      <c r="A37" s="2"/>
      <c r="B37" s="331" t="s">
        <v>71</v>
      </c>
      <c r="C37" s="54"/>
      <c r="D37" s="188">
        <v>1114122</v>
      </c>
      <c r="E37" s="30"/>
      <c r="F37" s="205">
        <v>1199523</v>
      </c>
      <c r="G37" s="243"/>
      <c r="H37" s="416">
        <v>1306061</v>
      </c>
      <c r="I37" s="138"/>
      <c r="J37" s="451">
        <v>1268993</v>
      </c>
      <c r="K37" s="243"/>
      <c r="L37" s="451">
        <v>1373156</v>
      </c>
      <c r="M37" s="243"/>
      <c r="N37" s="416">
        <v>1539676</v>
      </c>
      <c r="O37" s="138"/>
      <c r="P37" s="416">
        <v>1449592</v>
      </c>
      <c r="Q37" s="138"/>
      <c r="R37" s="416">
        <v>1480753</v>
      </c>
      <c r="S37" s="138"/>
      <c r="T37" s="416">
        <v>1498479</v>
      </c>
      <c r="U37" s="138"/>
      <c r="V37" s="416">
        <v>1580793</v>
      </c>
      <c r="W37" s="138"/>
      <c r="X37" s="416">
        <v>1728584</v>
      </c>
      <c r="Y37" s="138"/>
      <c r="Z37" s="294">
        <v>1798743</v>
      </c>
      <c r="AA37" s="955"/>
      <c r="AB37" s="30"/>
      <c r="AC37" s="947">
        <f>AVERAGE(X37,V37,R37,T37,Z37)</f>
        <v>1617470.4</v>
      </c>
    </row>
    <row r="38" spans="1:29" s="3" customFormat="1" x14ac:dyDescent="0.2">
      <c r="A38" s="2"/>
      <c r="B38" s="331" t="s">
        <v>247</v>
      </c>
      <c r="C38" s="54"/>
      <c r="D38" s="188"/>
      <c r="E38" s="30"/>
      <c r="F38" s="205"/>
      <c r="G38" s="243"/>
      <c r="H38" s="416"/>
      <c r="I38" s="138"/>
      <c r="J38" s="451"/>
      <c r="K38" s="243"/>
      <c r="L38" s="451"/>
      <c r="M38" s="243"/>
      <c r="N38" s="416"/>
      <c r="O38" s="138"/>
      <c r="P38" s="416"/>
      <c r="Q38" s="138"/>
      <c r="R38" s="416"/>
      <c r="S38" s="138"/>
      <c r="T38" s="416"/>
      <c r="U38" s="138"/>
      <c r="V38" s="416"/>
      <c r="W38" s="138"/>
      <c r="X38" s="416">
        <v>174438</v>
      </c>
      <c r="Y38" s="138"/>
      <c r="Z38" s="294">
        <v>173247</v>
      </c>
      <c r="AA38" s="955"/>
      <c r="AB38" s="30"/>
      <c r="AC38" s="947"/>
    </row>
    <row r="39" spans="1:29" s="3" customFormat="1" ht="36" x14ac:dyDescent="0.2">
      <c r="A39" s="2"/>
      <c r="B39" s="332" t="s">
        <v>248</v>
      </c>
      <c r="C39" s="184"/>
      <c r="D39" s="189">
        <v>85755</v>
      </c>
      <c r="E39" s="31"/>
      <c r="F39" s="206">
        <v>96704</v>
      </c>
      <c r="G39" s="239"/>
      <c r="H39" s="369">
        <v>96550</v>
      </c>
      <c r="I39" s="139"/>
      <c r="J39" s="347">
        <v>132777</v>
      </c>
      <c r="K39" s="239"/>
      <c r="L39" s="347">
        <v>134273</v>
      </c>
      <c r="M39" s="239"/>
      <c r="N39" s="369">
        <v>5827</v>
      </c>
      <c r="O39" s="139"/>
      <c r="P39" s="369">
        <v>99637</v>
      </c>
      <c r="Q39" s="139"/>
      <c r="R39" s="369">
        <v>118875</v>
      </c>
      <c r="S39" s="139"/>
      <c r="T39" s="369">
        <v>202149</v>
      </c>
      <c r="U39" s="139"/>
      <c r="V39" s="369">
        <v>285912</v>
      </c>
      <c r="W39" s="139"/>
      <c r="X39" s="369">
        <v>110801</v>
      </c>
      <c r="Y39" s="139"/>
      <c r="Z39" s="282">
        <v>123284</v>
      </c>
      <c r="AA39" s="955"/>
      <c r="AB39" s="31"/>
      <c r="AC39" s="947">
        <f t="shared" ref="AC39:AC40" si="5">AVERAGE(X39,V39,R39,T39,Z39)</f>
        <v>168204.2</v>
      </c>
    </row>
    <row r="40" spans="1:29" s="3" customFormat="1" x14ac:dyDescent="0.2">
      <c r="A40" s="2"/>
      <c r="B40" s="333" t="s">
        <v>72</v>
      </c>
      <c r="C40" s="187"/>
      <c r="D40" s="190">
        <f>SUM(D37:D39)</f>
        <v>1199877</v>
      </c>
      <c r="E40" s="90"/>
      <c r="F40" s="207">
        <f>SUM(F37:F39)</f>
        <v>1296227</v>
      </c>
      <c r="G40" s="262"/>
      <c r="H40" s="263">
        <f>SUM(H37:H39)</f>
        <v>1402611</v>
      </c>
      <c r="I40" s="250"/>
      <c r="J40" s="249">
        <f>SUM(J37:J39)</f>
        <v>1401770</v>
      </c>
      <c r="K40" s="262"/>
      <c r="L40" s="249">
        <f>SUM(L37:L39)</f>
        <v>1507429</v>
      </c>
      <c r="M40" s="262"/>
      <c r="N40" s="263">
        <f>SUM(N37:N39)</f>
        <v>1545503</v>
      </c>
      <c r="O40" s="250"/>
      <c r="P40" s="263">
        <f>SUM(P37:P39)</f>
        <v>1549229</v>
      </c>
      <c r="Q40" s="250"/>
      <c r="R40" s="263">
        <f>SUM(R37:R39)</f>
        <v>1599628</v>
      </c>
      <c r="S40" s="250"/>
      <c r="T40" s="263">
        <f>SUM(T37:T39)</f>
        <v>1700628</v>
      </c>
      <c r="U40" s="250"/>
      <c r="V40" s="263">
        <f>SUM(V37:V39)</f>
        <v>1866705</v>
      </c>
      <c r="W40" s="250"/>
      <c r="X40" s="263">
        <f>SUM(X37:X39)</f>
        <v>2013823</v>
      </c>
      <c r="Y40" s="250"/>
      <c r="Z40" s="149">
        <f>SUM(Z37:Z39)</f>
        <v>2095274</v>
      </c>
      <c r="AA40" s="955"/>
      <c r="AB40" s="31"/>
      <c r="AC40" s="1008">
        <f t="shared" si="5"/>
        <v>1855211.6</v>
      </c>
    </row>
    <row r="41" spans="1:29" s="3" customFormat="1" x14ac:dyDescent="0.2">
      <c r="A41" s="2"/>
      <c r="B41" s="330" t="s">
        <v>73</v>
      </c>
      <c r="C41" s="184"/>
      <c r="D41" s="189"/>
      <c r="E41" s="31"/>
      <c r="F41" s="206"/>
      <c r="G41" s="239"/>
      <c r="H41" s="369"/>
      <c r="I41" s="139"/>
      <c r="J41" s="347"/>
      <c r="K41" s="239"/>
      <c r="L41" s="347"/>
      <c r="M41" s="239"/>
      <c r="N41" s="369"/>
      <c r="O41" s="139"/>
      <c r="P41" s="369"/>
      <c r="Q41" s="139"/>
      <c r="R41" s="369"/>
      <c r="S41" s="139"/>
      <c r="T41" s="369"/>
      <c r="U41" s="139"/>
      <c r="V41" s="369"/>
      <c r="W41" s="139"/>
      <c r="X41" s="369"/>
      <c r="Y41" s="139"/>
      <c r="Z41" s="282"/>
      <c r="AA41" s="955"/>
      <c r="AB41" s="31"/>
      <c r="AC41" s="947"/>
    </row>
    <row r="42" spans="1:29" s="3" customFormat="1" x14ac:dyDescent="0.2">
      <c r="A42" s="2"/>
      <c r="B42" s="331" t="s">
        <v>71</v>
      </c>
      <c r="C42" s="184"/>
      <c r="D42" s="189"/>
      <c r="E42" s="31"/>
      <c r="F42" s="206"/>
      <c r="G42" s="239"/>
      <c r="H42" s="369"/>
      <c r="I42" s="139"/>
      <c r="J42" s="347"/>
      <c r="K42" s="239"/>
      <c r="L42" s="347"/>
      <c r="M42" s="239"/>
      <c r="N42" s="369"/>
      <c r="O42" s="139"/>
      <c r="P42" s="369"/>
      <c r="Q42" s="139"/>
      <c r="R42" s="369"/>
      <c r="S42" s="139"/>
      <c r="T42" s="369"/>
      <c r="U42" s="139"/>
      <c r="V42" s="369"/>
      <c r="W42" s="139"/>
      <c r="X42" s="369"/>
      <c r="Y42" s="139"/>
      <c r="Z42" s="282"/>
      <c r="AA42" s="955"/>
      <c r="AB42" s="31"/>
      <c r="AC42" s="947"/>
    </row>
    <row r="43" spans="1:29" s="3" customFormat="1" x14ac:dyDescent="0.2">
      <c r="A43" s="2"/>
      <c r="B43" s="331" t="s">
        <v>247</v>
      </c>
      <c r="C43" s="184"/>
      <c r="D43" s="189"/>
      <c r="E43" s="31"/>
      <c r="F43" s="206"/>
      <c r="G43" s="239"/>
      <c r="H43" s="369"/>
      <c r="I43" s="139"/>
      <c r="J43" s="347"/>
      <c r="K43" s="239"/>
      <c r="L43" s="347"/>
      <c r="M43" s="239"/>
      <c r="N43" s="369"/>
      <c r="O43" s="139"/>
      <c r="P43" s="369"/>
      <c r="Q43" s="139"/>
      <c r="R43" s="369"/>
      <c r="S43" s="139"/>
      <c r="T43" s="369"/>
      <c r="U43" s="139"/>
      <c r="V43" s="369"/>
      <c r="W43" s="139"/>
      <c r="X43" s="369"/>
      <c r="Y43" s="139"/>
      <c r="Z43" s="282"/>
      <c r="AA43" s="955"/>
      <c r="AB43" s="31"/>
      <c r="AC43" s="947"/>
    </row>
    <row r="44" spans="1:29" s="3" customFormat="1" ht="36" x14ac:dyDescent="0.2">
      <c r="A44" s="2"/>
      <c r="B44" s="850" t="s">
        <v>248</v>
      </c>
      <c r="C44" s="239"/>
      <c r="D44" s="369"/>
      <c r="E44" s="31"/>
      <c r="F44" s="206"/>
      <c r="G44" s="239"/>
      <c r="H44" s="369"/>
      <c r="I44" s="139"/>
      <c r="J44" s="347"/>
      <c r="K44" s="239"/>
      <c r="L44" s="347"/>
      <c r="M44" s="239"/>
      <c r="N44" s="369"/>
      <c r="O44" s="139"/>
      <c r="P44" s="369"/>
      <c r="Q44" s="139"/>
      <c r="R44" s="369"/>
      <c r="S44" s="139"/>
      <c r="T44" s="369"/>
      <c r="U44" s="139"/>
      <c r="V44" s="369"/>
      <c r="W44" s="139"/>
      <c r="X44" s="369"/>
      <c r="Y44" s="139"/>
      <c r="Z44" s="282"/>
      <c r="AA44" s="955"/>
      <c r="AB44" s="31"/>
      <c r="AC44" s="947"/>
    </row>
    <row r="45" spans="1:29" s="3" customFormat="1" x14ac:dyDescent="0.2">
      <c r="A45" s="2"/>
      <c r="B45" s="851" t="s">
        <v>74</v>
      </c>
      <c r="C45" s="262"/>
      <c r="D45" s="263">
        <f>SUM(D42:D44)</f>
        <v>0</v>
      </c>
      <c r="E45" s="90"/>
      <c r="F45" s="207">
        <f>SUM(F42:F44)</f>
        <v>0</v>
      </c>
      <c r="G45" s="262"/>
      <c r="H45" s="263">
        <f>SUM(H42:H44)</f>
        <v>0</v>
      </c>
      <c r="I45" s="250"/>
      <c r="J45" s="249">
        <f>SUM(J42:J44)</f>
        <v>0</v>
      </c>
      <c r="K45" s="262"/>
      <c r="L45" s="249">
        <f>SUM(L42:L44)</f>
        <v>0</v>
      </c>
      <c r="M45" s="262"/>
      <c r="N45" s="263">
        <f>SUM(N42:N44)</f>
        <v>0</v>
      </c>
      <c r="O45" s="250"/>
      <c r="P45" s="263">
        <f>SUM(P42:P44)</f>
        <v>0</v>
      </c>
      <c r="Q45" s="250"/>
      <c r="R45" s="263">
        <f>SUM(R42:R44)</f>
        <v>0</v>
      </c>
      <c r="S45" s="250"/>
      <c r="T45" s="263">
        <f>SUM(T42:T44)</f>
        <v>0</v>
      </c>
      <c r="U45" s="250"/>
      <c r="V45" s="263">
        <f>SUM(V42:V44)</f>
        <v>0</v>
      </c>
      <c r="W45" s="250"/>
      <c r="X45" s="263">
        <f>SUM(X42:X44)</f>
        <v>0</v>
      </c>
      <c r="Y45" s="250"/>
      <c r="Z45" s="149">
        <f>SUM(Z42:Z44)</f>
        <v>0</v>
      </c>
      <c r="AA45" s="955"/>
      <c r="AB45" s="31"/>
      <c r="AC45" s="1008">
        <f t="shared" ref="AC45:AC46" si="6">AVERAGE(X45,V45,R45,T45,Z45)</f>
        <v>0</v>
      </c>
    </row>
    <row r="46" spans="1:29" s="3" customFormat="1" ht="13.5" thickBot="1" x14ac:dyDescent="0.25">
      <c r="A46" s="2"/>
      <c r="B46" s="1328" t="s">
        <v>75</v>
      </c>
      <c r="C46" s="239"/>
      <c r="D46" s="263">
        <f>SUM(D40,D45)</f>
        <v>1199877</v>
      </c>
      <c r="E46" s="31"/>
      <c r="F46" s="207">
        <f>SUM(F40,F45)</f>
        <v>1296227</v>
      </c>
      <c r="G46" s="239"/>
      <c r="H46" s="263">
        <f>SUM(H40,H45)</f>
        <v>1402611</v>
      </c>
      <c r="I46" s="139"/>
      <c r="J46" s="249">
        <f>SUM(J40,J45)</f>
        <v>1401770</v>
      </c>
      <c r="K46" s="239"/>
      <c r="L46" s="249">
        <f>SUM(L40,L45)</f>
        <v>1507429</v>
      </c>
      <c r="M46" s="239"/>
      <c r="N46" s="263">
        <f>SUM(N40,N45)</f>
        <v>1545503</v>
      </c>
      <c r="O46" s="139"/>
      <c r="P46" s="263">
        <f>SUM(P40,P45)</f>
        <v>1549229</v>
      </c>
      <c r="Q46" s="139"/>
      <c r="R46" s="263">
        <f>SUM(R40,R45)</f>
        <v>1599628</v>
      </c>
      <c r="S46" s="139"/>
      <c r="T46" s="263">
        <f>SUM(T40,T45)</f>
        <v>1700628</v>
      </c>
      <c r="U46" s="139"/>
      <c r="V46" s="263">
        <f>SUM(V40,V45)</f>
        <v>1866705</v>
      </c>
      <c r="W46" s="139"/>
      <c r="X46" s="263">
        <f>SUM(X40,X45)</f>
        <v>2013823</v>
      </c>
      <c r="Y46" s="139"/>
      <c r="Z46" s="149">
        <f>SUM(Z40,Z45)</f>
        <v>2095274</v>
      </c>
      <c r="AA46" s="955"/>
      <c r="AB46" s="327"/>
      <c r="AC46" s="1008">
        <f t="shared" si="6"/>
        <v>1855211.6</v>
      </c>
    </row>
    <row r="47" spans="1:29" s="3" customFormat="1" ht="12" x14ac:dyDescent="0.2">
      <c r="B47" s="586" t="s">
        <v>259</v>
      </c>
      <c r="C47" s="265"/>
      <c r="D47" s="248"/>
      <c r="E47" s="36"/>
      <c r="F47" s="36"/>
      <c r="G47" s="265"/>
      <c r="H47" s="248"/>
      <c r="I47" s="151"/>
      <c r="J47" s="151"/>
      <c r="K47" s="265"/>
      <c r="L47" s="151"/>
      <c r="M47" s="265"/>
      <c r="N47" s="248"/>
      <c r="O47" s="151"/>
      <c r="P47" s="248"/>
      <c r="Q47" s="151"/>
      <c r="R47" s="248"/>
      <c r="S47" s="151"/>
      <c r="T47" s="248"/>
      <c r="U47" s="151"/>
      <c r="V47" s="248"/>
      <c r="W47" s="151"/>
      <c r="X47" s="248"/>
      <c r="Y47" s="151"/>
      <c r="Z47" s="152"/>
      <c r="AA47" s="955"/>
      <c r="AB47" s="28"/>
      <c r="AC47" s="978"/>
    </row>
    <row r="48" spans="1:29" x14ac:dyDescent="0.2">
      <c r="A48" s="3"/>
      <c r="B48" s="161" t="s">
        <v>14</v>
      </c>
      <c r="C48" s="266"/>
      <c r="D48" s="460">
        <f>194286+1127788</f>
        <v>1322074</v>
      </c>
      <c r="E48" s="38"/>
      <c r="F48" s="376">
        <v>1337031</v>
      </c>
      <c r="G48" s="266"/>
      <c r="H48" s="433">
        <v>1490356.44</v>
      </c>
      <c r="I48" s="463"/>
      <c r="J48" s="458">
        <v>1475906.23</v>
      </c>
      <c r="K48" s="1522"/>
      <c r="L48" s="826">
        <f>67866+11435</f>
        <v>79301</v>
      </c>
      <c r="M48" s="432"/>
      <c r="N48" s="510">
        <v>1616477</v>
      </c>
      <c r="O48" s="463"/>
      <c r="P48" s="510">
        <v>1630623</v>
      </c>
      <c r="Q48" s="252"/>
      <c r="R48" s="510">
        <v>1612135</v>
      </c>
      <c r="S48" s="252"/>
      <c r="T48" s="510">
        <v>1739793</v>
      </c>
      <c r="U48" s="252"/>
      <c r="V48" s="510">
        <v>1894160</v>
      </c>
      <c r="W48" s="252"/>
      <c r="X48" s="510">
        <v>2020972.69</v>
      </c>
      <c r="Y48" s="252"/>
      <c r="Z48" s="1584"/>
      <c r="AA48" s="1031"/>
      <c r="AB48" s="30"/>
      <c r="AC48" s="949">
        <f>AVERAGE(X48,V48,R48,T48,P48)</f>
        <v>1779536.7379999999</v>
      </c>
    </row>
    <row r="49" spans="1:29" ht="13.5" thickBot="1" x14ac:dyDescent="0.25">
      <c r="A49" s="3"/>
      <c r="B49" s="1265" t="s">
        <v>15</v>
      </c>
      <c r="C49" s="268"/>
      <c r="D49" s="467">
        <v>2839</v>
      </c>
      <c r="E49" s="40"/>
      <c r="F49" s="378">
        <v>10223</v>
      </c>
      <c r="G49" s="268"/>
      <c r="H49" s="1523">
        <v>0</v>
      </c>
      <c r="I49" s="237"/>
      <c r="J49" s="516">
        <v>91041</v>
      </c>
      <c r="K49" s="1524"/>
      <c r="L49" s="827">
        <f>52841+1413511</f>
        <v>1466352</v>
      </c>
      <c r="M49" s="596"/>
      <c r="N49" s="509">
        <f>18997</f>
        <v>18997</v>
      </c>
      <c r="O49" s="237"/>
      <c r="P49" s="509">
        <v>14701</v>
      </c>
      <c r="Q49" s="253"/>
      <c r="R49" s="509">
        <f>303</f>
        <v>303</v>
      </c>
      <c r="S49" s="253"/>
      <c r="T49" s="509">
        <f>41.94</f>
        <v>41.94</v>
      </c>
      <c r="U49" s="253"/>
      <c r="V49" s="509">
        <v>0</v>
      </c>
      <c r="W49" s="253"/>
      <c r="X49" s="509">
        <v>0</v>
      </c>
      <c r="Y49" s="253"/>
      <c r="Z49" s="1580"/>
      <c r="AA49" s="1031"/>
      <c r="AB49" s="31"/>
      <c r="AC49" s="1041">
        <f>AVERAGE(X49,V49,R49,T49,P49)</f>
        <v>3009.1880000000001</v>
      </c>
    </row>
    <row r="50" spans="1:29" x14ac:dyDescent="0.2">
      <c r="A50" s="3"/>
      <c r="B50" s="1492"/>
      <c r="C50" s="193" t="s">
        <v>133</v>
      </c>
      <c r="D50" s="194" t="s">
        <v>139</v>
      </c>
      <c r="E50" s="166" t="s">
        <v>133</v>
      </c>
      <c r="F50" s="194" t="s">
        <v>139</v>
      </c>
      <c r="G50" s="166" t="s">
        <v>133</v>
      </c>
      <c r="H50" s="194" t="s">
        <v>139</v>
      </c>
      <c r="I50" s="166" t="s">
        <v>133</v>
      </c>
      <c r="J50" s="84" t="s">
        <v>139</v>
      </c>
      <c r="K50" s="380" t="s">
        <v>133</v>
      </c>
      <c r="L50" s="84" t="s">
        <v>139</v>
      </c>
      <c r="M50" s="386" t="s">
        <v>133</v>
      </c>
      <c r="N50" s="417" t="s">
        <v>139</v>
      </c>
      <c r="O50" s="352" t="s">
        <v>133</v>
      </c>
      <c r="P50" s="417" t="s">
        <v>139</v>
      </c>
      <c r="Q50" s="84" t="s">
        <v>133</v>
      </c>
      <c r="R50" s="194" t="s">
        <v>139</v>
      </c>
      <c r="S50" s="84" t="s">
        <v>133</v>
      </c>
      <c r="T50" s="194" t="s">
        <v>139</v>
      </c>
      <c r="U50" s="84" t="s">
        <v>133</v>
      </c>
      <c r="V50" s="194" t="s">
        <v>139</v>
      </c>
      <c r="W50" s="352" t="s">
        <v>133</v>
      </c>
      <c r="X50" s="417" t="s">
        <v>139</v>
      </c>
      <c r="Y50" s="84" t="s">
        <v>133</v>
      </c>
      <c r="Z50" s="846" t="s">
        <v>139</v>
      </c>
      <c r="AA50" s="1031"/>
      <c r="AB50" s="323" t="s">
        <v>133</v>
      </c>
      <c r="AC50" s="295" t="s">
        <v>139</v>
      </c>
    </row>
    <row r="51" spans="1:29" s="3" customFormat="1" ht="11.45" customHeight="1" x14ac:dyDescent="0.2">
      <c r="B51" s="80" t="s">
        <v>67</v>
      </c>
      <c r="C51" s="475">
        <v>3</v>
      </c>
      <c r="D51" s="511">
        <v>219292</v>
      </c>
      <c r="E51" s="108">
        <v>3</v>
      </c>
      <c r="F51" s="522">
        <v>207329</v>
      </c>
      <c r="G51" s="476">
        <v>4</v>
      </c>
      <c r="H51" s="439">
        <v>178276</v>
      </c>
      <c r="I51" s="477">
        <v>3</v>
      </c>
      <c r="J51" s="525">
        <v>69306</v>
      </c>
      <c r="K51" s="476">
        <v>3</v>
      </c>
      <c r="L51" s="252">
        <v>215694</v>
      </c>
      <c r="M51" s="532">
        <v>3</v>
      </c>
      <c r="N51" s="439">
        <v>140792</v>
      </c>
      <c r="O51" s="532">
        <v>4</v>
      </c>
      <c r="P51" s="439">
        <v>482948</v>
      </c>
      <c r="Q51" s="532">
        <v>6</v>
      </c>
      <c r="R51" s="439">
        <v>506427</v>
      </c>
      <c r="S51" s="532">
        <v>3</v>
      </c>
      <c r="T51" s="439">
        <v>170213</v>
      </c>
      <c r="U51" s="532">
        <v>6</v>
      </c>
      <c r="V51" s="439">
        <v>356837</v>
      </c>
      <c r="W51" s="532">
        <v>3</v>
      </c>
      <c r="X51" s="439">
        <v>110444</v>
      </c>
      <c r="Y51" s="1592"/>
      <c r="Z51" s="1593"/>
      <c r="AA51" s="955"/>
      <c r="AB51" s="108">
        <f>AVERAGE(W51,U51,Q51,S51,O51)</f>
        <v>4.4000000000000004</v>
      </c>
      <c r="AC51" s="951">
        <f>AVERAGE(X51,V51,R51,T51,P51)</f>
        <v>325373.8</v>
      </c>
    </row>
    <row r="52" spans="1:29" s="3" customFormat="1" ht="8.25" customHeight="1" x14ac:dyDescent="0.2">
      <c r="B52" s="80"/>
      <c r="C52" s="916"/>
      <c r="D52" s="197"/>
      <c r="E52" s="838"/>
      <c r="F52" s="306"/>
      <c r="G52" s="551"/>
      <c r="H52" s="418"/>
      <c r="I52" s="255"/>
      <c r="J52" s="452"/>
      <c r="K52" s="551"/>
      <c r="L52" s="528"/>
      <c r="M52" s="530"/>
      <c r="N52" s="527"/>
      <c r="O52" s="530"/>
      <c r="P52" s="527"/>
      <c r="Q52" s="530"/>
      <c r="R52" s="527"/>
      <c r="S52" s="530"/>
      <c r="T52" s="527"/>
      <c r="U52" s="530"/>
      <c r="V52" s="527"/>
      <c r="W52" s="530"/>
      <c r="X52" s="527"/>
      <c r="Y52" s="1601"/>
      <c r="Z52" s="1602"/>
      <c r="AA52" s="955"/>
      <c r="AB52" s="1013"/>
      <c r="AC52" s="949"/>
    </row>
    <row r="53" spans="1:29" s="3" customFormat="1" thickBot="1" x14ac:dyDescent="0.25">
      <c r="B53" s="167" t="s">
        <v>16</v>
      </c>
      <c r="C53" s="913">
        <v>0</v>
      </c>
      <c r="D53" s="208">
        <v>0</v>
      </c>
      <c r="E53" s="839">
        <v>0</v>
      </c>
      <c r="F53" s="69">
        <v>63260</v>
      </c>
      <c r="G53" s="919">
        <v>2</v>
      </c>
      <c r="H53" s="1269">
        <v>170832</v>
      </c>
      <c r="I53" s="550">
        <v>0</v>
      </c>
      <c r="J53" s="453">
        <v>0</v>
      </c>
      <c r="K53" s="552">
        <v>1</v>
      </c>
      <c r="L53" s="253">
        <v>85320</v>
      </c>
      <c r="M53" s="552">
        <v>0</v>
      </c>
      <c r="N53" s="1152">
        <v>0</v>
      </c>
      <c r="O53" s="552">
        <v>2</v>
      </c>
      <c r="P53" s="509">
        <v>314246</v>
      </c>
      <c r="Q53" s="552">
        <v>0</v>
      </c>
      <c r="R53" s="509">
        <v>0</v>
      </c>
      <c r="S53" s="552">
        <v>2</v>
      </c>
      <c r="T53" s="509">
        <v>87469</v>
      </c>
      <c r="U53" s="552">
        <v>3</v>
      </c>
      <c r="V53" s="509">
        <v>171028</v>
      </c>
      <c r="W53" s="552">
        <v>1</v>
      </c>
      <c r="X53" s="509">
        <v>4000</v>
      </c>
      <c r="Y53" s="1447"/>
      <c r="Z53" s="1600"/>
      <c r="AA53" s="955"/>
      <c r="AB53" s="839">
        <f>AVERAGE(W53,U53,Q53,S53,O53)</f>
        <v>1.6</v>
      </c>
      <c r="AC53" s="1009">
        <f>AVERAGE(X53,V53,R53,T53,P53)</f>
        <v>115348.6</v>
      </c>
    </row>
    <row r="54" spans="1:29" s="3" customFormat="1" thickTop="1" x14ac:dyDescent="0.2">
      <c r="B54" s="81" t="s">
        <v>84</v>
      </c>
      <c r="C54" s="199"/>
      <c r="D54" s="209"/>
      <c r="E54" s="45"/>
      <c r="F54" s="323"/>
      <c r="G54" s="269"/>
      <c r="H54" s="419"/>
      <c r="I54" s="156"/>
      <c r="J54" s="307"/>
      <c r="K54" s="269"/>
      <c r="L54" s="307"/>
      <c r="M54" s="269"/>
      <c r="N54" s="419"/>
      <c r="O54" s="156"/>
      <c r="P54" s="419"/>
      <c r="Q54" s="156"/>
      <c r="R54" s="419"/>
      <c r="S54" s="156"/>
      <c r="T54" s="419"/>
      <c r="U54" s="156"/>
      <c r="V54" s="419"/>
      <c r="W54" s="156"/>
      <c r="X54" s="419"/>
      <c r="Y54" s="156"/>
      <c r="Z54" s="158"/>
      <c r="AA54" s="955"/>
      <c r="AB54" s="109"/>
      <c r="AC54" s="1030"/>
    </row>
    <row r="55" spans="1:29" s="3" customFormat="1" ht="12" x14ac:dyDescent="0.2">
      <c r="B55" s="337" t="s">
        <v>35</v>
      </c>
      <c r="C55" s="201"/>
      <c r="D55" s="210"/>
      <c r="E55" s="97"/>
      <c r="F55" s="34"/>
      <c r="G55" s="271"/>
      <c r="H55" s="420"/>
      <c r="I55" s="157"/>
      <c r="J55" s="135"/>
      <c r="K55" s="271"/>
      <c r="L55" s="135"/>
      <c r="M55" s="271"/>
      <c r="N55" s="420"/>
      <c r="O55" s="157"/>
      <c r="P55" s="420"/>
      <c r="Q55" s="157"/>
      <c r="R55" s="420"/>
      <c r="S55" s="157"/>
      <c r="T55" s="420"/>
      <c r="U55" s="157"/>
      <c r="V55" s="420"/>
      <c r="W55" s="157"/>
      <c r="X55" s="420"/>
      <c r="Y55" s="157"/>
      <c r="Z55" s="287"/>
      <c r="AA55" s="955"/>
      <c r="AB55" s="720"/>
      <c r="AC55" s="1011"/>
    </row>
    <row r="56" spans="1:29" s="3" customFormat="1" ht="12" x14ac:dyDescent="0.2">
      <c r="B56" s="338" t="s">
        <v>85</v>
      </c>
      <c r="C56" s="202"/>
      <c r="D56" s="232">
        <v>25275</v>
      </c>
      <c r="E56" s="35"/>
      <c r="F56" s="345">
        <v>29696.82</v>
      </c>
      <c r="G56" s="272"/>
      <c r="H56" s="534">
        <v>137018.35</v>
      </c>
      <c r="I56" s="254"/>
      <c r="J56" s="542">
        <v>200969.45</v>
      </c>
      <c r="K56" s="559"/>
      <c r="L56" s="555">
        <v>263510</v>
      </c>
      <c r="M56" s="559"/>
      <c r="N56" s="546">
        <v>24734</v>
      </c>
      <c r="O56" s="553"/>
      <c r="P56" s="546">
        <v>58204</v>
      </c>
      <c r="Q56" s="553"/>
      <c r="R56" s="546">
        <v>20316</v>
      </c>
      <c r="S56" s="553"/>
      <c r="T56" s="546">
        <v>24855.040000000001</v>
      </c>
      <c r="U56" s="553"/>
      <c r="V56" s="546">
        <v>20625.04</v>
      </c>
      <c r="W56" s="553"/>
      <c r="X56" s="546">
        <v>28145.39</v>
      </c>
      <c r="Y56" s="553"/>
      <c r="Z56" s="1577"/>
      <c r="AB56" s="1038"/>
      <c r="AC56" s="949">
        <f>AVERAGE(X56,V56,R56,T56,P56)</f>
        <v>30429.094000000001</v>
      </c>
    </row>
    <row r="57" spans="1:29" s="3" customFormat="1" thickBot="1" x14ac:dyDescent="0.25">
      <c r="B57" s="339" t="s">
        <v>86</v>
      </c>
      <c r="C57" s="204"/>
      <c r="D57" s="211">
        <v>0</v>
      </c>
      <c r="E57" s="37"/>
      <c r="F57" s="324">
        <v>0</v>
      </c>
      <c r="G57" s="274"/>
      <c r="H57" s="485">
        <v>130333.38</v>
      </c>
      <c r="I57" s="260"/>
      <c r="J57" s="455">
        <v>338372.97</v>
      </c>
      <c r="K57" s="274"/>
      <c r="L57" s="455">
        <v>568347.98</v>
      </c>
      <c r="M57" s="274"/>
      <c r="N57" s="485">
        <v>438072.27</v>
      </c>
      <c r="O57" s="260"/>
      <c r="P57" s="485">
        <v>500579</v>
      </c>
      <c r="Q57" s="260"/>
      <c r="R57" s="485">
        <v>592307</v>
      </c>
      <c r="S57" s="260"/>
      <c r="T57" s="485">
        <v>577937.15</v>
      </c>
      <c r="U57" s="260"/>
      <c r="V57" s="485">
        <v>633306.96</v>
      </c>
      <c r="W57" s="260"/>
      <c r="X57" s="485">
        <v>735331.26</v>
      </c>
      <c r="Y57" s="260"/>
      <c r="Z57" s="1578"/>
      <c r="AB57" s="1015"/>
      <c r="AC57" s="1024">
        <f t="shared" ref="AC57" si="7">AVERAGE(X57,V57,R57,T57,P57)</f>
        <v>607892.27399999998</v>
      </c>
    </row>
    <row r="58" spans="1:29" ht="13.5" thickTop="1" x14ac:dyDescent="0.2">
      <c r="A58" s="3"/>
      <c r="B58" s="96"/>
      <c r="C58" s="97"/>
      <c r="D58" s="98"/>
      <c r="E58" s="97"/>
      <c r="F58" s="34"/>
      <c r="G58" s="157"/>
      <c r="H58" s="135"/>
      <c r="I58" s="157"/>
      <c r="J58" s="135"/>
      <c r="K58" s="157"/>
      <c r="L58" s="135"/>
      <c r="M58" s="157"/>
      <c r="N58" s="135"/>
      <c r="O58" s="157"/>
      <c r="P58" s="135"/>
      <c r="Q58" s="157"/>
      <c r="R58" s="135"/>
      <c r="S58" s="157"/>
      <c r="T58" s="135"/>
      <c r="U58" s="157"/>
      <c r="V58" s="135"/>
      <c r="W58" s="157"/>
      <c r="X58" s="135"/>
      <c r="Y58" s="157"/>
      <c r="Z58" s="135"/>
      <c r="AA58" s="91"/>
      <c r="AB58" s="1042"/>
      <c r="AC58" s="1043"/>
    </row>
    <row r="59" spans="1:29" x14ac:dyDescent="0.2">
      <c r="A59" s="2" t="s">
        <v>76</v>
      </c>
      <c r="B59" s="96"/>
      <c r="C59" s="97"/>
      <c r="D59" s="98"/>
      <c r="E59" s="97"/>
      <c r="F59" s="34"/>
      <c r="G59" s="157"/>
      <c r="H59" s="135"/>
      <c r="I59" s="157"/>
      <c r="J59" s="135"/>
      <c r="K59" s="157"/>
      <c r="L59" s="135"/>
      <c r="M59" s="157"/>
      <c r="N59" s="135"/>
      <c r="O59" s="157"/>
      <c r="P59" s="135"/>
      <c r="Q59" s="157"/>
      <c r="R59" s="135"/>
      <c r="S59" s="157"/>
      <c r="T59" s="135"/>
      <c r="U59" s="157"/>
      <c r="V59" s="135"/>
      <c r="W59" s="157"/>
      <c r="X59" s="135"/>
      <c r="Y59" s="157"/>
      <c r="Z59" s="135"/>
    </row>
    <row r="60" spans="1:29" ht="13.5" thickBot="1" x14ac:dyDescent="0.25">
      <c r="A60" s="3"/>
      <c r="B60" s="96"/>
      <c r="C60" s="97"/>
      <c r="D60" s="98"/>
      <c r="E60" s="97"/>
      <c r="F60" s="34"/>
      <c r="G60" s="157"/>
      <c r="H60" s="135"/>
      <c r="I60" s="157"/>
      <c r="J60" s="135"/>
      <c r="K60" s="157"/>
      <c r="L60" s="135"/>
      <c r="M60" s="157"/>
      <c r="N60" s="135"/>
      <c r="O60" s="157"/>
      <c r="P60" s="135"/>
      <c r="Q60" s="157"/>
      <c r="R60" s="135"/>
      <c r="S60" s="157"/>
      <c r="T60" s="135"/>
      <c r="U60" s="157"/>
      <c r="V60" s="135"/>
      <c r="W60" s="157"/>
      <c r="X60" s="135"/>
      <c r="Y60" s="157"/>
      <c r="Z60" s="135"/>
    </row>
    <row r="61" spans="1:29" s="3" customFormat="1" ht="14.25" customHeight="1" thickTop="1" thickBot="1" x14ac:dyDescent="0.25">
      <c r="B61" s="340"/>
      <c r="C61" s="2013" t="s">
        <v>49</v>
      </c>
      <c r="D61" s="2014"/>
      <c r="E61" s="2015" t="s">
        <v>50</v>
      </c>
      <c r="F61" s="2015"/>
      <c r="G61" s="2002" t="s">
        <v>141</v>
      </c>
      <c r="H61" s="1982"/>
      <c r="I61" s="2081" t="s">
        <v>152</v>
      </c>
      <c r="J61" s="2081"/>
      <c r="K61" s="2082" t="s">
        <v>154</v>
      </c>
      <c r="L61" s="2081"/>
      <c r="M61" s="2082" t="s">
        <v>171</v>
      </c>
      <c r="N61" s="2083"/>
      <c r="O61" s="2081" t="s">
        <v>227</v>
      </c>
      <c r="P61" s="2083"/>
      <c r="Q61" s="2081" t="s">
        <v>237</v>
      </c>
      <c r="R61" s="2083"/>
      <c r="S61" s="2081" t="s">
        <v>272</v>
      </c>
      <c r="T61" s="2083"/>
      <c r="U61" s="2081" t="s">
        <v>274</v>
      </c>
      <c r="V61" s="2083"/>
      <c r="W61" s="2081" t="s">
        <v>280</v>
      </c>
      <c r="X61" s="2083"/>
      <c r="Y61" s="2081" t="s">
        <v>290</v>
      </c>
      <c r="Z61" s="2084"/>
      <c r="AB61" s="2003" t="s">
        <v>213</v>
      </c>
      <c r="AC61" s="2004"/>
    </row>
    <row r="62" spans="1:29" s="3" customFormat="1" ht="12" x14ac:dyDescent="0.2">
      <c r="B62" s="73" t="s">
        <v>53</v>
      </c>
      <c r="C62" s="54"/>
      <c r="D62" s="92"/>
      <c r="E62" s="30"/>
      <c r="F62" s="30"/>
      <c r="G62" s="243"/>
      <c r="H62" s="244"/>
      <c r="I62" s="151"/>
      <c r="J62" s="151"/>
      <c r="K62" s="265"/>
      <c r="L62" s="151"/>
      <c r="M62" s="265"/>
      <c r="N62" s="248"/>
      <c r="O62" s="151"/>
      <c r="P62" s="248"/>
      <c r="Q62" s="151"/>
      <c r="R62" s="248"/>
      <c r="S62" s="151"/>
      <c r="T62" s="248"/>
      <c r="U62" s="151"/>
      <c r="V62" s="248"/>
      <c r="W62" s="151"/>
      <c r="X62" s="248"/>
      <c r="Y62" s="151"/>
      <c r="Z62" s="152"/>
      <c r="AB62" s="831"/>
      <c r="AC62" s="930"/>
    </row>
    <row r="63" spans="1:29" s="3" customFormat="1" ht="12" x14ac:dyDescent="0.2">
      <c r="B63" s="74" t="s">
        <v>54</v>
      </c>
      <c r="C63" s="184"/>
      <c r="D63" s="165"/>
      <c r="E63" s="31"/>
      <c r="F63" s="171"/>
      <c r="G63" s="239"/>
      <c r="H63" s="261"/>
      <c r="I63" s="139"/>
      <c r="J63" s="183"/>
      <c r="K63" s="239"/>
      <c r="L63" s="183"/>
      <c r="M63" s="239"/>
      <c r="N63" s="261"/>
      <c r="O63" s="139"/>
      <c r="P63" s="261"/>
      <c r="Q63" s="139"/>
      <c r="R63" s="261"/>
      <c r="S63" s="139"/>
      <c r="T63" s="261"/>
      <c r="U63" s="139"/>
      <c r="V63" s="261"/>
      <c r="W63" s="139"/>
      <c r="X63" s="261"/>
      <c r="Y63" s="139"/>
      <c r="Z63" s="142"/>
      <c r="AB63" s="24"/>
      <c r="AC63" s="579"/>
    </row>
    <row r="64" spans="1:29" s="3" customFormat="1" ht="12" x14ac:dyDescent="0.2">
      <c r="B64" s="75" t="s">
        <v>55</v>
      </c>
      <c r="C64" s="184"/>
      <c r="D64" s="165">
        <v>12</v>
      </c>
      <c r="E64" s="31"/>
      <c r="F64" s="171">
        <v>12</v>
      </c>
      <c r="G64" s="239"/>
      <c r="H64" s="261">
        <v>13</v>
      </c>
      <c r="I64" s="139"/>
      <c r="J64" s="183">
        <v>13</v>
      </c>
      <c r="K64" s="239"/>
      <c r="L64" s="183">
        <v>12</v>
      </c>
      <c r="M64" s="239"/>
      <c r="N64" s="261">
        <v>16</v>
      </c>
      <c r="O64" s="139"/>
      <c r="P64" s="261">
        <v>15</v>
      </c>
      <c r="Q64" s="139"/>
      <c r="R64" s="261">
        <v>15</v>
      </c>
      <c r="S64" s="139"/>
      <c r="T64" s="261">
        <v>16</v>
      </c>
      <c r="U64" s="139"/>
      <c r="V64" s="261">
        <v>17</v>
      </c>
      <c r="W64" s="139"/>
      <c r="X64" s="261">
        <v>17</v>
      </c>
      <c r="Y64" s="139"/>
      <c r="Z64" s="142">
        <v>17</v>
      </c>
      <c r="AB64" s="12"/>
      <c r="AC64" s="1113">
        <f>AVERAGE(X64,V64,R64,T64,Z64)</f>
        <v>16.399999999999999</v>
      </c>
    </row>
    <row r="65" spans="2:29" s="3" customFormat="1" ht="12" x14ac:dyDescent="0.2">
      <c r="B65" s="75" t="s">
        <v>181</v>
      </c>
      <c r="C65" s="184"/>
      <c r="D65" s="165">
        <v>3</v>
      </c>
      <c r="E65" s="31"/>
      <c r="F65" s="171">
        <v>2</v>
      </c>
      <c r="G65" s="239"/>
      <c r="H65" s="261">
        <v>2</v>
      </c>
      <c r="I65" s="139"/>
      <c r="J65" s="183">
        <v>4</v>
      </c>
      <c r="K65" s="239"/>
      <c r="L65" s="183">
        <v>0</v>
      </c>
      <c r="M65" s="239"/>
      <c r="N65" s="261">
        <v>0</v>
      </c>
      <c r="O65" s="139"/>
      <c r="P65" s="261">
        <v>0</v>
      </c>
      <c r="Q65" s="139"/>
      <c r="R65" s="261">
        <v>0</v>
      </c>
      <c r="S65" s="139"/>
      <c r="T65" s="261">
        <v>0</v>
      </c>
      <c r="U65" s="139"/>
      <c r="V65" s="261">
        <v>0</v>
      </c>
      <c r="W65" s="139"/>
      <c r="X65" s="261">
        <v>0</v>
      </c>
      <c r="Y65" s="139"/>
      <c r="Z65" s="142">
        <v>1</v>
      </c>
      <c r="AB65" s="12"/>
      <c r="AC65" s="1113">
        <f t="shared" ref="AC65:AC69" si="8">AVERAGE(X65,V65,R65,T65,Z65)</f>
        <v>0.2</v>
      </c>
    </row>
    <row r="66" spans="2:29" s="3" customFormat="1" ht="12" x14ac:dyDescent="0.2">
      <c r="B66" s="74" t="s">
        <v>57</v>
      </c>
      <c r="C66" s="184"/>
      <c r="D66" s="94"/>
      <c r="E66" s="31"/>
      <c r="F66" s="39"/>
      <c r="G66" s="239"/>
      <c r="H66" s="240"/>
      <c r="I66" s="139"/>
      <c r="J66" s="241"/>
      <c r="K66" s="239"/>
      <c r="L66" s="241"/>
      <c r="M66" s="239"/>
      <c r="N66" s="240"/>
      <c r="O66" s="139"/>
      <c r="P66" s="240"/>
      <c r="Q66" s="139"/>
      <c r="R66" s="240"/>
      <c r="S66" s="139"/>
      <c r="T66" s="240"/>
      <c r="U66" s="139"/>
      <c r="V66" s="240"/>
      <c r="W66" s="139"/>
      <c r="X66" s="240"/>
      <c r="Y66" s="139"/>
      <c r="Z66" s="143"/>
      <c r="AB66" s="12"/>
      <c r="AC66" s="1113"/>
    </row>
    <row r="67" spans="2:29" s="3" customFormat="1" ht="12" x14ac:dyDescent="0.2">
      <c r="B67" s="75" t="s">
        <v>55</v>
      </c>
      <c r="C67" s="184"/>
      <c r="D67" s="94">
        <v>0</v>
      </c>
      <c r="E67" s="31"/>
      <c r="F67" s="39">
        <v>0</v>
      </c>
      <c r="G67" s="239"/>
      <c r="H67" s="240">
        <v>0</v>
      </c>
      <c r="I67" s="139"/>
      <c r="J67" s="241">
        <v>0</v>
      </c>
      <c r="K67" s="239"/>
      <c r="L67" s="241">
        <v>6</v>
      </c>
      <c r="M67" s="239"/>
      <c r="N67" s="240">
        <v>0</v>
      </c>
      <c r="O67" s="139"/>
      <c r="P67" s="240">
        <v>0</v>
      </c>
      <c r="Q67" s="139"/>
      <c r="R67" s="240">
        <v>0</v>
      </c>
      <c r="S67" s="139"/>
      <c r="T67" s="240">
        <v>0</v>
      </c>
      <c r="U67" s="139"/>
      <c r="V67" s="240">
        <v>0</v>
      </c>
      <c r="W67" s="139"/>
      <c r="X67" s="240">
        <v>0</v>
      </c>
      <c r="Y67" s="139"/>
      <c r="Z67" s="143">
        <v>0</v>
      </c>
      <c r="AB67" s="12"/>
      <c r="AC67" s="1113">
        <f t="shared" si="8"/>
        <v>0</v>
      </c>
    </row>
    <row r="68" spans="2:29" s="3" customFormat="1" ht="12" x14ac:dyDescent="0.2">
      <c r="B68" s="341" t="s">
        <v>181</v>
      </c>
      <c r="C68" s="184"/>
      <c r="D68" s="94">
        <v>0</v>
      </c>
      <c r="E68" s="31"/>
      <c r="F68" s="39">
        <v>0</v>
      </c>
      <c r="G68" s="239"/>
      <c r="H68" s="240">
        <v>0</v>
      </c>
      <c r="I68" s="139"/>
      <c r="J68" s="241">
        <v>0</v>
      </c>
      <c r="K68" s="239"/>
      <c r="L68" s="241">
        <v>0</v>
      </c>
      <c r="M68" s="239"/>
      <c r="N68" s="240">
        <v>1</v>
      </c>
      <c r="O68" s="139"/>
      <c r="P68" s="240">
        <v>1</v>
      </c>
      <c r="Q68" s="139"/>
      <c r="R68" s="240">
        <v>0</v>
      </c>
      <c r="S68" s="139"/>
      <c r="T68" s="240">
        <v>0</v>
      </c>
      <c r="U68" s="139"/>
      <c r="V68" s="240">
        <v>0</v>
      </c>
      <c r="W68" s="139"/>
      <c r="X68" s="240">
        <v>0</v>
      </c>
      <c r="Y68" s="139"/>
      <c r="Z68" s="143">
        <v>0</v>
      </c>
      <c r="AB68" s="12"/>
      <c r="AC68" s="1113">
        <f t="shared" si="8"/>
        <v>0</v>
      </c>
    </row>
    <row r="69" spans="2:29" s="3" customFormat="1" thickBot="1" x14ac:dyDescent="0.25">
      <c r="B69" s="79" t="s">
        <v>13</v>
      </c>
      <c r="C69" s="233"/>
      <c r="D69" s="234">
        <f>SUM(D64:D68)</f>
        <v>15</v>
      </c>
      <c r="E69" s="107"/>
      <c r="F69" s="106">
        <f>SUM(F64:F68)</f>
        <v>14</v>
      </c>
      <c r="G69" s="297"/>
      <c r="H69" s="427">
        <v>15</v>
      </c>
      <c r="I69" s="426"/>
      <c r="J69" s="454">
        <f>SUM(J64:J68)</f>
        <v>17</v>
      </c>
      <c r="K69" s="297"/>
      <c r="L69" s="454">
        <f>SUM(L64:L68)</f>
        <v>18</v>
      </c>
      <c r="M69" s="297"/>
      <c r="N69" s="427">
        <f>SUM(N64:N68)</f>
        <v>17</v>
      </c>
      <c r="O69" s="426"/>
      <c r="P69" s="427">
        <f>SUM(P64:P68)</f>
        <v>16</v>
      </c>
      <c r="Q69" s="426"/>
      <c r="R69" s="427">
        <f>SUM(R64:R68)</f>
        <v>15</v>
      </c>
      <c r="S69" s="426"/>
      <c r="T69" s="427">
        <f>SUM(T64:T68)</f>
        <v>16</v>
      </c>
      <c r="U69" s="426"/>
      <c r="V69" s="427">
        <f>SUM(V64:V68)</f>
        <v>17</v>
      </c>
      <c r="W69" s="426"/>
      <c r="X69" s="427">
        <f>SUM(X64:X68)</f>
        <v>17</v>
      </c>
      <c r="Y69" s="426"/>
      <c r="Z69" s="374">
        <f>SUM(Z64:Z68)</f>
        <v>18</v>
      </c>
      <c r="AB69" s="831"/>
      <c r="AC69" s="1114">
        <f t="shared" si="8"/>
        <v>16.600000000000001</v>
      </c>
    </row>
    <row r="70" spans="2:29" s="3" customFormat="1" thickTop="1" x14ac:dyDescent="0.2">
      <c r="B70" s="342" t="s">
        <v>135</v>
      </c>
      <c r="C70" s="392"/>
      <c r="D70" s="393"/>
      <c r="E70" s="43" t="s">
        <v>133</v>
      </c>
      <c r="F70" s="41" t="s">
        <v>134</v>
      </c>
      <c r="G70" s="317" t="s">
        <v>133</v>
      </c>
      <c r="H70" s="412" t="s">
        <v>134</v>
      </c>
      <c r="I70" s="411" t="s">
        <v>133</v>
      </c>
      <c r="J70" s="449" t="s">
        <v>134</v>
      </c>
      <c r="K70" s="317" t="s">
        <v>133</v>
      </c>
      <c r="L70" s="449" t="s">
        <v>134</v>
      </c>
      <c r="M70" s="317" t="s">
        <v>133</v>
      </c>
      <c r="N70" s="441" t="s">
        <v>134</v>
      </c>
      <c r="O70" s="411" t="s">
        <v>133</v>
      </c>
      <c r="P70" s="412" t="s">
        <v>134</v>
      </c>
      <c r="Q70" s="411" t="s">
        <v>133</v>
      </c>
      <c r="R70" s="412" t="s">
        <v>134</v>
      </c>
      <c r="S70" s="411" t="s">
        <v>133</v>
      </c>
      <c r="T70" s="412" t="s">
        <v>134</v>
      </c>
      <c r="U70" s="411" t="s">
        <v>133</v>
      </c>
      <c r="V70" s="412" t="s">
        <v>134</v>
      </c>
      <c r="W70" s="411" t="s">
        <v>133</v>
      </c>
      <c r="X70" s="412" t="s">
        <v>134</v>
      </c>
      <c r="Y70" s="411" t="s">
        <v>133</v>
      </c>
      <c r="Z70" s="289" t="s">
        <v>134</v>
      </c>
      <c r="AB70" s="952" t="s">
        <v>133</v>
      </c>
      <c r="AC70" s="862" t="s">
        <v>134</v>
      </c>
    </row>
    <row r="71" spans="2:29" s="3" customFormat="1" ht="12" x14ac:dyDescent="0.2">
      <c r="B71" s="75" t="s">
        <v>87</v>
      </c>
      <c r="C71" s="319">
        <v>12</v>
      </c>
      <c r="D71" s="216">
        <f>C71/D$69</f>
        <v>0.8</v>
      </c>
      <c r="E71" s="173">
        <v>10</v>
      </c>
      <c r="F71" s="221">
        <f t="shared" ref="F71:F78" si="9">E71/F$69</f>
        <v>0.7142857142857143</v>
      </c>
      <c r="G71" s="215">
        <v>12</v>
      </c>
      <c r="H71" s="216">
        <f t="shared" ref="H71:J78" si="10">G71/H$69</f>
        <v>0.8</v>
      </c>
      <c r="I71" s="173">
        <v>12</v>
      </c>
      <c r="J71" s="221">
        <f t="shared" si="10"/>
        <v>0.70588235294117652</v>
      </c>
      <c r="K71" s="215">
        <v>15</v>
      </c>
      <c r="L71" s="221">
        <f t="shared" ref="L71:N78" si="11">K71/L$69</f>
        <v>0.83333333333333337</v>
      </c>
      <c r="M71" s="215">
        <f>12+1</f>
        <v>13</v>
      </c>
      <c r="N71" s="216">
        <f t="shared" si="11"/>
        <v>0.76470588235294112</v>
      </c>
      <c r="O71" s="173">
        <v>13</v>
      </c>
      <c r="P71" s="216">
        <f t="shared" ref="P71:T78" si="12">O71/P$69</f>
        <v>0.8125</v>
      </c>
      <c r="Q71" s="173">
        <v>12</v>
      </c>
      <c r="R71" s="216">
        <f t="shared" si="12"/>
        <v>0.8</v>
      </c>
      <c r="S71" s="173">
        <f>12</f>
        <v>12</v>
      </c>
      <c r="T71" s="216">
        <f t="shared" si="12"/>
        <v>0.75</v>
      </c>
      <c r="U71" s="173">
        <v>13</v>
      </c>
      <c r="V71" s="216">
        <f t="shared" ref="V71:V78" si="13">U71/V$69</f>
        <v>0.76470588235294112</v>
      </c>
      <c r="W71" s="173">
        <v>13</v>
      </c>
      <c r="X71" s="216">
        <f t="shared" ref="X71:Z78" si="14">W71/X$69</f>
        <v>0.76470588235294112</v>
      </c>
      <c r="Y71" s="173">
        <v>13</v>
      </c>
      <c r="Z71" s="1494">
        <f t="shared" si="14"/>
        <v>0.72222222222222221</v>
      </c>
      <c r="AA71" s="955"/>
      <c r="AB71" s="1016">
        <f t="shared" ref="AB71:AB90" si="15">AVERAGE(W71,U71,Q71,S71,Y71)</f>
        <v>12.6</v>
      </c>
      <c r="AC71" s="863">
        <f t="shared" ref="AC71:AC90" si="16">AVERAGE(X71,V71,R71,T71,Z71)</f>
        <v>0.76032679738562092</v>
      </c>
    </row>
    <row r="72" spans="2:29" s="3" customFormat="1" ht="12" x14ac:dyDescent="0.2">
      <c r="B72" s="85" t="s">
        <v>88</v>
      </c>
      <c r="C72" s="319">
        <v>1</v>
      </c>
      <c r="D72" s="216">
        <f t="shared" ref="D72:D90" si="17">C72/$D$69</f>
        <v>6.6666666666666666E-2</v>
      </c>
      <c r="E72" s="173">
        <v>1</v>
      </c>
      <c r="F72" s="221">
        <f t="shared" si="9"/>
        <v>7.1428571428571425E-2</v>
      </c>
      <c r="G72" s="215">
        <v>1</v>
      </c>
      <c r="H72" s="216">
        <f t="shared" si="10"/>
        <v>6.6666666666666666E-2</v>
      </c>
      <c r="I72" s="173">
        <v>1</v>
      </c>
      <c r="J72" s="221">
        <f t="shared" si="10"/>
        <v>5.8823529411764705E-2</v>
      </c>
      <c r="K72" s="215">
        <v>1</v>
      </c>
      <c r="L72" s="221">
        <f t="shared" si="11"/>
        <v>5.5555555555555552E-2</v>
      </c>
      <c r="M72" s="215">
        <v>1</v>
      </c>
      <c r="N72" s="216">
        <f t="shared" si="11"/>
        <v>5.8823529411764705E-2</v>
      </c>
      <c r="O72" s="173">
        <v>1</v>
      </c>
      <c r="P72" s="216">
        <f t="shared" si="12"/>
        <v>6.25E-2</v>
      </c>
      <c r="Q72" s="173">
        <v>1</v>
      </c>
      <c r="R72" s="216">
        <f t="shared" si="12"/>
        <v>6.6666666666666666E-2</v>
      </c>
      <c r="S72" s="173">
        <f>1</f>
        <v>1</v>
      </c>
      <c r="T72" s="216">
        <f t="shared" si="12"/>
        <v>6.25E-2</v>
      </c>
      <c r="U72" s="173">
        <v>1</v>
      </c>
      <c r="V72" s="216">
        <f t="shared" si="13"/>
        <v>5.8823529411764705E-2</v>
      </c>
      <c r="W72" s="173">
        <v>1</v>
      </c>
      <c r="X72" s="216">
        <f t="shared" si="14"/>
        <v>5.8823529411764705E-2</v>
      </c>
      <c r="Y72" s="173">
        <v>1</v>
      </c>
      <c r="Z72" s="1494">
        <f t="shared" si="14"/>
        <v>5.5555555555555552E-2</v>
      </c>
      <c r="AA72" s="955"/>
      <c r="AB72" s="1016">
        <f t="shared" si="15"/>
        <v>1</v>
      </c>
      <c r="AC72" s="863">
        <f t="shared" si="16"/>
        <v>6.0473856209150335E-2</v>
      </c>
    </row>
    <row r="73" spans="2:29" s="3" customFormat="1" ht="12" x14ac:dyDescent="0.2">
      <c r="B73" s="85" t="s">
        <v>89</v>
      </c>
      <c r="C73" s="319">
        <v>0</v>
      </c>
      <c r="D73" s="216">
        <f t="shared" si="17"/>
        <v>0</v>
      </c>
      <c r="E73" s="173">
        <v>0</v>
      </c>
      <c r="F73" s="221">
        <f t="shared" si="9"/>
        <v>0</v>
      </c>
      <c r="G73" s="215">
        <v>0</v>
      </c>
      <c r="H73" s="216">
        <f t="shared" si="10"/>
        <v>0</v>
      </c>
      <c r="I73" s="173">
        <v>0</v>
      </c>
      <c r="J73" s="221">
        <f t="shared" si="10"/>
        <v>0</v>
      </c>
      <c r="K73" s="215">
        <v>0</v>
      </c>
      <c r="L73" s="221">
        <f t="shared" si="11"/>
        <v>0</v>
      </c>
      <c r="M73" s="215">
        <v>0</v>
      </c>
      <c r="N73" s="216">
        <f t="shared" si="11"/>
        <v>0</v>
      </c>
      <c r="O73" s="173">
        <v>0</v>
      </c>
      <c r="P73" s="216">
        <f t="shared" si="12"/>
        <v>0</v>
      </c>
      <c r="Q73" s="173">
        <v>0</v>
      </c>
      <c r="R73" s="216">
        <f t="shared" si="12"/>
        <v>0</v>
      </c>
      <c r="S73" s="173">
        <f>0</f>
        <v>0</v>
      </c>
      <c r="T73" s="216">
        <f t="shared" si="12"/>
        <v>0</v>
      </c>
      <c r="U73" s="173">
        <v>0</v>
      </c>
      <c r="V73" s="216">
        <f t="shared" si="13"/>
        <v>0</v>
      </c>
      <c r="W73" s="173">
        <v>0</v>
      </c>
      <c r="X73" s="216">
        <f t="shared" si="14"/>
        <v>0</v>
      </c>
      <c r="Y73" s="173">
        <v>0</v>
      </c>
      <c r="Z73" s="1494">
        <f t="shared" si="14"/>
        <v>0</v>
      </c>
      <c r="AA73" s="955"/>
      <c r="AB73" s="1016">
        <f t="shared" si="15"/>
        <v>0</v>
      </c>
      <c r="AC73" s="863">
        <f t="shared" si="16"/>
        <v>0</v>
      </c>
    </row>
    <row r="74" spans="2:29" s="3" customFormat="1" ht="12" x14ac:dyDescent="0.2">
      <c r="B74" s="85" t="s">
        <v>90</v>
      </c>
      <c r="C74" s="319">
        <v>0</v>
      </c>
      <c r="D74" s="216">
        <f t="shared" si="17"/>
        <v>0</v>
      </c>
      <c r="E74" s="173">
        <v>0</v>
      </c>
      <c r="F74" s="221">
        <f t="shared" si="9"/>
        <v>0</v>
      </c>
      <c r="G74" s="215">
        <v>0</v>
      </c>
      <c r="H74" s="216">
        <f t="shared" si="10"/>
        <v>0</v>
      </c>
      <c r="I74" s="173">
        <v>1</v>
      </c>
      <c r="J74" s="221">
        <f t="shared" si="10"/>
        <v>5.8823529411764705E-2</v>
      </c>
      <c r="K74" s="215">
        <v>0</v>
      </c>
      <c r="L74" s="221">
        <f t="shared" si="11"/>
        <v>0</v>
      </c>
      <c r="M74" s="215">
        <v>0</v>
      </c>
      <c r="N74" s="216">
        <f t="shared" si="11"/>
        <v>0</v>
      </c>
      <c r="O74" s="173">
        <v>0</v>
      </c>
      <c r="P74" s="216">
        <f t="shared" si="12"/>
        <v>0</v>
      </c>
      <c r="Q74" s="173">
        <v>0</v>
      </c>
      <c r="R74" s="216">
        <f t="shared" si="12"/>
        <v>0</v>
      </c>
      <c r="S74" s="173">
        <f>0</f>
        <v>0</v>
      </c>
      <c r="T74" s="216">
        <f t="shared" si="12"/>
        <v>0</v>
      </c>
      <c r="U74" s="173">
        <v>0</v>
      </c>
      <c r="V74" s="216">
        <f t="shared" si="13"/>
        <v>0</v>
      </c>
      <c r="W74" s="173">
        <v>0</v>
      </c>
      <c r="X74" s="216">
        <f t="shared" si="14"/>
        <v>0</v>
      </c>
      <c r="Y74" s="173">
        <v>0</v>
      </c>
      <c r="Z74" s="1494">
        <f t="shared" si="14"/>
        <v>0</v>
      </c>
      <c r="AA74" s="955"/>
      <c r="AB74" s="1016">
        <f t="shared" si="15"/>
        <v>0</v>
      </c>
      <c r="AC74" s="863">
        <f t="shared" si="16"/>
        <v>0</v>
      </c>
    </row>
    <row r="75" spans="2:29" s="3" customFormat="1" ht="12" x14ac:dyDescent="0.2">
      <c r="B75" s="85" t="s">
        <v>91</v>
      </c>
      <c r="C75" s="319">
        <v>2</v>
      </c>
      <c r="D75" s="216">
        <f t="shared" si="17"/>
        <v>0.13333333333333333</v>
      </c>
      <c r="E75" s="173">
        <v>2</v>
      </c>
      <c r="F75" s="221">
        <f t="shared" si="9"/>
        <v>0.14285714285714285</v>
      </c>
      <c r="G75" s="215">
        <v>2</v>
      </c>
      <c r="H75" s="216">
        <f t="shared" si="10"/>
        <v>0.13333333333333333</v>
      </c>
      <c r="I75" s="173">
        <v>2</v>
      </c>
      <c r="J75" s="221">
        <f t="shared" si="10"/>
        <v>0.11764705882352941</v>
      </c>
      <c r="K75" s="215">
        <v>2</v>
      </c>
      <c r="L75" s="221">
        <f t="shared" si="11"/>
        <v>0.1111111111111111</v>
      </c>
      <c r="M75" s="215">
        <v>2</v>
      </c>
      <c r="N75" s="216">
        <f t="shared" si="11"/>
        <v>0.11764705882352941</v>
      </c>
      <c r="O75" s="173">
        <v>2</v>
      </c>
      <c r="P75" s="216">
        <f t="shared" si="12"/>
        <v>0.125</v>
      </c>
      <c r="Q75" s="173">
        <v>2</v>
      </c>
      <c r="R75" s="216">
        <f t="shared" si="12"/>
        <v>0.13333333333333333</v>
      </c>
      <c r="S75" s="173">
        <f>3</f>
        <v>3</v>
      </c>
      <c r="T75" s="216">
        <f t="shared" si="12"/>
        <v>0.1875</v>
      </c>
      <c r="U75" s="173">
        <v>2</v>
      </c>
      <c r="V75" s="216">
        <f t="shared" si="13"/>
        <v>0.11764705882352941</v>
      </c>
      <c r="W75" s="173">
        <v>1</v>
      </c>
      <c r="X75" s="216">
        <f t="shared" si="14"/>
        <v>5.8823529411764705E-2</v>
      </c>
      <c r="Y75" s="173">
        <v>2</v>
      </c>
      <c r="Z75" s="1494">
        <f t="shared" si="14"/>
        <v>0.1111111111111111</v>
      </c>
      <c r="AA75" s="955"/>
      <c r="AB75" s="1016">
        <f t="shared" si="15"/>
        <v>2</v>
      </c>
      <c r="AC75" s="863">
        <f t="shared" si="16"/>
        <v>0.12168300653594773</v>
      </c>
    </row>
    <row r="76" spans="2:29" s="3" customFormat="1" ht="12" x14ac:dyDescent="0.2">
      <c r="B76" s="85" t="s">
        <v>92</v>
      </c>
      <c r="C76" s="319">
        <v>0</v>
      </c>
      <c r="D76" s="216">
        <f t="shared" si="17"/>
        <v>0</v>
      </c>
      <c r="E76" s="173">
        <v>1</v>
      </c>
      <c r="F76" s="221">
        <f t="shared" si="9"/>
        <v>7.1428571428571425E-2</v>
      </c>
      <c r="G76" s="215">
        <v>0</v>
      </c>
      <c r="H76" s="216">
        <f t="shared" si="10"/>
        <v>0</v>
      </c>
      <c r="I76" s="173">
        <v>1</v>
      </c>
      <c r="J76" s="221">
        <f t="shared" si="10"/>
        <v>5.8823529411764705E-2</v>
      </c>
      <c r="K76" s="215">
        <v>0</v>
      </c>
      <c r="L76" s="221">
        <f t="shared" si="11"/>
        <v>0</v>
      </c>
      <c r="M76" s="215">
        <v>1</v>
      </c>
      <c r="N76" s="216">
        <f t="shared" si="11"/>
        <v>5.8823529411764705E-2</v>
      </c>
      <c r="O76" s="173">
        <v>0</v>
      </c>
      <c r="P76" s="216">
        <f t="shared" si="12"/>
        <v>0</v>
      </c>
      <c r="Q76" s="173">
        <v>0</v>
      </c>
      <c r="R76" s="216">
        <f t="shared" si="12"/>
        <v>0</v>
      </c>
      <c r="S76" s="173">
        <f>0</f>
        <v>0</v>
      </c>
      <c r="T76" s="216">
        <f t="shared" si="12"/>
        <v>0</v>
      </c>
      <c r="U76" s="173">
        <v>1</v>
      </c>
      <c r="V76" s="216">
        <f t="shared" si="13"/>
        <v>5.8823529411764705E-2</v>
      </c>
      <c r="W76" s="173">
        <v>2</v>
      </c>
      <c r="X76" s="216">
        <f t="shared" si="14"/>
        <v>0.11764705882352941</v>
      </c>
      <c r="Y76" s="173">
        <v>2</v>
      </c>
      <c r="Z76" s="1494">
        <f t="shared" si="14"/>
        <v>0.1111111111111111</v>
      </c>
      <c r="AA76" s="955"/>
      <c r="AB76" s="1016">
        <f t="shared" si="15"/>
        <v>1</v>
      </c>
      <c r="AC76" s="863">
        <f t="shared" si="16"/>
        <v>5.7516339869281043E-2</v>
      </c>
    </row>
    <row r="77" spans="2:29" s="3" customFormat="1" ht="12" x14ac:dyDescent="0.2">
      <c r="B77" s="85" t="s">
        <v>256</v>
      </c>
      <c r="C77" s="346"/>
      <c r="D77" s="216"/>
      <c r="E77" s="174"/>
      <c r="F77" s="221"/>
      <c r="G77" s="1510"/>
      <c r="H77" s="1511"/>
      <c r="I77" s="1512"/>
      <c r="J77" s="1513"/>
      <c r="K77" s="1510"/>
      <c r="L77" s="1513"/>
      <c r="M77" s="1510"/>
      <c r="N77" s="1511"/>
      <c r="O77" s="1512"/>
      <c r="P77" s="1511"/>
      <c r="Q77" s="174">
        <v>0</v>
      </c>
      <c r="R77" s="216">
        <f t="shared" si="12"/>
        <v>0</v>
      </c>
      <c r="S77" s="174">
        <f>0</f>
        <v>0</v>
      </c>
      <c r="T77" s="216">
        <f t="shared" si="12"/>
        <v>0</v>
      </c>
      <c r="U77" s="174">
        <v>0</v>
      </c>
      <c r="V77" s="216">
        <f t="shared" si="13"/>
        <v>0</v>
      </c>
      <c r="W77" s="174">
        <v>0</v>
      </c>
      <c r="X77" s="216">
        <f t="shared" si="14"/>
        <v>0</v>
      </c>
      <c r="Y77" s="174">
        <v>0</v>
      </c>
      <c r="Z77" s="1494">
        <f t="shared" si="14"/>
        <v>0</v>
      </c>
      <c r="AA77" s="955"/>
      <c r="AB77" s="1016">
        <f t="shared" si="15"/>
        <v>0</v>
      </c>
      <c r="AC77" s="863">
        <f t="shared" si="16"/>
        <v>0</v>
      </c>
    </row>
    <row r="78" spans="2:29" s="3" customFormat="1" ht="12" x14ac:dyDescent="0.2">
      <c r="B78" s="75" t="s">
        <v>93</v>
      </c>
      <c r="C78" s="346">
        <v>0</v>
      </c>
      <c r="D78" s="216">
        <f t="shared" si="17"/>
        <v>0</v>
      </c>
      <c r="E78" s="174">
        <v>0</v>
      </c>
      <c r="F78" s="221">
        <f t="shared" si="9"/>
        <v>0</v>
      </c>
      <c r="G78" s="217">
        <v>0</v>
      </c>
      <c r="H78" s="216">
        <f t="shared" si="10"/>
        <v>0</v>
      </c>
      <c r="I78" s="174">
        <v>0</v>
      </c>
      <c r="J78" s="221">
        <f t="shared" si="10"/>
        <v>0</v>
      </c>
      <c r="K78" s="217">
        <v>0</v>
      </c>
      <c r="L78" s="221">
        <f t="shared" si="11"/>
        <v>0</v>
      </c>
      <c r="M78" s="217">
        <v>0</v>
      </c>
      <c r="N78" s="216">
        <f t="shared" si="11"/>
        <v>0</v>
      </c>
      <c r="O78" s="174">
        <v>0</v>
      </c>
      <c r="P78" s="216">
        <f t="shared" si="12"/>
        <v>0</v>
      </c>
      <c r="Q78" s="174">
        <v>0</v>
      </c>
      <c r="R78" s="216">
        <f t="shared" si="12"/>
        <v>0</v>
      </c>
      <c r="S78" s="174">
        <f>0</f>
        <v>0</v>
      </c>
      <c r="T78" s="216">
        <f t="shared" si="12"/>
        <v>0</v>
      </c>
      <c r="U78" s="174">
        <v>0</v>
      </c>
      <c r="V78" s="216">
        <f t="shared" si="13"/>
        <v>0</v>
      </c>
      <c r="W78" s="174">
        <v>0</v>
      </c>
      <c r="X78" s="216">
        <f t="shared" si="14"/>
        <v>0</v>
      </c>
      <c r="Y78" s="174">
        <v>0</v>
      </c>
      <c r="Z78" s="1494">
        <f t="shared" si="14"/>
        <v>0</v>
      </c>
      <c r="AA78" s="955"/>
      <c r="AB78" s="1016">
        <f t="shared" si="15"/>
        <v>0</v>
      </c>
      <c r="AC78" s="863">
        <f t="shared" si="16"/>
        <v>0</v>
      </c>
    </row>
    <row r="79" spans="2:29" s="3" customFormat="1" ht="12" x14ac:dyDescent="0.2">
      <c r="B79" s="343" t="s">
        <v>136</v>
      </c>
      <c r="C79" s="218"/>
      <c r="D79" s="216"/>
      <c r="E79" s="226"/>
      <c r="F79" s="310"/>
      <c r="G79" s="326"/>
      <c r="H79" s="394"/>
      <c r="I79" s="226"/>
      <c r="J79" s="310"/>
      <c r="K79" s="326"/>
      <c r="L79" s="310"/>
      <c r="M79" s="326"/>
      <c r="N79" s="394"/>
      <c r="O79" s="226"/>
      <c r="P79" s="394"/>
      <c r="Q79" s="226"/>
      <c r="R79" s="394"/>
      <c r="S79" s="226"/>
      <c r="T79" s="394"/>
      <c r="U79" s="226"/>
      <c r="V79" s="394"/>
      <c r="W79" s="226"/>
      <c r="X79" s="394"/>
      <c r="Y79" s="226"/>
      <c r="Z79" s="1500"/>
      <c r="AA79" s="955"/>
      <c r="AB79" s="1016"/>
      <c r="AC79" s="863"/>
    </row>
    <row r="80" spans="2:29" s="3" customFormat="1" ht="12" x14ac:dyDescent="0.2">
      <c r="B80" s="75" t="s">
        <v>124</v>
      </c>
      <c r="C80" s="230">
        <v>12</v>
      </c>
      <c r="D80" s="216">
        <f t="shared" si="17"/>
        <v>0.8</v>
      </c>
      <c r="E80" s="171">
        <v>11</v>
      </c>
      <c r="F80" s="311">
        <f>E80/F$69</f>
        <v>0.7857142857142857</v>
      </c>
      <c r="G80" s="229">
        <v>12</v>
      </c>
      <c r="H80" s="395">
        <f>G80/H$69</f>
        <v>0.8</v>
      </c>
      <c r="I80" s="183">
        <v>14</v>
      </c>
      <c r="J80" s="221">
        <f>I80/J$69</f>
        <v>0.82352941176470584</v>
      </c>
      <c r="K80" s="229">
        <v>16</v>
      </c>
      <c r="L80" s="221">
        <f>K80/L$69</f>
        <v>0.88888888888888884</v>
      </c>
      <c r="M80" s="229">
        <f>13+1</f>
        <v>14</v>
      </c>
      <c r="N80" s="216">
        <f>M80/N$69</f>
        <v>0.82352941176470584</v>
      </c>
      <c r="O80" s="183">
        <v>12</v>
      </c>
      <c r="P80" s="216">
        <f>O80/P$69</f>
        <v>0.75</v>
      </c>
      <c r="Q80" s="183">
        <v>11</v>
      </c>
      <c r="R80" s="216">
        <f>Q80/R$69</f>
        <v>0.73333333333333328</v>
      </c>
      <c r="S80" s="183">
        <v>12</v>
      </c>
      <c r="T80" s="216">
        <f>S80/T$69</f>
        <v>0.75</v>
      </c>
      <c r="U80" s="183">
        <v>13</v>
      </c>
      <c r="V80" s="216">
        <f>U80/V$69</f>
        <v>0.76470588235294112</v>
      </c>
      <c r="W80" s="183">
        <v>13</v>
      </c>
      <c r="X80" s="216">
        <f>W80/X$69</f>
        <v>0.76470588235294112</v>
      </c>
      <c r="Y80" s="183">
        <v>14</v>
      </c>
      <c r="Z80" s="1494">
        <f>Y80/Z$69</f>
        <v>0.77777777777777779</v>
      </c>
      <c r="AA80" s="955"/>
      <c r="AB80" s="1016">
        <f t="shared" si="15"/>
        <v>12.6</v>
      </c>
      <c r="AC80" s="863">
        <f t="shared" si="16"/>
        <v>0.75810457516339869</v>
      </c>
    </row>
    <row r="81" spans="1:31" s="3" customFormat="1" ht="12" x14ac:dyDescent="0.2">
      <c r="B81" s="75" t="s">
        <v>125</v>
      </c>
      <c r="C81" s="230">
        <v>3</v>
      </c>
      <c r="D81" s="216">
        <f t="shared" si="17"/>
        <v>0.2</v>
      </c>
      <c r="E81" s="223">
        <v>3</v>
      </c>
      <c r="F81" s="311">
        <f>E81/F$69</f>
        <v>0.21428571428571427</v>
      </c>
      <c r="G81" s="230">
        <v>3</v>
      </c>
      <c r="H81" s="395">
        <f>G81/H$69</f>
        <v>0.2</v>
      </c>
      <c r="I81" s="283">
        <v>3</v>
      </c>
      <c r="J81" s="221">
        <f>I81/J$69</f>
        <v>0.17647058823529413</v>
      </c>
      <c r="K81" s="230">
        <v>3</v>
      </c>
      <c r="L81" s="221">
        <f>K81/L$69</f>
        <v>0.16666666666666666</v>
      </c>
      <c r="M81" s="230">
        <v>3</v>
      </c>
      <c r="N81" s="216">
        <f>M81/N$69</f>
        <v>0.17647058823529413</v>
      </c>
      <c r="O81" s="283">
        <v>4</v>
      </c>
      <c r="P81" s="216">
        <f>O81/P$69</f>
        <v>0.25</v>
      </c>
      <c r="Q81" s="283">
        <v>4</v>
      </c>
      <c r="R81" s="216">
        <f>Q81/R$69</f>
        <v>0.26666666666666666</v>
      </c>
      <c r="S81" s="283">
        <v>4</v>
      </c>
      <c r="T81" s="216">
        <f>S81/T$69</f>
        <v>0.25</v>
      </c>
      <c r="U81" s="283">
        <v>4</v>
      </c>
      <c r="V81" s="216">
        <f>U81/V$69</f>
        <v>0.23529411764705882</v>
      </c>
      <c r="W81" s="283">
        <v>4</v>
      </c>
      <c r="X81" s="216">
        <f>W81/X$69</f>
        <v>0.23529411764705882</v>
      </c>
      <c r="Y81" s="283">
        <v>4</v>
      </c>
      <c r="Z81" s="1494">
        <f>Y81/Z$69</f>
        <v>0.22222222222222221</v>
      </c>
      <c r="AA81" s="955"/>
      <c r="AB81" s="1016">
        <f t="shared" si="15"/>
        <v>4</v>
      </c>
      <c r="AC81" s="863">
        <f t="shared" si="16"/>
        <v>0.24189542483660134</v>
      </c>
    </row>
    <row r="82" spans="1:31" s="3" customFormat="1" ht="12" x14ac:dyDescent="0.2">
      <c r="B82" s="343" t="s">
        <v>137</v>
      </c>
      <c r="C82" s="219"/>
      <c r="D82" s="216"/>
      <c r="E82" s="227"/>
      <c r="F82" s="311"/>
      <c r="G82" s="315"/>
      <c r="H82" s="395"/>
      <c r="I82" s="285"/>
      <c r="J82" s="221"/>
      <c r="K82" s="315"/>
      <c r="L82" s="221"/>
      <c r="M82" s="315"/>
      <c r="N82" s="216"/>
      <c r="O82" s="285"/>
      <c r="P82" s="216"/>
      <c r="Q82" s="285"/>
      <c r="R82" s="216"/>
      <c r="S82" s="285"/>
      <c r="T82" s="216"/>
      <c r="U82" s="285"/>
      <c r="V82" s="216"/>
      <c r="W82" s="285"/>
      <c r="X82" s="216"/>
      <c r="Y82" s="285"/>
      <c r="Z82" s="1494"/>
      <c r="AB82" s="1016"/>
      <c r="AC82" s="863"/>
    </row>
    <row r="83" spans="1:31" s="3" customFormat="1" ht="12" x14ac:dyDescent="0.2">
      <c r="B83" s="75" t="s">
        <v>126</v>
      </c>
      <c r="C83" s="224">
        <v>13</v>
      </c>
      <c r="D83" s="216">
        <f t="shared" si="17"/>
        <v>0.8666666666666667</v>
      </c>
      <c r="E83" s="223">
        <v>12</v>
      </c>
      <c r="F83" s="311">
        <f>E83/F$69</f>
        <v>0.8571428571428571</v>
      </c>
      <c r="G83" s="230">
        <v>12</v>
      </c>
      <c r="H83" s="395">
        <f>G83/H$69</f>
        <v>0.8</v>
      </c>
      <c r="I83" s="283">
        <v>12</v>
      </c>
      <c r="J83" s="221">
        <f>I83/J$69</f>
        <v>0.70588235294117652</v>
      </c>
      <c r="K83" s="230">
        <v>11</v>
      </c>
      <c r="L83" s="221">
        <f>K83/L$69</f>
        <v>0.61111111111111116</v>
      </c>
      <c r="M83" s="230">
        <v>10</v>
      </c>
      <c r="N83" s="216">
        <f>M83/N$69</f>
        <v>0.58823529411764708</v>
      </c>
      <c r="O83" s="283">
        <v>9</v>
      </c>
      <c r="P83" s="216">
        <f>O83/P$69</f>
        <v>0.5625</v>
      </c>
      <c r="Q83" s="283">
        <v>10</v>
      </c>
      <c r="R83" s="216">
        <f>Q83/R$69</f>
        <v>0.66666666666666663</v>
      </c>
      <c r="S83" s="283">
        <v>10</v>
      </c>
      <c r="T83" s="216">
        <f>S83/T$69</f>
        <v>0.625</v>
      </c>
      <c r="U83" s="283">
        <v>9</v>
      </c>
      <c r="V83" s="216">
        <f>U83/V$69</f>
        <v>0.52941176470588236</v>
      </c>
      <c r="W83" s="283">
        <v>8</v>
      </c>
      <c r="X83" s="216">
        <f>W83/X$69</f>
        <v>0.47058823529411764</v>
      </c>
      <c r="Y83" s="283">
        <v>9</v>
      </c>
      <c r="Z83" s="1494">
        <f>Y83/Z$69</f>
        <v>0.5</v>
      </c>
      <c r="AB83" s="1016">
        <f t="shared" si="15"/>
        <v>9.1999999999999993</v>
      </c>
      <c r="AC83" s="863">
        <f t="shared" si="16"/>
        <v>0.55833333333333335</v>
      </c>
    </row>
    <row r="84" spans="1:31" s="3" customFormat="1" ht="12" x14ac:dyDescent="0.2">
      <c r="B84" s="75" t="s">
        <v>127</v>
      </c>
      <c r="C84" s="224">
        <v>1</v>
      </c>
      <c r="D84" s="216">
        <f t="shared" si="17"/>
        <v>6.6666666666666666E-2</v>
      </c>
      <c r="E84" s="223">
        <v>2</v>
      </c>
      <c r="F84" s="311">
        <f>E84/F$69</f>
        <v>0.14285714285714285</v>
      </c>
      <c r="G84" s="230">
        <v>1</v>
      </c>
      <c r="H84" s="395">
        <f>G84/H$69</f>
        <v>6.6666666666666666E-2</v>
      </c>
      <c r="I84" s="283">
        <v>1</v>
      </c>
      <c r="J84" s="221">
        <f>I84/J$69</f>
        <v>5.8823529411764705E-2</v>
      </c>
      <c r="K84" s="230">
        <v>0</v>
      </c>
      <c r="L84" s="221">
        <f>K84/L$69</f>
        <v>0</v>
      </c>
      <c r="M84" s="230">
        <v>4</v>
      </c>
      <c r="N84" s="216">
        <f>M84/N$69</f>
        <v>0.23529411764705882</v>
      </c>
      <c r="O84" s="283">
        <v>5</v>
      </c>
      <c r="P84" s="216">
        <f>O84/P$69</f>
        <v>0.3125</v>
      </c>
      <c r="Q84" s="283">
        <v>4</v>
      </c>
      <c r="R84" s="216">
        <f>Q84/R$69</f>
        <v>0.26666666666666666</v>
      </c>
      <c r="S84" s="283">
        <v>5</v>
      </c>
      <c r="T84" s="216">
        <f>S84/T$69</f>
        <v>0.3125</v>
      </c>
      <c r="U84" s="283">
        <v>7</v>
      </c>
      <c r="V84" s="216">
        <f>U84/V$69</f>
        <v>0.41176470588235292</v>
      </c>
      <c r="W84" s="283">
        <v>8</v>
      </c>
      <c r="X84" s="216">
        <f>W84/X$69</f>
        <v>0.47058823529411764</v>
      </c>
      <c r="Y84" s="283">
        <v>7</v>
      </c>
      <c r="Z84" s="1494">
        <f>Y84/Z$69</f>
        <v>0.3888888888888889</v>
      </c>
      <c r="AB84" s="1016">
        <f t="shared" si="15"/>
        <v>6.2</v>
      </c>
      <c r="AC84" s="863">
        <f t="shared" si="16"/>
        <v>0.37008169934640522</v>
      </c>
    </row>
    <row r="85" spans="1:31" s="3" customFormat="1" ht="12" x14ac:dyDescent="0.2">
      <c r="B85" s="75" t="s">
        <v>128</v>
      </c>
      <c r="C85" s="224">
        <v>1</v>
      </c>
      <c r="D85" s="216">
        <f t="shared" si="17"/>
        <v>6.6666666666666666E-2</v>
      </c>
      <c r="E85" s="223">
        <v>0</v>
      </c>
      <c r="F85" s="311">
        <f>E85/F$69</f>
        <v>0</v>
      </c>
      <c r="G85" s="230">
        <v>2</v>
      </c>
      <c r="H85" s="395">
        <f>G85/H$69</f>
        <v>0.13333333333333333</v>
      </c>
      <c r="I85" s="283">
        <v>4</v>
      </c>
      <c r="J85" s="221">
        <f>I85/J$69</f>
        <v>0.23529411764705882</v>
      </c>
      <c r="K85" s="230">
        <v>6</v>
      </c>
      <c r="L85" s="221">
        <f>K85/L$69</f>
        <v>0.33333333333333331</v>
      </c>
      <c r="M85" s="230">
        <f>2+1</f>
        <v>3</v>
      </c>
      <c r="N85" s="216">
        <f>M85/N$69</f>
        <v>0.17647058823529413</v>
      </c>
      <c r="O85" s="283">
        <v>2</v>
      </c>
      <c r="P85" s="216">
        <f>O85/P$69</f>
        <v>0.125</v>
      </c>
      <c r="Q85" s="283">
        <v>1</v>
      </c>
      <c r="R85" s="216">
        <f>Q85/R$69</f>
        <v>6.6666666666666666E-2</v>
      </c>
      <c r="S85" s="283">
        <v>1</v>
      </c>
      <c r="T85" s="216">
        <f>S85/T$69</f>
        <v>6.25E-2</v>
      </c>
      <c r="U85" s="283">
        <v>1</v>
      </c>
      <c r="V85" s="216">
        <f>U85/V$69</f>
        <v>5.8823529411764705E-2</v>
      </c>
      <c r="W85" s="283">
        <v>1</v>
      </c>
      <c r="X85" s="216">
        <f>W85/X$69</f>
        <v>5.8823529411764705E-2</v>
      </c>
      <c r="Y85" s="283">
        <v>2</v>
      </c>
      <c r="Z85" s="1494">
        <f>Y85/Z$69</f>
        <v>0.1111111111111111</v>
      </c>
      <c r="AB85" s="1016">
        <f t="shared" si="15"/>
        <v>1.2</v>
      </c>
      <c r="AC85" s="863">
        <f t="shared" si="16"/>
        <v>7.1584967320261442E-2</v>
      </c>
    </row>
    <row r="86" spans="1:31" s="3" customFormat="1" ht="12" x14ac:dyDescent="0.2">
      <c r="B86" s="343" t="s">
        <v>138</v>
      </c>
      <c r="C86" s="219"/>
      <c r="D86" s="216"/>
      <c r="E86" s="227"/>
      <c r="F86" s="311"/>
      <c r="G86" s="315"/>
      <c r="H86" s="395"/>
      <c r="I86" s="285"/>
      <c r="J86" s="221"/>
      <c r="K86" s="315"/>
      <c r="L86" s="221"/>
      <c r="M86" s="315"/>
      <c r="N86" s="216"/>
      <c r="O86" s="285"/>
      <c r="P86" s="216"/>
      <c r="Q86" s="285"/>
      <c r="R86" s="216"/>
      <c r="S86" s="285"/>
      <c r="T86" s="216"/>
      <c r="U86" s="285"/>
      <c r="V86" s="216"/>
      <c r="W86" s="285"/>
      <c r="X86" s="216"/>
      <c r="Y86" s="285"/>
      <c r="Z86" s="1494"/>
      <c r="AB86" s="1016"/>
      <c r="AC86" s="863"/>
    </row>
    <row r="87" spans="1:31" s="3" customFormat="1" ht="12" x14ac:dyDescent="0.2">
      <c r="B87" s="75" t="s">
        <v>129</v>
      </c>
      <c r="C87" s="224">
        <v>15</v>
      </c>
      <c r="D87" s="216">
        <f t="shared" si="17"/>
        <v>1</v>
      </c>
      <c r="E87" s="223">
        <v>14</v>
      </c>
      <c r="F87" s="311">
        <f>E87/F$69</f>
        <v>1</v>
      </c>
      <c r="G87" s="230">
        <v>14</v>
      </c>
      <c r="H87" s="395">
        <f>G87/H$69</f>
        <v>0.93333333333333335</v>
      </c>
      <c r="I87" s="283">
        <v>16</v>
      </c>
      <c r="J87" s="221">
        <f>I87/J$69</f>
        <v>0.94117647058823528</v>
      </c>
      <c r="K87" s="230">
        <v>15</v>
      </c>
      <c r="L87" s="221">
        <f>K87/L$69</f>
        <v>0.83333333333333337</v>
      </c>
      <c r="M87" s="230">
        <f>15+1</f>
        <v>16</v>
      </c>
      <c r="N87" s="216">
        <f>M87/N$69</f>
        <v>0.94117647058823528</v>
      </c>
      <c r="O87" s="283">
        <v>13</v>
      </c>
      <c r="P87" s="216">
        <f>O87/P$69</f>
        <v>0.8125</v>
      </c>
      <c r="Q87" s="283">
        <v>12</v>
      </c>
      <c r="R87" s="216">
        <f>Q87/R$69</f>
        <v>0.8</v>
      </c>
      <c r="S87" s="283">
        <v>13</v>
      </c>
      <c r="T87" s="216">
        <f>S87/T$69</f>
        <v>0.8125</v>
      </c>
      <c r="U87" s="283">
        <v>17</v>
      </c>
      <c r="V87" s="216">
        <f>U87/V$69</f>
        <v>1</v>
      </c>
      <c r="W87" s="283">
        <v>17</v>
      </c>
      <c r="X87" s="216">
        <f>W87/X$69</f>
        <v>1</v>
      </c>
      <c r="Y87" s="283">
        <v>17</v>
      </c>
      <c r="Z87" s="1494">
        <f>Y87/Z$69</f>
        <v>0.94444444444444442</v>
      </c>
      <c r="AB87" s="1016">
        <f t="shared" si="15"/>
        <v>15.2</v>
      </c>
      <c r="AC87" s="863">
        <f t="shared" si="16"/>
        <v>0.91138888888888892</v>
      </c>
    </row>
    <row r="88" spans="1:31" s="3" customFormat="1" ht="12" x14ac:dyDescent="0.2">
      <c r="B88" s="75" t="s">
        <v>130</v>
      </c>
      <c r="C88" s="224">
        <v>0</v>
      </c>
      <c r="D88" s="216">
        <f t="shared" si="17"/>
        <v>0</v>
      </c>
      <c r="E88" s="223">
        <v>0</v>
      </c>
      <c r="F88" s="311">
        <f>E88/F$69</f>
        <v>0</v>
      </c>
      <c r="G88" s="230">
        <v>1</v>
      </c>
      <c r="H88" s="395">
        <f>G88/H$69</f>
        <v>6.6666666666666666E-2</v>
      </c>
      <c r="I88" s="283">
        <v>0</v>
      </c>
      <c r="J88" s="221">
        <f>I88/J$69</f>
        <v>0</v>
      </c>
      <c r="K88" s="230">
        <v>0</v>
      </c>
      <c r="L88" s="221">
        <f>K88/L$69</f>
        <v>0</v>
      </c>
      <c r="M88" s="230">
        <v>1</v>
      </c>
      <c r="N88" s="216">
        <f>M88/N$69</f>
        <v>5.8823529411764705E-2</v>
      </c>
      <c r="O88" s="283">
        <v>3</v>
      </c>
      <c r="P88" s="216">
        <f>O88/P$69</f>
        <v>0.1875</v>
      </c>
      <c r="Q88" s="283">
        <v>3</v>
      </c>
      <c r="R88" s="216">
        <f>Q88/R$69</f>
        <v>0.2</v>
      </c>
      <c r="S88" s="283">
        <v>3</v>
      </c>
      <c r="T88" s="216">
        <f>S88/T$69</f>
        <v>0.1875</v>
      </c>
      <c r="U88" s="283">
        <v>0</v>
      </c>
      <c r="V88" s="216">
        <f>U88/V$69</f>
        <v>0</v>
      </c>
      <c r="W88" s="283">
        <v>0</v>
      </c>
      <c r="X88" s="216">
        <f>W88/X$69</f>
        <v>0</v>
      </c>
      <c r="Y88" s="283">
        <v>1</v>
      </c>
      <c r="Z88" s="1494">
        <f>Y88/Z$69</f>
        <v>5.5555555555555552E-2</v>
      </c>
      <c r="AB88" s="1016">
        <f t="shared" si="15"/>
        <v>1.4</v>
      </c>
      <c r="AC88" s="863">
        <f t="shared" si="16"/>
        <v>8.8611111111111113E-2</v>
      </c>
    </row>
    <row r="89" spans="1:31" s="3" customFormat="1" ht="12" x14ac:dyDescent="0.2">
      <c r="B89" s="75" t="s">
        <v>131</v>
      </c>
      <c r="C89" s="224">
        <v>0</v>
      </c>
      <c r="D89" s="216">
        <f t="shared" si="17"/>
        <v>0</v>
      </c>
      <c r="E89" s="223">
        <v>0</v>
      </c>
      <c r="F89" s="311">
        <f>E89/F$69</f>
        <v>0</v>
      </c>
      <c r="G89" s="230">
        <v>0</v>
      </c>
      <c r="H89" s="395">
        <f>G89/H$69</f>
        <v>0</v>
      </c>
      <c r="I89" s="283">
        <v>1</v>
      </c>
      <c r="J89" s="221">
        <f>I89/J$69</f>
        <v>5.8823529411764705E-2</v>
      </c>
      <c r="K89" s="230">
        <v>0</v>
      </c>
      <c r="L89" s="221">
        <f>K89/L$69</f>
        <v>0</v>
      </c>
      <c r="M89" s="230">
        <v>0</v>
      </c>
      <c r="N89" s="216">
        <f>M89/N$69</f>
        <v>0</v>
      </c>
      <c r="O89" s="283">
        <v>0</v>
      </c>
      <c r="P89" s="216">
        <f>O89/P$69</f>
        <v>0</v>
      </c>
      <c r="Q89" s="283">
        <v>0</v>
      </c>
      <c r="R89" s="216">
        <f>Q89/R$69</f>
        <v>0</v>
      </c>
      <c r="S89" s="283">
        <v>0</v>
      </c>
      <c r="T89" s="216">
        <f>S89/T$69</f>
        <v>0</v>
      </c>
      <c r="U89" s="283">
        <v>0</v>
      </c>
      <c r="V89" s="216">
        <f>U89/V$69</f>
        <v>0</v>
      </c>
      <c r="W89" s="283">
        <v>0</v>
      </c>
      <c r="X89" s="216">
        <f>W89/X$69</f>
        <v>0</v>
      </c>
      <c r="Y89" s="283">
        <v>0</v>
      </c>
      <c r="Z89" s="1494">
        <f>Y89/Z$69</f>
        <v>0</v>
      </c>
      <c r="AB89" s="1016">
        <f t="shared" si="15"/>
        <v>0</v>
      </c>
      <c r="AC89" s="863">
        <f t="shared" si="16"/>
        <v>0</v>
      </c>
    </row>
    <row r="90" spans="1:31" s="3" customFormat="1" ht="14.25" customHeight="1" thickBot="1" x14ac:dyDescent="0.25">
      <c r="B90" s="344" t="s">
        <v>132</v>
      </c>
      <c r="C90" s="61">
        <v>0</v>
      </c>
      <c r="D90" s="220">
        <f t="shared" si="17"/>
        <v>0</v>
      </c>
      <c r="E90" s="228">
        <v>0</v>
      </c>
      <c r="F90" s="312">
        <f>E90/F$69</f>
        <v>0</v>
      </c>
      <c r="G90" s="375">
        <v>0</v>
      </c>
      <c r="H90" s="397">
        <f>G90/H$69</f>
        <v>0</v>
      </c>
      <c r="I90" s="284">
        <v>0</v>
      </c>
      <c r="J90" s="222">
        <f>I90/J$69</f>
        <v>0</v>
      </c>
      <c r="K90" s="375">
        <v>0</v>
      </c>
      <c r="L90" s="222">
        <f>K90/L$69</f>
        <v>0</v>
      </c>
      <c r="M90" s="375">
        <v>0</v>
      </c>
      <c r="N90" s="220">
        <f>M90/N$69</f>
        <v>0</v>
      </c>
      <c r="O90" s="284">
        <v>0</v>
      </c>
      <c r="P90" s="220">
        <f>O90/P$69</f>
        <v>0</v>
      </c>
      <c r="Q90" s="284">
        <v>0</v>
      </c>
      <c r="R90" s="220">
        <f>Q90/R$69</f>
        <v>0</v>
      </c>
      <c r="S90" s="284">
        <v>0</v>
      </c>
      <c r="T90" s="220">
        <f>S90/T$69</f>
        <v>0</v>
      </c>
      <c r="U90" s="284">
        <v>0</v>
      </c>
      <c r="V90" s="220">
        <f>U90/V$69</f>
        <v>0</v>
      </c>
      <c r="W90" s="284">
        <v>0</v>
      </c>
      <c r="X90" s="220">
        <f>W90/X$69</f>
        <v>0</v>
      </c>
      <c r="Y90" s="284">
        <v>0</v>
      </c>
      <c r="Z90" s="1495">
        <f>Y90/Z$69</f>
        <v>0</v>
      </c>
      <c r="AB90" s="1016">
        <f t="shared" si="15"/>
        <v>0</v>
      </c>
      <c r="AC90" s="863">
        <f t="shared" si="16"/>
        <v>0</v>
      </c>
    </row>
    <row r="91" spans="1:31" ht="14.25" thickTop="1" thickBot="1" x14ac:dyDescent="0.25">
      <c r="A91" s="1"/>
      <c r="B91" s="956" t="s">
        <v>186</v>
      </c>
      <c r="C91" s="1992" t="s">
        <v>51</v>
      </c>
      <c r="D91" s="1993"/>
      <c r="E91" s="1992" t="s">
        <v>52</v>
      </c>
      <c r="F91" s="1993"/>
      <c r="G91" s="1989" t="s">
        <v>184</v>
      </c>
      <c r="H91" s="1990"/>
      <c r="I91" s="1989" t="s">
        <v>185</v>
      </c>
      <c r="J91" s="1990"/>
      <c r="K91" s="1989" t="s">
        <v>202</v>
      </c>
      <c r="L91" s="1990"/>
      <c r="M91" s="1991" t="s">
        <v>203</v>
      </c>
      <c r="N91" s="1979"/>
      <c r="O91" s="1970" t="s">
        <v>228</v>
      </c>
      <c r="P91" s="1979"/>
      <c r="Q91" s="1970" t="s">
        <v>238</v>
      </c>
      <c r="R91" s="1979"/>
      <c r="S91" s="1970" t="s">
        <v>273</v>
      </c>
      <c r="T91" s="1979"/>
      <c r="U91" s="1970" t="s">
        <v>275</v>
      </c>
      <c r="V91" s="1979"/>
      <c r="W91" s="1970" t="s">
        <v>281</v>
      </c>
      <c r="X91" s="1979"/>
      <c r="Y91" s="1970" t="s">
        <v>291</v>
      </c>
      <c r="Z91" s="1976"/>
      <c r="AB91" s="2003" t="s">
        <v>213</v>
      </c>
      <c r="AC91" s="2004"/>
    </row>
    <row r="92" spans="1:31" x14ac:dyDescent="0.2">
      <c r="A92" s="1"/>
      <c r="B92" s="957"/>
      <c r="C92" s="958"/>
      <c r="D92" s="959"/>
      <c r="E92" s="1273" t="s">
        <v>133</v>
      </c>
      <c r="F92" s="1180" t="s">
        <v>17</v>
      </c>
      <c r="G92" s="958" t="s">
        <v>133</v>
      </c>
      <c r="H92" s="1242" t="s">
        <v>17</v>
      </c>
      <c r="I92" s="1448" t="s">
        <v>133</v>
      </c>
      <c r="J92" s="1449" t="s">
        <v>17</v>
      </c>
      <c r="K92" s="1448" t="s">
        <v>133</v>
      </c>
      <c r="L92" s="1449" t="s">
        <v>17</v>
      </c>
      <c r="M92" s="1448" t="s">
        <v>133</v>
      </c>
      <c r="N92" s="1449" t="s">
        <v>17</v>
      </c>
      <c r="O92" s="1448" t="s">
        <v>133</v>
      </c>
      <c r="P92" s="1450" t="s">
        <v>17</v>
      </c>
      <c r="Q92" s="1451" t="s">
        <v>133</v>
      </c>
      <c r="R92" s="1450" t="s">
        <v>17</v>
      </c>
      <c r="S92" s="1451" t="s">
        <v>133</v>
      </c>
      <c r="T92" s="1450" t="s">
        <v>17</v>
      </c>
      <c r="U92" s="1768" t="s">
        <v>133</v>
      </c>
      <c r="V92" s="1450" t="s">
        <v>17</v>
      </c>
      <c r="W92" s="1768" t="s">
        <v>133</v>
      </c>
      <c r="X92" s="1450" t="s">
        <v>17</v>
      </c>
      <c r="Y92" s="1768" t="s">
        <v>133</v>
      </c>
      <c r="Z92" s="1452" t="s">
        <v>17</v>
      </c>
      <c r="AB92" s="953" t="s">
        <v>133</v>
      </c>
      <c r="AC92" s="954" t="s">
        <v>17</v>
      </c>
    </row>
    <row r="93" spans="1:31" x14ac:dyDescent="0.2">
      <c r="A93" s="1"/>
      <c r="B93" s="341" t="s">
        <v>187</v>
      </c>
      <c r="C93" s="960">
        <v>2</v>
      </c>
      <c r="D93" s="961">
        <v>0.6</v>
      </c>
      <c r="E93" s="960">
        <v>0</v>
      </c>
      <c r="F93" s="961">
        <v>0</v>
      </c>
      <c r="G93" s="960">
        <v>4</v>
      </c>
      <c r="H93" s="961">
        <v>2</v>
      </c>
      <c r="I93" s="960">
        <v>4</v>
      </c>
      <c r="J93" s="961">
        <v>2</v>
      </c>
      <c r="K93" s="960">
        <v>1</v>
      </c>
      <c r="L93" s="961">
        <v>0.5</v>
      </c>
      <c r="M93" s="960">
        <v>2</v>
      </c>
      <c r="N93" s="961">
        <v>1</v>
      </c>
      <c r="O93" s="960">
        <v>3</v>
      </c>
      <c r="P93" s="961">
        <v>1.5</v>
      </c>
      <c r="Q93" s="960">
        <v>4</v>
      </c>
      <c r="R93" s="961">
        <v>2</v>
      </c>
      <c r="S93" s="960">
        <v>4</v>
      </c>
      <c r="T93" s="961">
        <v>2</v>
      </c>
      <c r="U93" s="960">
        <v>3</v>
      </c>
      <c r="V93" s="961">
        <v>1.5</v>
      </c>
      <c r="W93" s="960">
        <v>1</v>
      </c>
      <c r="X93" s="961">
        <v>0.5</v>
      </c>
      <c r="Y93" s="960">
        <v>0</v>
      </c>
      <c r="Z93" s="1517">
        <v>0</v>
      </c>
      <c r="AB93" s="1115">
        <f t="shared" ref="AB93:AB95" si="18">AVERAGE(W93,U93,Q93,S93,Y93)</f>
        <v>2.4</v>
      </c>
      <c r="AC93" s="1116">
        <f t="shared" ref="AC93:AC95" si="19">AVERAGE(X93,V93,R93,T93,Z93)</f>
        <v>1.2</v>
      </c>
    </row>
    <row r="94" spans="1:31" x14ac:dyDescent="0.2">
      <c r="A94" s="1"/>
      <c r="B94" s="341" t="s">
        <v>188</v>
      </c>
      <c r="C94" s="960">
        <v>7</v>
      </c>
      <c r="D94" s="961">
        <v>3.5</v>
      </c>
      <c r="E94" s="960">
        <v>7</v>
      </c>
      <c r="F94" s="961">
        <v>3.5</v>
      </c>
      <c r="G94" s="960">
        <v>7</v>
      </c>
      <c r="H94" s="961">
        <v>3.5</v>
      </c>
      <c r="I94" s="960">
        <v>7</v>
      </c>
      <c r="J94" s="961">
        <v>3.5</v>
      </c>
      <c r="K94" s="960">
        <v>9</v>
      </c>
      <c r="L94" s="961">
        <v>4.5</v>
      </c>
      <c r="M94" s="960">
        <v>11</v>
      </c>
      <c r="N94" s="961">
        <v>5.5</v>
      </c>
      <c r="O94" s="960">
        <v>7</v>
      </c>
      <c r="P94" s="961">
        <v>3.5</v>
      </c>
      <c r="Q94" s="960">
        <v>8</v>
      </c>
      <c r="R94" s="961">
        <v>3.9</v>
      </c>
      <c r="S94" s="960">
        <v>8</v>
      </c>
      <c r="T94" s="961">
        <v>4</v>
      </c>
      <c r="U94" s="960">
        <v>10</v>
      </c>
      <c r="V94" s="961">
        <v>5</v>
      </c>
      <c r="W94" s="960">
        <v>11</v>
      </c>
      <c r="X94" s="961">
        <v>5.5</v>
      </c>
      <c r="Y94" s="960">
        <v>10</v>
      </c>
      <c r="Z94" s="1517">
        <v>5</v>
      </c>
      <c r="AB94" s="1115">
        <f t="shared" si="18"/>
        <v>9.4</v>
      </c>
      <c r="AC94" s="1116">
        <f t="shared" si="19"/>
        <v>4.68</v>
      </c>
      <c r="AE94" s="1" t="s">
        <v>29</v>
      </c>
    </row>
    <row r="95" spans="1:31" ht="13.5" thickBot="1" x14ac:dyDescent="0.25">
      <c r="A95" s="1"/>
      <c r="B95" s="344" t="s">
        <v>211</v>
      </c>
      <c r="C95" s="962">
        <v>0</v>
      </c>
      <c r="D95" s="963">
        <v>0</v>
      </c>
      <c r="E95" s="964">
        <v>0</v>
      </c>
      <c r="F95" s="963">
        <v>0</v>
      </c>
      <c r="G95" s="964">
        <v>0</v>
      </c>
      <c r="H95" s="963">
        <v>0</v>
      </c>
      <c r="I95" s="964">
        <v>0</v>
      </c>
      <c r="J95" s="963">
        <v>0</v>
      </c>
      <c r="K95" s="964">
        <v>0</v>
      </c>
      <c r="L95" s="963">
        <v>0</v>
      </c>
      <c r="M95" s="964">
        <v>0</v>
      </c>
      <c r="N95" s="963">
        <v>0</v>
      </c>
      <c r="O95" s="964">
        <v>0</v>
      </c>
      <c r="P95" s="963">
        <v>0</v>
      </c>
      <c r="Q95" s="964">
        <v>0</v>
      </c>
      <c r="R95" s="963">
        <v>0</v>
      </c>
      <c r="S95" s="964">
        <v>0</v>
      </c>
      <c r="T95" s="963">
        <v>0</v>
      </c>
      <c r="U95" s="964">
        <v>0</v>
      </c>
      <c r="V95" s="963">
        <v>0</v>
      </c>
      <c r="W95" s="964">
        <v>0</v>
      </c>
      <c r="X95" s="963">
        <v>0</v>
      </c>
      <c r="Y95" s="964">
        <v>0</v>
      </c>
      <c r="Z95" s="1518">
        <v>0</v>
      </c>
      <c r="AB95" s="1115">
        <f t="shared" si="18"/>
        <v>0</v>
      </c>
      <c r="AC95" s="1116">
        <f t="shared" si="19"/>
        <v>0</v>
      </c>
    </row>
    <row r="96" spans="1:31" ht="17.25" thickTop="1" thickBot="1" x14ac:dyDescent="0.3">
      <c r="A96" s="966"/>
      <c r="B96" s="967"/>
      <c r="C96" s="1992" t="s">
        <v>51</v>
      </c>
      <c r="D96" s="1993"/>
      <c r="E96" s="1992" t="s">
        <v>52</v>
      </c>
      <c r="F96" s="1993"/>
      <c r="G96" s="1989" t="s">
        <v>184</v>
      </c>
      <c r="H96" s="1990"/>
      <c r="I96" s="1989" t="s">
        <v>185</v>
      </c>
      <c r="J96" s="1990"/>
      <c r="K96" s="1989" t="s">
        <v>202</v>
      </c>
      <c r="L96" s="1990"/>
      <c r="M96" s="1991" t="s">
        <v>203</v>
      </c>
      <c r="N96" s="1979"/>
      <c r="O96" s="1970" t="s">
        <v>254</v>
      </c>
      <c r="P96" s="1979"/>
      <c r="Q96" s="1970" t="s">
        <v>238</v>
      </c>
      <c r="R96" s="1979"/>
      <c r="S96" s="1970" t="s">
        <v>273</v>
      </c>
      <c r="T96" s="1979"/>
      <c r="U96" s="1970" t="s">
        <v>275</v>
      </c>
      <c r="V96" s="1979"/>
      <c r="W96" s="1970" t="s">
        <v>281</v>
      </c>
      <c r="X96" s="1979"/>
      <c r="Y96" s="1970" t="s">
        <v>291</v>
      </c>
      <c r="Z96" s="1976"/>
      <c r="AA96" s="968"/>
      <c r="AB96" s="1987"/>
      <c r="AC96" s="1988"/>
      <c r="AD96" s="3"/>
      <c r="AE96" s="3"/>
    </row>
    <row r="97" spans="1:31" x14ac:dyDescent="0.2">
      <c r="A97" s="3"/>
      <c r="B97" s="342" t="s">
        <v>210</v>
      </c>
      <c r="C97" s="3"/>
      <c r="D97" s="969"/>
      <c r="E97" s="970"/>
      <c r="F97" s="971"/>
      <c r="G97" s="972"/>
      <c r="H97" s="973"/>
      <c r="I97" s="974"/>
      <c r="J97" s="593"/>
      <c r="K97" s="975"/>
      <c r="L97" s="976"/>
      <c r="M97" s="975"/>
      <c r="N97" s="991"/>
      <c r="O97" s="974"/>
      <c r="P97" s="593"/>
      <c r="Q97" s="975"/>
      <c r="R97" s="991"/>
      <c r="S97" s="975"/>
      <c r="T97" s="991"/>
      <c r="U97" s="117"/>
      <c r="V97" s="1422"/>
      <c r="W97" s="975"/>
      <c r="X97" s="991"/>
      <c r="Y97" s="975"/>
      <c r="Z97" s="977"/>
      <c r="AA97" s="28"/>
      <c r="AB97" s="28"/>
      <c r="AC97" s="28"/>
      <c r="AD97" s="3"/>
      <c r="AE97" s="3"/>
    </row>
    <row r="98" spans="1:31" x14ac:dyDescent="0.2">
      <c r="A98" s="930"/>
      <c r="B98" s="979" t="s">
        <v>192</v>
      </c>
      <c r="C98" s="1983">
        <v>5.9</v>
      </c>
      <c r="D98" s="1984"/>
      <c r="E98" s="980"/>
      <c r="F98" s="981"/>
      <c r="G98" s="982"/>
      <c r="H98" s="983"/>
      <c r="I98" s="1983">
        <v>6.5</v>
      </c>
      <c r="J98" s="1984"/>
      <c r="K98" s="984"/>
      <c r="L98" s="985"/>
      <c r="M98" s="984"/>
      <c r="N98" s="991"/>
      <c r="O98" s="1898"/>
      <c r="P98" s="1899">
        <v>15</v>
      </c>
      <c r="Q98" s="984"/>
      <c r="R98" s="991"/>
      <c r="S98" s="984"/>
      <c r="T98" s="991"/>
      <c r="U98" s="136"/>
      <c r="V98" s="1899">
        <v>19</v>
      </c>
      <c r="W98" s="984"/>
      <c r="X98" s="991"/>
      <c r="Y98" s="984"/>
      <c r="Z98" s="977"/>
      <c r="AA98" s="28"/>
      <c r="AB98" s="28"/>
      <c r="AC98" s="1106"/>
      <c r="AD98" s="3"/>
      <c r="AE98" s="3"/>
    </row>
    <row r="99" spans="1:31" x14ac:dyDescent="0.2">
      <c r="A99" s="930"/>
      <c r="B99" s="986" t="s">
        <v>193</v>
      </c>
      <c r="C99" s="1983"/>
      <c r="D99" s="1984"/>
      <c r="E99" s="980"/>
      <c r="F99" s="981"/>
      <c r="G99" s="982"/>
      <c r="H99" s="983"/>
      <c r="I99" s="1983"/>
      <c r="J99" s="1984"/>
      <c r="K99" s="984"/>
      <c r="L99" s="985"/>
      <c r="M99" s="984"/>
      <c r="N99" s="991"/>
      <c r="O99" s="1898"/>
      <c r="P99" s="1899"/>
      <c r="Q99" s="984"/>
      <c r="R99" s="991"/>
      <c r="S99" s="984"/>
      <c r="T99" s="991"/>
      <c r="U99" s="136"/>
      <c r="V99" s="1899"/>
      <c r="W99" s="984"/>
      <c r="X99" s="991"/>
      <c r="Y99" s="984"/>
      <c r="Z99" s="977"/>
      <c r="AA99" s="28"/>
      <c r="AB99" s="28"/>
      <c r="AC99" s="1106"/>
      <c r="AD99" s="3"/>
      <c r="AE99" s="3"/>
    </row>
    <row r="100" spans="1:31" x14ac:dyDescent="0.2">
      <c r="A100" s="930"/>
      <c r="B100" s="986" t="s">
        <v>194</v>
      </c>
      <c r="C100" s="1983">
        <v>0.5</v>
      </c>
      <c r="D100" s="1984"/>
      <c r="E100" s="980"/>
      <c r="F100" s="981"/>
      <c r="G100" s="982"/>
      <c r="H100" s="983"/>
      <c r="I100" s="1983">
        <v>0.5</v>
      </c>
      <c r="J100" s="1984"/>
      <c r="K100" s="984"/>
      <c r="L100" s="985"/>
      <c r="M100" s="984"/>
      <c r="N100" s="991"/>
      <c r="O100" s="1898"/>
      <c r="P100" s="1899">
        <v>0</v>
      </c>
      <c r="Q100" s="984"/>
      <c r="R100" s="991"/>
      <c r="S100" s="984"/>
      <c r="T100" s="991"/>
      <c r="U100" s="136"/>
      <c r="V100" s="1899">
        <v>0</v>
      </c>
      <c r="W100" s="984"/>
      <c r="X100" s="991"/>
      <c r="Y100" s="984"/>
      <c r="Z100" s="977"/>
      <c r="AA100" s="28"/>
      <c r="AB100" s="28"/>
      <c r="AC100" s="1106"/>
      <c r="AD100" s="3"/>
      <c r="AE100" s="3"/>
    </row>
    <row r="101" spans="1:31" x14ac:dyDescent="0.2">
      <c r="A101" s="930"/>
      <c r="B101" s="979" t="s">
        <v>195</v>
      </c>
      <c r="C101" s="1983">
        <v>3</v>
      </c>
      <c r="D101" s="1984"/>
      <c r="E101" s="980"/>
      <c r="F101" s="981"/>
      <c r="G101" s="982"/>
      <c r="H101" s="983"/>
      <c r="I101" s="1983">
        <v>3</v>
      </c>
      <c r="J101" s="1984"/>
      <c r="K101" s="984"/>
      <c r="L101" s="985"/>
      <c r="M101" s="984"/>
      <c r="N101" s="991"/>
      <c r="O101" s="1898"/>
      <c r="P101" s="1899">
        <v>3.5</v>
      </c>
      <c r="Q101" s="984"/>
      <c r="R101" s="991"/>
      <c r="S101" s="984"/>
      <c r="T101" s="991"/>
      <c r="U101" s="136"/>
      <c r="V101" s="1899">
        <v>5</v>
      </c>
      <c r="W101" s="984"/>
      <c r="X101" s="991"/>
      <c r="Y101" s="984"/>
      <c r="Z101" s="977"/>
      <c r="AA101" s="28"/>
      <c r="AB101" s="28"/>
      <c r="AC101" s="1106"/>
      <c r="AD101" s="3"/>
      <c r="AE101" s="3"/>
    </row>
    <row r="102" spans="1:31" x14ac:dyDescent="0.2">
      <c r="A102" s="930"/>
      <c r="B102" s="987" t="s">
        <v>196</v>
      </c>
      <c r="C102" s="1983">
        <v>0.7</v>
      </c>
      <c r="D102" s="1984"/>
      <c r="E102" s="980"/>
      <c r="F102" s="981"/>
      <c r="G102" s="982"/>
      <c r="H102" s="983"/>
      <c r="I102" s="1983">
        <v>3.3</v>
      </c>
      <c r="J102" s="1984"/>
      <c r="K102" s="984"/>
      <c r="L102" s="985"/>
      <c r="M102" s="984"/>
      <c r="N102" s="991"/>
      <c r="O102" s="1898"/>
      <c r="P102" s="1899">
        <v>1.9</v>
      </c>
      <c r="Q102" s="984"/>
      <c r="R102" s="991"/>
      <c r="S102" s="984"/>
      <c r="T102" s="991"/>
      <c r="U102" s="136"/>
      <c r="V102" s="1899">
        <v>0.5</v>
      </c>
      <c r="W102" s="984"/>
      <c r="X102" s="991"/>
      <c r="Y102" s="984"/>
      <c r="Z102" s="977"/>
      <c r="AA102" s="28"/>
      <c r="AB102" s="28"/>
      <c r="AC102" s="1106"/>
      <c r="AD102" s="3"/>
      <c r="AE102" s="3"/>
    </row>
    <row r="103" spans="1:31" x14ac:dyDescent="0.2">
      <c r="A103" s="930"/>
      <c r="B103" s="987" t="s">
        <v>197</v>
      </c>
      <c r="C103" s="1983">
        <f>SUM(C98:D102)</f>
        <v>10.1</v>
      </c>
      <c r="D103" s="1984"/>
      <c r="E103" s="980"/>
      <c r="F103" s="981"/>
      <c r="G103" s="982"/>
      <c r="H103" s="983"/>
      <c r="I103" s="1983">
        <f>SUM(I98:J102)</f>
        <v>13.3</v>
      </c>
      <c r="J103" s="1984"/>
      <c r="K103" s="984"/>
      <c r="L103" s="985"/>
      <c r="M103" s="984"/>
      <c r="N103" s="991"/>
      <c r="O103" s="1898"/>
      <c r="P103" s="1899">
        <v>20.399999999999999</v>
      </c>
      <c r="Q103" s="984"/>
      <c r="R103" s="991"/>
      <c r="S103" s="984"/>
      <c r="T103" s="991"/>
      <c r="U103" s="136"/>
      <c r="V103" s="1899">
        <f>SUM(V98:V102)</f>
        <v>24.5</v>
      </c>
      <c r="W103" s="984"/>
      <c r="X103" s="991"/>
      <c r="Y103" s="984"/>
      <c r="Z103" s="977"/>
      <c r="AA103" s="28"/>
      <c r="AB103" s="28"/>
      <c r="AC103" s="1106"/>
      <c r="AD103" s="3"/>
      <c r="AE103" s="3"/>
    </row>
    <row r="104" spans="1:31" ht="13.5" thickBot="1" x14ac:dyDescent="0.25">
      <c r="A104" s="930"/>
      <c r="B104" s="988" t="s">
        <v>204</v>
      </c>
      <c r="C104" s="2056"/>
      <c r="D104" s="2055"/>
      <c r="E104" s="989"/>
      <c r="F104" s="990"/>
      <c r="G104" s="975"/>
      <c r="H104" s="991"/>
      <c r="I104" s="2056"/>
      <c r="J104" s="2055"/>
      <c r="K104" s="984"/>
      <c r="L104" s="985"/>
      <c r="M104" s="984"/>
      <c r="N104" s="991"/>
      <c r="O104" s="1900"/>
      <c r="P104" s="1901"/>
      <c r="Q104" s="984"/>
      <c r="R104" s="991"/>
      <c r="S104" s="984"/>
      <c r="T104" s="991"/>
      <c r="U104" s="136"/>
      <c r="V104" s="1901"/>
      <c r="W104" s="984"/>
      <c r="X104" s="991"/>
      <c r="Y104" s="984"/>
      <c r="Z104" s="977"/>
      <c r="AA104" s="28"/>
      <c r="AB104" s="28"/>
      <c r="AC104" s="1106"/>
      <c r="AD104" s="3"/>
      <c r="AE104" s="3"/>
    </row>
    <row r="105" spans="1:31" x14ac:dyDescent="0.2">
      <c r="A105" s="930"/>
      <c r="B105" s="979" t="s">
        <v>198</v>
      </c>
      <c r="C105" s="2043">
        <v>4057</v>
      </c>
      <c r="D105" s="2044"/>
      <c r="E105" s="992"/>
      <c r="F105" s="993"/>
      <c r="G105" s="994"/>
      <c r="H105" s="995"/>
      <c r="I105" s="2043">
        <v>3591</v>
      </c>
      <c r="J105" s="2044"/>
      <c r="K105" s="984"/>
      <c r="L105" s="985"/>
      <c r="M105" s="984"/>
      <c r="N105" s="991"/>
      <c r="O105" s="1902"/>
      <c r="P105" s="1903">
        <v>3610</v>
      </c>
      <c r="Q105" s="984"/>
      <c r="R105" s="991"/>
      <c r="S105" s="984"/>
      <c r="T105" s="991"/>
      <c r="U105" s="136"/>
      <c r="V105" s="1903">
        <v>3358</v>
      </c>
      <c r="W105" s="984"/>
      <c r="X105" s="991"/>
      <c r="Y105" s="984"/>
      <c r="Z105" s="977"/>
      <c r="AA105" s="28"/>
      <c r="AB105" s="28"/>
      <c r="AC105" s="1473"/>
      <c r="AD105" s="3"/>
      <c r="AE105" s="3"/>
    </row>
    <row r="106" spans="1:31" x14ac:dyDescent="0.2">
      <c r="A106" s="930"/>
      <c r="B106" s="987" t="s">
        <v>199</v>
      </c>
      <c r="C106" s="2043">
        <v>114</v>
      </c>
      <c r="D106" s="2044"/>
      <c r="E106" s="992"/>
      <c r="F106" s="993"/>
      <c r="G106" s="994"/>
      <c r="H106" s="995"/>
      <c r="I106" s="2043">
        <v>64</v>
      </c>
      <c r="J106" s="2044"/>
      <c r="K106" s="984"/>
      <c r="L106" s="985"/>
      <c r="M106" s="984"/>
      <c r="N106" s="991"/>
      <c r="O106" s="1902"/>
      <c r="P106" s="1903">
        <v>0</v>
      </c>
      <c r="Q106" s="984"/>
      <c r="R106" s="991"/>
      <c r="S106" s="984"/>
      <c r="T106" s="991"/>
      <c r="U106" s="136"/>
      <c r="V106" s="1903">
        <v>0</v>
      </c>
      <c r="W106" s="984"/>
      <c r="X106" s="991"/>
      <c r="Y106" s="984"/>
      <c r="Z106" s="977"/>
      <c r="AA106" s="28"/>
      <c r="AB106" s="28"/>
      <c r="AC106" s="1473"/>
      <c r="AD106" s="3"/>
      <c r="AE106" s="3"/>
    </row>
    <row r="107" spans="1:31" x14ac:dyDescent="0.2">
      <c r="A107" s="930"/>
      <c r="B107" s="987" t="s">
        <v>200</v>
      </c>
      <c r="C107" s="2043">
        <v>210</v>
      </c>
      <c r="D107" s="2044"/>
      <c r="E107" s="992"/>
      <c r="F107" s="993"/>
      <c r="G107" s="994"/>
      <c r="H107" s="995"/>
      <c r="I107" s="2043">
        <v>657</v>
      </c>
      <c r="J107" s="2044"/>
      <c r="K107" s="984"/>
      <c r="L107" s="985"/>
      <c r="M107" s="984"/>
      <c r="N107" s="991"/>
      <c r="O107" s="1902"/>
      <c r="P107" s="1903">
        <v>204</v>
      </c>
      <c r="Q107" s="984"/>
      <c r="R107" s="991"/>
      <c r="S107" s="984"/>
      <c r="T107" s="991"/>
      <c r="U107" s="136"/>
      <c r="V107" s="1903">
        <v>75</v>
      </c>
      <c r="W107" s="984"/>
      <c r="X107" s="991"/>
      <c r="Y107" s="984"/>
      <c r="Z107" s="977"/>
      <c r="AA107" s="28"/>
      <c r="AB107" s="28"/>
      <c r="AC107" s="1473"/>
      <c r="AD107" s="3"/>
      <c r="AE107" s="3"/>
    </row>
    <row r="108" spans="1:31" x14ac:dyDescent="0.2">
      <c r="A108" s="930"/>
      <c r="B108" s="987" t="s">
        <v>209</v>
      </c>
      <c r="C108" s="2043">
        <f>SUM(C105:D107)</f>
        <v>4381</v>
      </c>
      <c r="D108" s="2044"/>
      <c r="E108" s="992"/>
      <c r="F108" s="993"/>
      <c r="G108" s="994"/>
      <c r="H108" s="995"/>
      <c r="I108" s="2043">
        <f>SUM(I105:J107)</f>
        <v>4312</v>
      </c>
      <c r="J108" s="2044"/>
      <c r="K108" s="984"/>
      <c r="L108" s="985"/>
      <c r="M108" s="984"/>
      <c r="N108" s="991"/>
      <c r="O108" s="1902"/>
      <c r="P108" s="1903">
        <v>3814</v>
      </c>
      <c r="Q108" s="984"/>
      <c r="R108" s="991"/>
      <c r="S108" s="984"/>
      <c r="T108" s="991"/>
      <c r="U108" s="136"/>
      <c r="V108" s="1903">
        <f>SUM(V105:V107)</f>
        <v>3433</v>
      </c>
      <c r="W108" s="984"/>
      <c r="X108" s="991"/>
      <c r="Y108" s="984"/>
      <c r="Z108" s="977"/>
      <c r="AA108" s="28"/>
      <c r="AB108" s="28"/>
      <c r="AC108" s="1473"/>
      <c r="AD108" s="3"/>
      <c r="AE108" s="3"/>
    </row>
    <row r="109" spans="1:31" ht="13.5" thickBot="1" x14ac:dyDescent="0.25">
      <c r="A109" s="930"/>
      <c r="B109" s="988" t="s">
        <v>205</v>
      </c>
      <c r="C109" s="2056"/>
      <c r="D109" s="2055"/>
      <c r="E109" s="989"/>
      <c r="F109" s="990"/>
      <c r="G109" s="975"/>
      <c r="H109" s="991"/>
      <c r="I109" s="2056"/>
      <c r="J109" s="2055"/>
      <c r="K109" s="984"/>
      <c r="L109" s="985"/>
      <c r="M109" s="984"/>
      <c r="N109" s="991"/>
      <c r="O109" s="1900"/>
      <c r="P109" s="1901"/>
      <c r="Q109" s="984"/>
      <c r="R109" s="991"/>
      <c r="S109" s="984"/>
      <c r="T109" s="991"/>
      <c r="U109" s="136"/>
      <c r="V109" s="1901"/>
      <c r="W109" s="984"/>
      <c r="X109" s="991"/>
      <c r="Y109" s="984"/>
      <c r="Z109" s="977"/>
      <c r="AA109" s="28"/>
      <c r="AB109" s="28"/>
      <c r="AC109" s="1106"/>
      <c r="AD109" s="28"/>
      <c r="AE109" s="28"/>
    </row>
    <row r="110" spans="1:31" x14ac:dyDescent="0.2">
      <c r="A110" s="930"/>
      <c r="B110" s="979" t="s">
        <v>206</v>
      </c>
      <c r="C110" s="1985">
        <f>C105/C98</f>
        <v>687.62711864406776</v>
      </c>
      <c r="D110" s="1986"/>
      <c r="E110" s="996"/>
      <c r="F110" s="997"/>
      <c r="G110" s="998"/>
      <c r="H110" s="999"/>
      <c r="I110" s="1985">
        <f>I105/I98</f>
        <v>552.46153846153845</v>
      </c>
      <c r="J110" s="1986"/>
      <c r="K110" s="1000"/>
      <c r="L110" s="1001"/>
      <c r="M110" s="1000"/>
      <c r="N110" s="999"/>
      <c r="O110" s="1904"/>
      <c r="P110" s="1905">
        <v>240.66666666666666</v>
      </c>
      <c r="Q110" s="1000"/>
      <c r="R110" s="999"/>
      <c r="S110" s="1000"/>
      <c r="T110" s="999"/>
      <c r="U110" s="494"/>
      <c r="V110" s="1905">
        <f>V105/V98</f>
        <v>176.73684210526315</v>
      </c>
      <c r="W110" s="1000"/>
      <c r="X110" s="999"/>
      <c r="Y110" s="1000"/>
      <c r="Z110" s="1460"/>
      <c r="AA110" s="668"/>
      <c r="AB110" s="668"/>
      <c r="AC110" s="1106"/>
      <c r="AD110" s="21"/>
      <c r="AE110" s="21"/>
    </row>
    <row r="111" spans="1:31" x14ac:dyDescent="0.2">
      <c r="A111" s="930"/>
      <c r="B111" s="987" t="s">
        <v>207</v>
      </c>
      <c r="C111" s="1985">
        <f>C106/C100</f>
        <v>228</v>
      </c>
      <c r="D111" s="1986"/>
      <c r="E111" s="996"/>
      <c r="F111" s="997"/>
      <c r="G111" s="998"/>
      <c r="H111" s="999"/>
      <c r="I111" s="1985">
        <f>I106/I100</f>
        <v>128</v>
      </c>
      <c r="J111" s="1986"/>
      <c r="K111" s="1000"/>
      <c r="L111" s="1001"/>
      <c r="M111" s="1000"/>
      <c r="N111" s="999"/>
      <c r="O111" s="1904"/>
      <c r="P111" s="1905">
        <v>0</v>
      </c>
      <c r="Q111" s="1000"/>
      <c r="R111" s="999"/>
      <c r="S111" s="1000"/>
      <c r="T111" s="999"/>
      <c r="U111" s="494"/>
      <c r="V111" s="1905">
        <f>0</f>
        <v>0</v>
      </c>
      <c r="W111" s="1000"/>
      <c r="X111" s="999"/>
      <c r="Y111" s="1000"/>
      <c r="Z111" s="1460"/>
      <c r="AA111" s="668"/>
      <c r="AB111" s="668"/>
      <c r="AC111" s="1106"/>
      <c r="AD111" s="21"/>
      <c r="AE111" s="21"/>
    </row>
    <row r="112" spans="1:31" x14ac:dyDescent="0.2">
      <c r="A112" s="930"/>
      <c r="B112" s="987" t="s">
        <v>208</v>
      </c>
      <c r="C112" s="1985">
        <f>C107/C102</f>
        <v>300</v>
      </c>
      <c r="D112" s="1986"/>
      <c r="E112" s="996"/>
      <c r="F112" s="997"/>
      <c r="G112" s="998"/>
      <c r="H112" s="999"/>
      <c r="I112" s="1985">
        <f>I107/I102</f>
        <v>199.09090909090909</v>
      </c>
      <c r="J112" s="1986"/>
      <c r="K112" s="1000"/>
      <c r="L112" s="1001"/>
      <c r="M112" s="1000"/>
      <c r="N112" s="999"/>
      <c r="O112" s="1904"/>
      <c r="P112" s="1905">
        <v>107.36842105263159</v>
      </c>
      <c r="Q112" s="1000"/>
      <c r="R112" s="999"/>
      <c r="S112" s="1000"/>
      <c r="T112" s="999"/>
      <c r="U112" s="494"/>
      <c r="V112" s="1905">
        <f>V107/V102</f>
        <v>150</v>
      </c>
      <c r="W112" s="1000"/>
      <c r="X112" s="999"/>
      <c r="Y112" s="1000"/>
      <c r="Z112" s="1460"/>
      <c r="AA112" s="668"/>
      <c r="AB112" s="668"/>
      <c r="AC112" s="1106"/>
      <c r="AD112" s="21"/>
      <c r="AE112" s="21"/>
    </row>
    <row r="113" spans="1:31" ht="13.5" thickBot="1" x14ac:dyDescent="0.25">
      <c r="A113" s="930"/>
      <c r="B113" s="1002" t="s">
        <v>201</v>
      </c>
      <c r="C113" s="2045">
        <f>C108/C103</f>
        <v>433.76237623762376</v>
      </c>
      <c r="D113" s="2046"/>
      <c r="E113" s="1003"/>
      <c r="F113" s="1004"/>
      <c r="G113" s="1005"/>
      <c r="H113" s="1006"/>
      <c r="I113" s="2045">
        <f>I108/I103</f>
        <v>324.21052631578948</v>
      </c>
      <c r="J113" s="2046"/>
      <c r="K113" s="1005"/>
      <c r="L113" s="1006"/>
      <c r="M113" s="1005"/>
      <c r="N113" s="1006"/>
      <c r="O113" s="1906"/>
      <c r="P113" s="1907">
        <v>186.9607843137255</v>
      </c>
      <c r="Q113" s="1005"/>
      <c r="R113" s="1006"/>
      <c r="S113" s="1005"/>
      <c r="T113" s="1006"/>
      <c r="U113" s="1233"/>
      <c r="V113" s="1907">
        <f>V108/V103</f>
        <v>140.12244897959184</v>
      </c>
      <c r="W113" s="1005"/>
      <c r="X113" s="1006"/>
      <c r="Y113" s="1005"/>
      <c r="Z113" s="1461"/>
      <c r="AA113" s="668"/>
      <c r="AB113" s="668"/>
      <c r="AC113" s="1106"/>
      <c r="AD113" s="21"/>
      <c r="AE113" s="21"/>
    </row>
    <row r="114" spans="1:31" ht="13.5" thickTop="1" x14ac:dyDescent="0.2">
      <c r="A114" s="3"/>
      <c r="B114" s="3" t="str">
        <f>Dean_AS!B169</f>
        <v>*Note: Beginning with the 2009 collection cycle, Instructional FTE was defined according to the national Delaware Study of Instructional Costs and Productivity</v>
      </c>
    </row>
    <row r="115" spans="1:31" x14ac:dyDescent="0.2">
      <c r="A115" s="3"/>
      <c r="B115" s="3"/>
    </row>
    <row r="116" spans="1:31" x14ac:dyDescent="0.2">
      <c r="A116" s="3"/>
      <c r="B116" s="3"/>
    </row>
    <row r="117" spans="1:31" x14ac:dyDescent="0.2">
      <c r="A117" s="3"/>
      <c r="B117" s="3"/>
    </row>
    <row r="118" spans="1:31" x14ac:dyDescent="0.2">
      <c r="A118" s="3"/>
      <c r="B118" s="3"/>
    </row>
    <row r="119" spans="1:31" x14ac:dyDescent="0.2">
      <c r="A119" s="3"/>
      <c r="B119" s="3"/>
    </row>
    <row r="120" spans="1:31" x14ac:dyDescent="0.2">
      <c r="A120" s="3"/>
      <c r="B120" s="3"/>
    </row>
    <row r="121" spans="1:31" x14ac:dyDescent="0.2">
      <c r="A121" s="3"/>
      <c r="B121" s="3"/>
    </row>
    <row r="122" spans="1:31" x14ac:dyDescent="0.2">
      <c r="A122" s="3"/>
      <c r="B122" s="3"/>
    </row>
    <row r="123" spans="1:31" x14ac:dyDescent="0.2">
      <c r="A123" s="3"/>
      <c r="B123" s="3"/>
    </row>
    <row r="124" spans="1:31" x14ac:dyDescent="0.2">
      <c r="A124" s="3"/>
      <c r="B124" s="3"/>
    </row>
    <row r="125" spans="1:31" x14ac:dyDescent="0.2">
      <c r="A125" s="3"/>
      <c r="B125" s="3"/>
    </row>
    <row r="126" spans="1:31" x14ac:dyDescent="0.2">
      <c r="A126" s="3"/>
      <c r="B126" s="3"/>
    </row>
    <row r="127" spans="1:31" x14ac:dyDescent="0.2">
      <c r="A127" s="3"/>
      <c r="B127" s="3"/>
    </row>
    <row r="128" spans="1:31" x14ac:dyDescent="0.2">
      <c r="A128" s="3"/>
      <c r="B128" s="3"/>
    </row>
    <row r="129" spans="1:2" x14ac:dyDescent="0.2">
      <c r="A129" s="3"/>
      <c r="B129" s="3"/>
    </row>
    <row r="130" spans="1:2" x14ac:dyDescent="0.2">
      <c r="A130" s="3"/>
      <c r="B130" s="3"/>
    </row>
    <row r="131" spans="1:2" x14ac:dyDescent="0.2">
      <c r="A131" s="3"/>
      <c r="B131" s="3"/>
    </row>
    <row r="132" spans="1:2" x14ac:dyDescent="0.2">
      <c r="A132" s="3"/>
      <c r="B132" s="3"/>
    </row>
    <row r="133" spans="1:2" x14ac:dyDescent="0.2">
      <c r="A133" s="3"/>
      <c r="B133" s="3"/>
    </row>
    <row r="134" spans="1:2" x14ac:dyDescent="0.2">
      <c r="A134" s="3"/>
      <c r="B134" s="3"/>
    </row>
    <row r="135" spans="1:2" x14ac:dyDescent="0.2">
      <c r="A135" s="3"/>
      <c r="B135" s="3"/>
    </row>
    <row r="136" spans="1:2" x14ac:dyDescent="0.2">
      <c r="A136" s="3"/>
      <c r="B136" s="3"/>
    </row>
    <row r="137" spans="1:2" x14ac:dyDescent="0.2">
      <c r="A137" s="3"/>
      <c r="B137" s="3"/>
    </row>
    <row r="138" spans="1:2" x14ac:dyDescent="0.2">
      <c r="A138" s="3"/>
      <c r="B138" s="3"/>
    </row>
    <row r="139" spans="1:2" x14ac:dyDescent="0.2">
      <c r="A139" s="3"/>
      <c r="B139" s="3"/>
    </row>
    <row r="140" spans="1:2" x14ac:dyDescent="0.2">
      <c r="A140" s="3"/>
      <c r="B140" s="3"/>
    </row>
    <row r="141" spans="1:2" x14ac:dyDescent="0.2">
      <c r="A141" s="3"/>
      <c r="B141" s="3"/>
    </row>
    <row r="142" spans="1:2" x14ac:dyDescent="0.2">
      <c r="A142" s="3"/>
      <c r="B142" s="3"/>
    </row>
    <row r="143" spans="1:2" x14ac:dyDescent="0.2">
      <c r="A143" s="3"/>
      <c r="B143" s="3"/>
    </row>
    <row r="144" spans="1:2" x14ac:dyDescent="0.2">
      <c r="A144" s="3"/>
      <c r="B144" s="3"/>
    </row>
    <row r="145" spans="1:2" x14ac:dyDescent="0.2">
      <c r="A145" s="3"/>
      <c r="B145" s="3"/>
    </row>
    <row r="146" spans="1:2" x14ac:dyDescent="0.2">
      <c r="A146" s="3"/>
      <c r="B146" s="3"/>
    </row>
    <row r="147" spans="1:2" x14ac:dyDescent="0.2">
      <c r="A147" s="3"/>
      <c r="B147" s="3"/>
    </row>
    <row r="148" spans="1:2" x14ac:dyDescent="0.2">
      <c r="A148" s="3"/>
      <c r="B148" s="3"/>
    </row>
    <row r="149" spans="1:2" x14ac:dyDescent="0.2">
      <c r="A149" s="3"/>
      <c r="B149" s="3"/>
    </row>
    <row r="150" spans="1:2" x14ac:dyDescent="0.2">
      <c r="A150" s="3"/>
      <c r="B150" s="3"/>
    </row>
    <row r="151" spans="1:2" x14ac:dyDescent="0.2">
      <c r="A151" s="3"/>
      <c r="B151" s="3"/>
    </row>
    <row r="152" spans="1:2" x14ac:dyDescent="0.2">
      <c r="A152" s="3"/>
      <c r="B152" s="3"/>
    </row>
    <row r="153" spans="1:2" x14ac:dyDescent="0.2">
      <c r="A153" s="3"/>
      <c r="B153" s="3"/>
    </row>
    <row r="154" spans="1:2" x14ac:dyDescent="0.2">
      <c r="A154" s="3"/>
      <c r="B154" s="3"/>
    </row>
    <row r="155" spans="1:2" x14ac:dyDescent="0.2">
      <c r="A155" s="3"/>
      <c r="B155" s="3"/>
    </row>
    <row r="156" spans="1:2" x14ac:dyDescent="0.2">
      <c r="A156" s="3"/>
      <c r="B156" s="3"/>
    </row>
    <row r="157" spans="1:2" x14ac:dyDescent="0.2">
      <c r="A157" s="3"/>
      <c r="B157" s="3"/>
    </row>
    <row r="158" spans="1:2" x14ac:dyDescent="0.2">
      <c r="A158" s="3"/>
      <c r="B158" s="3"/>
    </row>
    <row r="159" spans="1:2" x14ac:dyDescent="0.2">
      <c r="A159" s="3"/>
      <c r="B159" s="3"/>
    </row>
    <row r="160" spans="1:2" x14ac:dyDescent="0.2">
      <c r="A160" s="3"/>
      <c r="B160" s="3"/>
    </row>
    <row r="161" spans="1:2" x14ac:dyDescent="0.2">
      <c r="A161" s="3"/>
      <c r="B161" s="3"/>
    </row>
    <row r="162" spans="1:2" x14ac:dyDescent="0.2">
      <c r="A162" s="3"/>
      <c r="B162" s="3"/>
    </row>
    <row r="163" spans="1:2" x14ac:dyDescent="0.2">
      <c r="A163" s="3"/>
      <c r="B163" s="3"/>
    </row>
    <row r="164" spans="1:2" x14ac:dyDescent="0.2">
      <c r="A164" s="3"/>
      <c r="B164" s="3"/>
    </row>
    <row r="165" spans="1:2" x14ac:dyDescent="0.2">
      <c r="A165" s="3"/>
      <c r="B165" s="3"/>
    </row>
    <row r="166" spans="1:2" x14ac:dyDescent="0.2">
      <c r="A166" s="3"/>
      <c r="B166" s="3"/>
    </row>
    <row r="167" spans="1:2" x14ac:dyDescent="0.2">
      <c r="A167" s="3"/>
      <c r="B167" s="3"/>
    </row>
    <row r="168" spans="1:2" x14ac:dyDescent="0.2">
      <c r="A168" s="3"/>
      <c r="B168" s="3"/>
    </row>
    <row r="169" spans="1:2" x14ac:dyDescent="0.2">
      <c r="A169" s="3"/>
      <c r="B169" s="3"/>
    </row>
    <row r="170" spans="1:2" x14ac:dyDescent="0.2">
      <c r="A170" s="3"/>
      <c r="B170" s="3"/>
    </row>
    <row r="171" spans="1:2" x14ac:dyDescent="0.2">
      <c r="A171" s="3"/>
      <c r="B171" s="3"/>
    </row>
    <row r="172" spans="1:2" x14ac:dyDescent="0.2">
      <c r="A172" s="3"/>
      <c r="B172" s="3"/>
    </row>
    <row r="173" spans="1:2" x14ac:dyDescent="0.2">
      <c r="A173" s="3"/>
      <c r="B173" s="3"/>
    </row>
    <row r="174" spans="1:2" x14ac:dyDescent="0.2">
      <c r="A174" s="3"/>
      <c r="B174" s="3"/>
    </row>
    <row r="175" spans="1:2" x14ac:dyDescent="0.2">
      <c r="A175" s="3"/>
      <c r="B175" s="3"/>
    </row>
    <row r="176" spans="1:2" x14ac:dyDescent="0.2">
      <c r="A176" s="3"/>
      <c r="B176" s="3"/>
    </row>
    <row r="177" spans="1:2" x14ac:dyDescent="0.2">
      <c r="A177" s="3"/>
      <c r="B177" s="3"/>
    </row>
    <row r="178" spans="1:2" x14ac:dyDescent="0.2">
      <c r="A178" s="3"/>
      <c r="B178" s="3"/>
    </row>
    <row r="179" spans="1:2" x14ac:dyDescent="0.2">
      <c r="A179" s="3"/>
      <c r="B179" s="3"/>
    </row>
    <row r="180" spans="1:2" x14ac:dyDescent="0.2">
      <c r="A180" s="3"/>
      <c r="B180" s="3"/>
    </row>
    <row r="181" spans="1:2" x14ac:dyDescent="0.2">
      <c r="A181" s="3"/>
      <c r="B181" s="3"/>
    </row>
    <row r="182" spans="1:2" x14ac:dyDescent="0.2">
      <c r="A182" s="3"/>
      <c r="B182" s="3"/>
    </row>
    <row r="183" spans="1:2" x14ac:dyDescent="0.2">
      <c r="A183" s="3"/>
      <c r="B183" s="3"/>
    </row>
    <row r="184" spans="1:2" x14ac:dyDescent="0.2">
      <c r="A184" s="3"/>
      <c r="B184" s="3"/>
    </row>
    <row r="185" spans="1:2" x14ac:dyDescent="0.2">
      <c r="A185" s="3"/>
      <c r="B185" s="3"/>
    </row>
    <row r="186" spans="1:2" x14ac:dyDescent="0.2">
      <c r="A186" s="3"/>
      <c r="B186" s="3"/>
    </row>
    <row r="187" spans="1:2" x14ac:dyDescent="0.2">
      <c r="A187" s="3"/>
      <c r="B187" s="3"/>
    </row>
    <row r="188" spans="1:2" x14ac:dyDescent="0.2">
      <c r="A188" s="3"/>
      <c r="B188" s="3"/>
    </row>
    <row r="189" spans="1:2" x14ac:dyDescent="0.2">
      <c r="A189" s="3"/>
      <c r="B189" s="3"/>
    </row>
    <row r="190" spans="1:2" x14ac:dyDescent="0.2">
      <c r="A190" s="3"/>
      <c r="B190" s="3"/>
    </row>
    <row r="191" spans="1:2" x14ac:dyDescent="0.2">
      <c r="A191" s="3"/>
      <c r="B191" s="3"/>
    </row>
    <row r="192" spans="1:2" x14ac:dyDescent="0.2">
      <c r="A192" s="3"/>
      <c r="B192" s="3"/>
    </row>
    <row r="193" spans="1:2" x14ac:dyDescent="0.2">
      <c r="A193" s="3"/>
      <c r="B193" s="3"/>
    </row>
    <row r="194" spans="1:2" x14ac:dyDescent="0.2">
      <c r="A194" s="3"/>
      <c r="B194" s="3"/>
    </row>
    <row r="195" spans="1:2" x14ac:dyDescent="0.2">
      <c r="A195" s="3"/>
      <c r="B195" s="3"/>
    </row>
    <row r="196" spans="1:2" x14ac:dyDescent="0.2">
      <c r="A196" s="3"/>
      <c r="B196" s="3"/>
    </row>
    <row r="197" spans="1:2" x14ac:dyDescent="0.2">
      <c r="A197" s="3"/>
      <c r="B197" s="3"/>
    </row>
    <row r="198" spans="1:2" x14ac:dyDescent="0.2">
      <c r="A198" s="3"/>
      <c r="B198" s="3"/>
    </row>
    <row r="199" spans="1:2" x14ac:dyDescent="0.2">
      <c r="A199" s="3"/>
      <c r="B199" s="3"/>
    </row>
    <row r="200" spans="1:2" x14ac:dyDescent="0.2">
      <c r="A200" s="3"/>
      <c r="B200" s="3"/>
    </row>
    <row r="201" spans="1:2" x14ac:dyDescent="0.2">
      <c r="A201" s="3"/>
      <c r="B201" s="3"/>
    </row>
    <row r="202" spans="1:2" x14ac:dyDescent="0.2">
      <c r="A202" s="3"/>
      <c r="B202" s="3"/>
    </row>
    <row r="203" spans="1:2" x14ac:dyDescent="0.2">
      <c r="A203" s="3"/>
      <c r="B203" s="3"/>
    </row>
    <row r="204" spans="1:2" x14ac:dyDescent="0.2">
      <c r="A204" s="3"/>
      <c r="B204" s="3"/>
    </row>
    <row r="205" spans="1:2" x14ac:dyDescent="0.2">
      <c r="A205" s="3"/>
      <c r="B205" s="3"/>
    </row>
    <row r="206" spans="1:2" x14ac:dyDescent="0.2">
      <c r="A206" s="3"/>
      <c r="B206" s="3"/>
    </row>
    <row r="207" spans="1:2" x14ac:dyDescent="0.2">
      <c r="A207" s="3"/>
      <c r="B207" s="3"/>
    </row>
    <row r="208" spans="1:2" x14ac:dyDescent="0.2">
      <c r="A208" s="3"/>
      <c r="B208" s="3"/>
    </row>
    <row r="209" spans="1:2" x14ac:dyDescent="0.2">
      <c r="A209" s="3"/>
      <c r="B209" s="3"/>
    </row>
  </sheetData>
  <mergeCells count="141">
    <mergeCell ref="C29:D29"/>
    <mergeCell ref="E29:F29"/>
    <mergeCell ref="G29:H29"/>
    <mergeCell ref="I103:J103"/>
    <mergeCell ref="C100:D100"/>
    <mergeCell ref="C113:D113"/>
    <mergeCell ref="I113:J113"/>
    <mergeCell ref="AB7:AC7"/>
    <mergeCell ref="AB20:AC20"/>
    <mergeCell ref="AB35:AC35"/>
    <mergeCell ref="AB61:AC61"/>
    <mergeCell ref="AB31:AC31"/>
    <mergeCell ref="AB28:AC28"/>
    <mergeCell ref="C110:D110"/>
    <mergeCell ref="I110:J110"/>
    <mergeCell ref="Q91:R91"/>
    <mergeCell ref="Q96:R96"/>
    <mergeCell ref="Q7:R7"/>
    <mergeCell ref="Q20:R20"/>
    <mergeCell ref="Q28:R28"/>
    <mergeCell ref="Q31:R31"/>
    <mergeCell ref="Q35:R35"/>
    <mergeCell ref="Q61:R61"/>
    <mergeCell ref="U91:V91"/>
    <mergeCell ref="C105:D105"/>
    <mergeCell ref="I105:J105"/>
    <mergeCell ref="C91:D91"/>
    <mergeCell ref="E91:F91"/>
    <mergeCell ref="K91:L91"/>
    <mergeCell ref="M91:N91"/>
    <mergeCell ref="C61:D61"/>
    <mergeCell ref="E61:F61"/>
    <mergeCell ref="E35:F35"/>
    <mergeCell ref="C35:D35"/>
    <mergeCell ref="G61:H61"/>
    <mergeCell ref="I35:J35"/>
    <mergeCell ref="C112:D112"/>
    <mergeCell ref="I112:J112"/>
    <mergeCell ref="C107:D107"/>
    <mergeCell ref="I107:J107"/>
    <mergeCell ref="C108:D108"/>
    <mergeCell ref="I108:J108"/>
    <mergeCell ref="C109:D109"/>
    <mergeCell ref="I109:J109"/>
    <mergeCell ref="C98:D98"/>
    <mergeCell ref="I98:J98"/>
    <mergeCell ref="C99:D99"/>
    <mergeCell ref="I99:J99"/>
    <mergeCell ref="C102:D102"/>
    <mergeCell ref="I102:J102"/>
    <mergeCell ref="I100:J100"/>
    <mergeCell ref="C101:D101"/>
    <mergeCell ref="I101:J101"/>
    <mergeCell ref="C103:D103"/>
    <mergeCell ref="C106:D106"/>
    <mergeCell ref="I106:J106"/>
    <mergeCell ref="C111:D111"/>
    <mergeCell ref="I111:J111"/>
    <mergeCell ref="C104:D104"/>
    <mergeCell ref="I104:J104"/>
    <mergeCell ref="AB91:AC91"/>
    <mergeCell ref="C96:D96"/>
    <mergeCell ref="E96:F96"/>
    <mergeCell ref="G96:H96"/>
    <mergeCell ref="I96:J96"/>
    <mergeCell ref="K96:L96"/>
    <mergeCell ref="M96:N96"/>
    <mergeCell ref="AB96:AC96"/>
    <mergeCell ref="O91:P91"/>
    <mergeCell ref="G91:H91"/>
    <mergeCell ref="I91:J91"/>
    <mergeCell ref="W91:X91"/>
    <mergeCell ref="W96:X96"/>
    <mergeCell ref="U96:V96"/>
    <mergeCell ref="O96:P96"/>
    <mergeCell ref="C20:D20"/>
    <mergeCell ref="E20:F20"/>
    <mergeCell ref="G20:H20"/>
    <mergeCell ref="I7:J7"/>
    <mergeCell ref="I20:J20"/>
    <mergeCell ref="C30:D30"/>
    <mergeCell ref="E30:F30"/>
    <mergeCell ref="I61:J61"/>
    <mergeCell ref="O35:P35"/>
    <mergeCell ref="O61:P61"/>
    <mergeCell ref="K35:L35"/>
    <mergeCell ref="K61:L61"/>
    <mergeCell ref="M35:N35"/>
    <mergeCell ref="G35:H35"/>
    <mergeCell ref="M61:N61"/>
    <mergeCell ref="M28:N28"/>
    <mergeCell ref="M31:N31"/>
    <mergeCell ref="C28:D28"/>
    <mergeCell ref="E28:F28"/>
    <mergeCell ref="G28:H28"/>
    <mergeCell ref="G30:H30"/>
    <mergeCell ref="C31:D31"/>
    <mergeCell ref="E31:F31"/>
    <mergeCell ref="G31:H31"/>
    <mergeCell ref="M7:N7"/>
    <mergeCell ref="M20:N20"/>
    <mergeCell ref="K31:L31"/>
    <mergeCell ref="I29:J29"/>
    <mergeCell ref="I28:J28"/>
    <mergeCell ref="K7:L7"/>
    <mergeCell ref="K20:L20"/>
    <mergeCell ref="O7:P7"/>
    <mergeCell ref="O20:P20"/>
    <mergeCell ref="O28:P28"/>
    <mergeCell ref="K28:L28"/>
    <mergeCell ref="I31:J31"/>
    <mergeCell ref="I30:J30"/>
    <mergeCell ref="U31:V31"/>
    <mergeCell ref="U35:V35"/>
    <mergeCell ref="U61:V61"/>
    <mergeCell ref="O31:P31"/>
    <mergeCell ref="S91:T91"/>
    <mergeCell ref="S96:T96"/>
    <mergeCell ref="S7:T7"/>
    <mergeCell ref="S20:T20"/>
    <mergeCell ref="S28:T28"/>
    <mergeCell ref="S31:T31"/>
    <mergeCell ref="S35:T35"/>
    <mergeCell ref="S61:T61"/>
    <mergeCell ref="U28:V28"/>
    <mergeCell ref="U7:V7"/>
    <mergeCell ref="U20:V20"/>
    <mergeCell ref="Y7:Z7"/>
    <mergeCell ref="Y20:Z20"/>
    <mergeCell ref="Y28:Z28"/>
    <mergeCell ref="Y31:Z31"/>
    <mergeCell ref="Y35:Z35"/>
    <mergeCell ref="Y61:Z61"/>
    <mergeCell ref="Y91:Z91"/>
    <mergeCell ref="Y96:Z96"/>
    <mergeCell ref="W7:X7"/>
    <mergeCell ref="W20:X20"/>
    <mergeCell ref="W28:X28"/>
    <mergeCell ref="W31:X31"/>
    <mergeCell ref="W35:X35"/>
    <mergeCell ref="W61:X61"/>
  </mergeCells>
  <phoneticPr fontId="3" type="noConversion"/>
  <printOptions horizontalCentered="1"/>
  <pageMargins left="0.5" right="0.5" top="0.5" bottom="0.5" header="0.5" footer="0.5"/>
  <pageSetup scale="69" orientation="landscape" r:id="rId1"/>
  <headerFooter alignWithMargins="0">
    <oddFooter>&amp;R&amp;P of &amp;N
&amp;D</oddFooter>
  </headerFooter>
  <rowBreaks count="1" manualBreakCount="1">
    <brk id="58" max="20" man="1"/>
  </rowBreaks>
  <ignoredErrors>
    <ignoredError sqref="M78:M86 M71:M76 S71:S7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1"/>
  <sheetViews>
    <sheetView view="pageBreakPreview" zoomScaleNormal="100" workbookViewId="0">
      <pane xSplit="2" ySplit="1" topLeftCell="O44" activePane="bottomRight" state="frozen"/>
      <selection activeCell="AF81" sqref="AF81"/>
      <selection pane="topRight" activeCell="AF81" sqref="AF81"/>
      <selection pane="bottomLeft" activeCell="AF81" sqref="AF81"/>
      <selection pane="bottomRight" activeCell="AF81" sqref="AF81"/>
    </sheetView>
  </sheetViews>
  <sheetFormatPr defaultColWidth="10.28515625" defaultRowHeight="12.75" x14ac:dyDescent="0.2"/>
  <cols>
    <col min="1" max="1" width="3.7109375" customWidth="1"/>
    <col min="2" max="2" width="24.28515625" customWidth="1"/>
    <col min="3" max="9" width="9.42578125" hidden="1" customWidth="1"/>
    <col min="10" max="10" width="10.5703125" hidden="1" customWidth="1"/>
    <col min="11" max="11" width="7.7109375" hidden="1" customWidth="1"/>
    <col min="12" max="12" width="10.5703125" hidden="1" customWidth="1"/>
    <col min="13" max="13" width="7.7109375" hidden="1" customWidth="1"/>
    <col min="14" max="14" width="10.5703125" hidden="1" customWidth="1"/>
    <col min="15" max="15" width="7.7109375" customWidth="1"/>
    <col min="16" max="16" width="10.5703125" customWidth="1"/>
    <col min="17" max="17" width="7.7109375" customWidth="1"/>
    <col min="18" max="18" width="10.5703125" customWidth="1"/>
    <col min="19" max="19" width="7.7109375" customWidth="1"/>
    <col min="20" max="20" width="10.5703125" customWidth="1"/>
    <col min="21" max="21" width="7.7109375" customWidth="1"/>
    <col min="22" max="22" width="10.5703125" customWidth="1"/>
    <col min="23" max="23" width="7.7109375" customWidth="1"/>
    <col min="24" max="24" width="10.5703125" customWidth="1"/>
    <col min="25" max="25" width="7.7109375" customWidth="1"/>
    <col min="26" max="26" width="10.5703125" customWidth="1"/>
    <col min="27" max="27" width="1.7109375" customWidth="1"/>
    <col min="28" max="28" width="7.7109375" customWidth="1"/>
    <col min="29" max="29" width="10.5703125" customWidth="1"/>
    <col min="30" max="30" width="2" customWidth="1"/>
  </cols>
  <sheetData>
    <row r="1" spans="1:29" s="3" customFormat="1" ht="18" x14ac:dyDescent="0.25">
      <c r="A1" s="1183" t="str">
        <f>Dean_AS!A1</f>
        <v>Department Profile Report - FY 2015</v>
      </c>
      <c r="B1" s="1183"/>
      <c r="C1" s="1183"/>
      <c r="D1" s="1183"/>
      <c r="E1" s="1183"/>
      <c r="F1" s="1183"/>
      <c r="G1" s="1183"/>
      <c r="H1" s="1183"/>
      <c r="I1" s="1183"/>
      <c r="J1" s="1183"/>
      <c r="K1" s="1183"/>
      <c r="L1" s="1183"/>
      <c r="M1" s="1228"/>
      <c r="N1" s="1228"/>
      <c r="O1" s="1228"/>
      <c r="P1" s="1228"/>
      <c r="Q1" s="1228"/>
      <c r="R1" s="1228"/>
      <c r="S1" s="1228"/>
      <c r="T1" s="1228"/>
      <c r="U1" s="1228"/>
      <c r="V1" s="1228"/>
      <c r="W1" s="1228"/>
      <c r="X1" s="1228"/>
      <c r="Y1" s="1228"/>
      <c r="Z1" s="1228"/>
      <c r="AA1" s="1228"/>
      <c r="AB1" s="1228"/>
      <c r="AC1" s="1228"/>
    </row>
    <row r="2" spans="1:29" x14ac:dyDescent="0.2">
      <c r="A2" s="1397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9" x14ac:dyDescent="0.2">
      <c r="A3" s="112" t="s">
        <v>155</v>
      </c>
      <c r="B3" s="117"/>
      <c r="C3" s="117"/>
      <c r="D3" s="117"/>
      <c r="E3" s="117"/>
      <c r="F3" s="117"/>
      <c r="G3" s="117"/>
      <c r="H3" s="117"/>
      <c r="I3" s="117"/>
      <c r="J3" s="117"/>
      <c r="K3" s="3"/>
      <c r="L3" s="3"/>
    </row>
    <row r="4" spans="1:29" x14ac:dyDescent="0.2">
      <c r="A4" s="1"/>
      <c r="B4" s="117"/>
      <c r="C4" s="117"/>
      <c r="D4" s="117"/>
      <c r="E4" s="117"/>
      <c r="F4" s="117"/>
      <c r="G4" s="117"/>
      <c r="H4" s="117"/>
      <c r="I4" s="117"/>
      <c r="J4" s="117"/>
      <c r="K4" s="3"/>
      <c r="L4" s="3"/>
    </row>
    <row r="5" spans="1:29" x14ac:dyDescent="0.2">
      <c r="A5" s="2" t="s">
        <v>77</v>
      </c>
      <c r="B5" s="117"/>
      <c r="C5" s="117"/>
      <c r="D5" s="117"/>
      <c r="E5" s="117"/>
      <c r="F5" s="117"/>
      <c r="G5" s="117"/>
      <c r="H5" s="117"/>
      <c r="I5" s="117"/>
      <c r="J5" s="117"/>
      <c r="K5" s="3"/>
      <c r="L5" s="3"/>
    </row>
    <row r="6" spans="1:29" ht="13.5" thickBot="1" x14ac:dyDescent="0.25">
      <c r="A6" s="2"/>
      <c r="B6" s="117"/>
      <c r="C6" s="117"/>
      <c r="D6" s="117"/>
      <c r="E6" s="117"/>
      <c r="F6" s="117"/>
      <c r="G6" s="117"/>
      <c r="H6" s="117"/>
      <c r="I6" s="117"/>
      <c r="J6" s="117"/>
      <c r="K6" s="3"/>
      <c r="L6" s="3"/>
    </row>
    <row r="7" spans="1:29" ht="14.25" thickTop="1" thickBot="1" x14ac:dyDescent="0.25">
      <c r="A7" s="1"/>
      <c r="B7" s="119"/>
      <c r="C7" s="1968" t="s">
        <v>49</v>
      </c>
      <c r="D7" s="1980"/>
      <c r="E7" s="2033" t="s">
        <v>50</v>
      </c>
      <c r="F7" s="1980"/>
      <c r="G7" s="2033" t="s">
        <v>141</v>
      </c>
      <c r="H7" s="1980"/>
      <c r="I7" s="2033" t="s">
        <v>152</v>
      </c>
      <c r="J7" s="1980"/>
      <c r="K7" s="29" t="s">
        <v>154</v>
      </c>
      <c r="L7" s="7"/>
      <c r="M7" s="10" t="s">
        <v>171</v>
      </c>
      <c r="N7" s="51"/>
      <c r="O7" s="29" t="s">
        <v>227</v>
      </c>
      <c r="P7" s="51"/>
      <c r="Q7" s="29" t="s">
        <v>237</v>
      </c>
      <c r="R7" s="51"/>
      <c r="S7" s="29" t="s">
        <v>272</v>
      </c>
      <c r="T7" s="51"/>
      <c r="U7" s="29" t="s">
        <v>274</v>
      </c>
      <c r="V7" s="51"/>
      <c r="W7" s="29" t="s">
        <v>280</v>
      </c>
      <c r="X7" s="51"/>
      <c r="Y7" s="29" t="s">
        <v>290</v>
      </c>
      <c r="Z7" s="1405"/>
      <c r="AB7" s="2003" t="s">
        <v>213</v>
      </c>
      <c r="AC7" s="2004"/>
    </row>
    <row r="8" spans="1:29" x14ac:dyDescent="0.2">
      <c r="A8" s="1"/>
      <c r="B8" s="122"/>
      <c r="C8" s="42" t="s">
        <v>1</v>
      </c>
      <c r="D8" s="47" t="s">
        <v>2</v>
      </c>
      <c r="E8" s="42" t="s">
        <v>1</v>
      </c>
      <c r="F8" s="47" t="s">
        <v>2</v>
      </c>
      <c r="G8" s="42" t="s">
        <v>1</v>
      </c>
      <c r="H8" s="47" t="s">
        <v>2</v>
      </c>
      <c r="I8" s="42" t="s">
        <v>1</v>
      </c>
      <c r="J8" s="47" t="s">
        <v>2</v>
      </c>
      <c r="K8" s="42" t="s">
        <v>1</v>
      </c>
      <c r="L8" s="8" t="s">
        <v>2</v>
      </c>
      <c r="M8" s="11" t="s">
        <v>1</v>
      </c>
      <c r="N8" s="47" t="s">
        <v>2</v>
      </c>
      <c r="O8" s="42" t="s">
        <v>1</v>
      </c>
      <c r="P8" s="47" t="s">
        <v>2</v>
      </c>
      <c r="Q8" s="42" t="s">
        <v>1</v>
      </c>
      <c r="R8" s="47" t="s">
        <v>2</v>
      </c>
      <c r="S8" s="42" t="s">
        <v>1</v>
      </c>
      <c r="T8" s="47" t="s">
        <v>2</v>
      </c>
      <c r="U8" s="42" t="s">
        <v>1</v>
      </c>
      <c r="V8" s="47" t="s">
        <v>2</v>
      </c>
      <c r="W8" s="42" t="s">
        <v>1</v>
      </c>
      <c r="X8" s="47" t="s">
        <v>2</v>
      </c>
      <c r="Y8" s="42" t="s">
        <v>1</v>
      </c>
      <c r="Z8" s="1406" t="s">
        <v>2</v>
      </c>
      <c r="AB8" s="921" t="s">
        <v>214</v>
      </c>
      <c r="AC8" s="922" t="s">
        <v>215</v>
      </c>
    </row>
    <row r="9" spans="1:29" ht="13.5" thickBot="1" x14ac:dyDescent="0.25">
      <c r="A9" s="1"/>
      <c r="B9" s="122"/>
      <c r="C9" s="46" t="s">
        <v>3</v>
      </c>
      <c r="D9" s="48" t="s">
        <v>4</v>
      </c>
      <c r="E9" s="46" t="s">
        <v>3</v>
      </c>
      <c r="F9" s="48" t="s">
        <v>4</v>
      </c>
      <c r="G9" s="46" t="s">
        <v>3</v>
      </c>
      <c r="H9" s="48" t="s">
        <v>4</v>
      </c>
      <c r="I9" s="46" t="s">
        <v>3</v>
      </c>
      <c r="J9" s="48" t="s">
        <v>4</v>
      </c>
      <c r="K9" s="46" t="s">
        <v>3</v>
      </c>
      <c r="L9" s="26" t="s">
        <v>4</v>
      </c>
      <c r="M9" s="25" t="s">
        <v>3</v>
      </c>
      <c r="N9" s="48" t="s">
        <v>4</v>
      </c>
      <c r="O9" s="46" t="s">
        <v>3</v>
      </c>
      <c r="P9" s="48" t="s">
        <v>4</v>
      </c>
      <c r="Q9" s="46" t="s">
        <v>3</v>
      </c>
      <c r="R9" s="48" t="s">
        <v>4</v>
      </c>
      <c r="S9" s="46" t="s">
        <v>3</v>
      </c>
      <c r="T9" s="48" t="s">
        <v>4</v>
      </c>
      <c r="U9" s="46" t="s">
        <v>3</v>
      </c>
      <c r="V9" s="48" t="s">
        <v>4</v>
      </c>
      <c r="W9" s="46" t="s">
        <v>3</v>
      </c>
      <c r="X9" s="48" t="s">
        <v>4</v>
      </c>
      <c r="Y9" s="46" t="s">
        <v>3</v>
      </c>
      <c r="Z9" s="1407" t="s">
        <v>4</v>
      </c>
      <c r="AB9" s="923" t="s">
        <v>3</v>
      </c>
      <c r="AC9" s="924" t="s">
        <v>4</v>
      </c>
    </row>
    <row r="10" spans="1:29" x14ac:dyDescent="0.2">
      <c r="A10" s="1"/>
      <c r="B10" s="586" t="s">
        <v>5</v>
      </c>
      <c r="C10" s="562"/>
      <c r="D10" s="582"/>
      <c r="E10" s="562"/>
      <c r="F10" s="582"/>
      <c r="G10" s="562"/>
      <c r="H10" s="584"/>
      <c r="I10" s="562"/>
      <c r="J10" s="584"/>
      <c r="K10" s="130"/>
      <c r="L10" s="150"/>
      <c r="M10" s="305"/>
      <c r="N10" s="131"/>
      <c r="O10" s="130"/>
      <c r="P10" s="131"/>
      <c r="Q10" s="130"/>
      <c r="R10" s="131"/>
      <c r="S10" s="130"/>
      <c r="T10" s="131"/>
      <c r="U10" s="130"/>
      <c r="V10" s="131"/>
      <c r="W10" s="130"/>
      <c r="X10" s="131"/>
      <c r="Y10" s="130"/>
      <c r="Z10" s="296"/>
      <c r="AB10" s="925"/>
      <c r="AC10" s="581"/>
    </row>
    <row r="11" spans="1:29" x14ac:dyDescent="0.2">
      <c r="A11" s="1"/>
      <c r="B11" s="408" t="s">
        <v>270</v>
      </c>
      <c r="C11" s="563"/>
      <c r="D11" s="583"/>
      <c r="E11" s="563"/>
      <c r="F11" s="583"/>
      <c r="G11" s="563"/>
      <c r="H11" s="585"/>
      <c r="I11" s="563"/>
      <c r="J11" s="585"/>
      <c r="K11" s="404"/>
      <c r="L11" s="129"/>
      <c r="M11" s="318"/>
      <c r="N11" s="405"/>
      <c r="O11" s="404"/>
      <c r="P11" s="405"/>
      <c r="Q11" s="404"/>
      <c r="R11" s="405"/>
      <c r="S11" s="404"/>
      <c r="T11" s="405"/>
      <c r="U11" s="404"/>
      <c r="V11" s="405"/>
      <c r="W11" s="404"/>
      <c r="X11" s="405"/>
      <c r="Y11" s="404"/>
      <c r="Z11" s="291"/>
      <c r="AB11" s="926"/>
      <c r="AC11" s="927"/>
    </row>
    <row r="12" spans="1:29" x14ac:dyDescent="0.2">
      <c r="A12" s="1"/>
      <c r="B12" s="1205" t="s">
        <v>229</v>
      </c>
      <c r="C12" s="1911"/>
      <c r="D12" s="1912"/>
      <c r="E12" s="1206"/>
      <c r="F12" s="1207"/>
      <c r="G12" s="1206"/>
      <c r="H12" s="1208"/>
      <c r="I12" s="1206"/>
      <c r="J12" s="1208"/>
      <c r="K12" s="1209"/>
      <c r="L12" s="1210"/>
      <c r="M12" s="1211"/>
      <c r="N12" s="1212"/>
      <c r="O12" s="1263">
        <v>0</v>
      </c>
      <c r="P12" s="1420">
        <v>0</v>
      </c>
      <c r="Q12" s="1263">
        <v>21</v>
      </c>
      <c r="R12" s="1420">
        <v>5</v>
      </c>
      <c r="S12" s="1263">
        <v>22</v>
      </c>
      <c r="T12" s="1420">
        <v>2</v>
      </c>
      <c r="U12" s="1263">
        <f>18</f>
        <v>18</v>
      </c>
      <c r="V12" s="1420">
        <v>1</v>
      </c>
      <c r="W12" s="1263">
        <v>21</v>
      </c>
      <c r="X12" s="1420">
        <v>7</v>
      </c>
      <c r="Y12" s="1263">
        <v>12</v>
      </c>
      <c r="Z12" s="1681"/>
      <c r="AB12" s="926">
        <f>AVERAGE(W12,U12,S12,Q12,Y12)</f>
        <v>18.8</v>
      </c>
      <c r="AC12" s="928">
        <f>AVERAGE(V12,T12,R12,P12,X12)</f>
        <v>3</v>
      </c>
    </row>
    <row r="13" spans="1:29" s="617" customFormat="1" x14ac:dyDescent="0.2">
      <c r="A13" s="780"/>
      <c r="B13" s="781" t="s">
        <v>80</v>
      </c>
      <c r="C13" s="782">
        <v>17</v>
      </c>
      <c r="D13" s="830">
        <v>0</v>
      </c>
      <c r="E13" s="782">
        <v>24</v>
      </c>
      <c r="F13" s="830">
        <v>0</v>
      </c>
      <c r="G13" s="782">
        <v>32</v>
      </c>
      <c r="H13" s="783">
        <v>3</v>
      </c>
      <c r="I13" s="782">
        <v>36</v>
      </c>
      <c r="J13" s="783">
        <v>8</v>
      </c>
      <c r="K13" s="782">
        <v>31</v>
      </c>
      <c r="L13" s="802">
        <v>6</v>
      </c>
      <c r="M13" s="806">
        <v>26</v>
      </c>
      <c r="N13" s="830">
        <v>13</v>
      </c>
      <c r="O13" s="782">
        <v>30</v>
      </c>
      <c r="P13" s="830">
        <v>4</v>
      </c>
      <c r="Q13" s="782">
        <v>40</v>
      </c>
      <c r="R13" s="830">
        <v>0</v>
      </c>
      <c r="S13" s="782">
        <v>66</v>
      </c>
      <c r="T13" s="830">
        <v>28</v>
      </c>
      <c r="U13" s="782">
        <v>67</v>
      </c>
      <c r="V13" s="830">
        <v>36</v>
      </c>
      <c r="W13" s="782">
        <v>64</v>
      </c>
      <c r="X13" s="830">
        <v>35</v>
      </c>
      <c r="Y13" s="782">
        <v>43</v>
      </c>
      <c r="Z13" s="1682"/>
      <c r="AA13" s="1395"/>
      <c r="AB13" s="926">
        <f t="shared" ref="AB13" si="0">AVERAGE(W13,U13,S13,Q13,O13)</f>
        <v>53.4</v>
      </c>
      <c r="AC13" s="928">
        <f>AVERAGE(V13,T13,R13,P13,X13)</f>
        <v>20.6</v>
      </c>
    </row>
    <row r="14" spans="1:29" s="617" customFormat="1" ht="13.5" thickBot="1" x14ac:dyDescent="0.25">
      <c r="A14" s="780"/>
      <c r="B14" s="784" t="s">
        <v>39</v>
      </c>
      <c r="C14" s="717">
        <v>22</v>
      </c>
      <c r="D14" s="774" t="s">
        <v>163</v>
      </c>
      <c r="E14" s="717">
        <v>22</v>
      </c>
      <c r="F14" s="774" t="s">
        <v>163</v>
      </c>
      <c r="G14" s="717">
        <v>28</v>
      </c>
      <c r="H14" s="785" t="s">
        <v>163</v>
      </c>
      <c r="I14" s="717">
        <v>37</v>
      </c>
      <c r="J14" s="785" t="s">
        <v>163</v>
      </c>
      <c r="K14" s="717">
        <v>31</v>
      </c>
      <c r="L14" s="767" t="s">
        <v>163</v>
      </c>
      <c r="M14" s="715">
        <v>20</v>
      </c>
      <c r="N14" s="774" t="s">
        <v>163</v>
      </c>
      <c r="O14" s="717">
        <v>25</v>
      </c>
      <c r="P14" s="716">
        <v>5</v>
      </c>
      <c r="Q14" s="717">
        <v>11</v>
      </c>
      <c r="R14" s="716">
        <v>1</v>
      </c>
      <c r="S14" s="717">
        <v>1</v>
      </c>
      <c r="T14" s="716">
        <v>1</v>
      </c>
      <c r="U14" s="762"/>
      <c r="V14" s="1645"/>
      <c r="W14" s="762"/>
      <c r="X14" s="1645"/>
      <c r="Y14" s="762"/>
      <c r="Z14" s="1627"/>
      <c r="AA14" s="1395"/>
      <c r="AB14" s="929"/>
      <c r="AC14" s="1022"/>
    </row>
    <row r="15" spans="1:29" ht="13.5" thickTop="1" x14ac:dyDescent="0.2">
      <c r="A15" s="1"/>
      <c r="B15" s="70" t="s">
        <v>230</v>
      </c>
      <c r="C15" s="70"/>
      <c r="D15" s="70"/>
      <c r="E15" s="70"/>
      <c r="F15" s="70"/>
      <c r="G15" s="70"/>
      <c r="H15" s="70"/>
      <c r="I15" s="70"/>
      <c r="J15" s="70"/>
      <c r="K15" s="33"/>
      <c r="L15" s="34"/>
      <c r="M15" s="33"/>
      <c r="N15" s="34"/>
      <c r="O15" s="33"/>
      <c r="P15" s="34"/>
      <c r="Q15" s="33"/>
      <c r="R15" s="34"/>
      <c r="S15" s="33"/>
      <c r="T15" s="34"/>
      <c r="U15" s="33"/>
      <c r="V15" s="34"/>
      <c r="W15" s="33"/>
      <c r="X15" s="34"/>
      <c r="Y15" s="33"/>
      <c r="Z15" s="34"/>
      <c r="AB15" s="668"/>
      <c r="AC15" s="494"/>
    </row>
    <row r="16" spans="1:29" ht="13.5" thickBot="1" x14ac:dyDescent="0.2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B16" s="668"/>
      <c r="AC16" s="494"/>
    </row>
    <row r="17" spans="1:32" ht="14.25" thickTop="1" thickBot="1" x14ac:dyDescent="0.25">
      <c r="A17" s="1"/>
      <c r="B17" s="340"/>
      <c r="C17" s="2002" t="s">
        <v>49</v>
      </c>
      <c r="D17" s="1982"/>
      <c r="E17" s="1974" t="s">
        <v>50</v>
      </c>
      <c r="F17" s="1982"/>
      <c r="G17" s="1974" t="s">
        <v>141</v>
      </c>
      <c r="H17" s="1982"/>
      <c r="I17" s="2002" t="s">
        <v>152</v>
      </c>
      <c r="J17" s="1982"/>
      <c r="K17" s="592" t="s">
        <v>154</v>
      </c>
      <c r="L17" s="803"/>
      <c r="M17" s="592" t="s">
        <v>171</v>
      </c>
      <c r="N17" s="1186"/>
      <c r="O17" s="1184" t="s">
        <v>227</v>
      </c>
      <c r="P17" s="1186"/>
      <c r="Q17" s="1184" t="s">
        <v>237</v>
      </c>
      <c r="R17" s="1186"/>
      <c r="S17" s="1184" t="s">
        <v>272</v>
      </c>
      <c r="T17" s="1186"/>
      <c r="U17" s="1184" t="s">
        <v>274</v>
      </c>
      <c r="V17" s="1186"/>
      <c r="W17" s="1184" t="s">
        <v>280</v>
      </c>
      <c r="X17" s="1186"/>
      <c r="Y17" s="1184" t="s">
        <v>290</v>
      </c>
      <c r="Z17" s="1408"/>
      <c r="AB17" s="2003" t="s">
        <v>213</v>
      </c>
      <c r="AC17" s="2004"/>
    </row>
    <row r="18" spans="1:32" x14ac:dyDescent="0.2">
      <c r="A18" s="1"/>
      <c r="B18" s="73" t="s">
        <v>7</v>
      </c>
      <c r="C18" s="1058"/>
      <c r="D18" s="1059"/>
      <c r="E18" s="1058"/>
      <c r="F18" s="1059"/>
      <c r="G18" s="1058"/>
      <c r="H18" s="1059"/>
      <c r="I18" s="1058"/>
      <c r="J18" s="1058"/>
      <c r="K18" s="212"/>
      <c r="L18" s="100"/>
      <c r="M18" s="212"/>
      <c r="N18" s="1187"/>
      <c r="O18" s="138"/>
      <c r="P18" s="244"/>
      <c r="Q18" s="138"/>
      <c r="R18" s="244"/>
      <c r="S18" s="138"/>
      <c r="T18" s="244"/>
      <c r="U18" s="138"/>
      <c r="V18" s="244"/>
      <c r="W18" s="138"/>
      <c r="X18" s="244"/>
      <c r="Y18" s="138"/>
      <c r="Z18" s="140"/>
      <c r="AB18" s="857"/>
      <c r="AC18" s="1944"/>
    </row>
    <row r="19" spans="1:32" x14ac:dyDescent="0.2">
      <c r="A19" s="1"/>
      <c r="B19" s="78" t="s">
        <v>8</v>
      </c>
      <c r="C19" s="1060"/>
      <c r="D19" s="1061"/>
      <c r="E19" s="1060"/>
      <c r="F19" s="1061"/>
      <c r="G19" s="1060"/>
      <c r="H19" s="1061"/>
      <c r="I19" s="102"/>
      <c r="J19" s="102"/>
      <c r="K19" s="213"/>
      <c r="L19" s="102"/>
      <c r="M19" s="213"/>
      <c r="N19" s="1027"/>
      <c r="O19" s="139"/>
      <c r="P19" s="245"/>
      <c r="Q19" s="139"/>
      <c r="R19" s="245"/>
      <c r="S19" s="139"/>
      <c r="T19" s="245"/>
      <c r="U19" s="139"/>
      <c r="V19" s="245"/>
      <c r="W19" s="139"/>
      <c r="X19" s="245"/>
      <c r="Y19" s="139"/>
      <c r="Z19" s="141"/>
      <c r="AB19" s="857"/>
      <c r="AC19" s="1944"/>
    </row>
    <row r="20" spans="1:32" x14ac:dyDescent="0.2">
      <c r="A20" s="1"/>
      <c r="B20" s="78" t="s">
        <v>9</v>
      </c>
      <c r="C20" s="102"/>
      <c r="D20" s="1027"/>
      <c r="E20" s="102"/>
      <c r="F20" s="1027"/>
      <c r="G20" s="102"/>
      <c r="H20" s="1027"/>
      <c r="I20" s="102"/>
      <c r="J20" s="102"/>
      <c r="K20" s="213"/>
      <c r="L20" s="103"/>
      <c r="M20" s="213"/>
      <c r="N20" s="1188"/>
      <c r="O20" s="139"/>
      <c r="P20" s="238">
        <v>951</v>
      </c>
      <c r="Q20" s="139"/>
      <c r="R20" s="238">
        <v>2031</v>
      </c>
      <c r="S20" s="139"/>
      <c r="T20" s="238">
        <v>1680</v>
      </c>
      <c r="U20" s="139"/>
      <c r="V20" s="238">
        <v>1803</v>
      </c>
      <c r="W20" s="139"/>
      <c r="X20" s="238">
        <v>1785</v>
      </c>
      <c r="Y20" s="139"/>
      <c r="Z20" s="1674"/>
      <c r="AB20" s="1945"/>
      <c r="AC20" s="1964">
        <f>AVERAGE(X20,V20,T20,R20,P20)</f>
        <v>1650</v>
      </c>
    </row>
    <row r="21" spans="1:32" x14ac:dyDescent="0.2">
      <c r="A21" s="1"/>
      <c r="B21" s="78" t="s">
        <v>10</v>
      </c>
      <c r="C21" s="102"/>
      <c r="D21" s="1027"/>
      <c r="E21" s="102"/>
      <c r="F21" s="1027"/>
      <c r="G21" s="102"/>
      <c r="H21" s="1027"/>
      <c r="I21" s="102"/>
      <c r="J21" s="102"/>
      <c r="K21" s="213"/>
      <c r="L21" s="103"/>
      <c r="M21" s="213"/>
      <c r="N21" s="1188"/>
      <c r="O21" s="139"/>
      <c r="P21" s="238">
        <v>156</v>
      </c>
      <c r="Q21" s="139"/>
      <c r="R21" s="238">
        <v>483</v>
      </c>
      <c r="S21" s="139"/>
      <c r="T21" s="238">
        <v>669</v>
      </c>
      <c r="U21" s="139"/>
      <c r="V21" s="238">
        <v>792</v>
      </c>
      <c r="W21" s="139" t="s">
        <v>29</v>
      </c>
      <c r="X21" s="238">
        <v>624</v>
      </c>
      <c r="Y21" s="139" t="s">
        <v>29</v>
      </c>
      <c r="Z21" s="1674"/>
      <c r="AB21" s="1946"/>
      <c r="AC21" s="1964">
        <f>AVERAGE(X21,V21,T21,R21,P21)</f>
        <v>544.79999999999995</v>
      </c>
    </row>
    <row r="22" spans="1:32" x14ac:dyDescent="0.2">
      <c r="A22" s="1"/>
      <c r="B22" s="78" t="s">
        <v>11</v>
      </c>
      <c r="C22" s="102"/>
      <c r="D22" s="1027"/>
      <c r="E22" s="102"/>
      <c r="F22" s="1027"/>
      <c r="G22" s="102"/>
      <c r="H22" s="1027"/>
      <c r="I22" s="102"/>
      <c r="J22" s="102"/>
      <c r="K22" s="213"/>
      <c r="L22" s="103"/>
      <c r="M22" s="213"/>
      <c r="N22" s="1188"/>
      <c r="O22" s="139"/>
      <c r="P22" s="238"/>
      <c r="Q22" s="139"/>
      <c r="R22" s="238"/>
      <c r="S22" s="139"/>
      <c r="T22" s="238"/>
      <c r="U22" s="139"/>
      <c r="V22" s="238"/>
      <c r="W22" s="139"/>
      <c r="X22" s="238"/>
      <c r="Y22" s="139"/>
      <c r="Z22" s="1674"/>
      <c r="AB22" s="1946"/>
      <c r="AC22" s="1964"/>
    </row>
    <row r="23" spans="1:32" x14ac:dyDescent="0.2">
      <c r="A23" s="1"/>
      <c r="B23" s="78" t="s">
        <v>12</v>
      </c>
      <c r="C23" s="102"/>
      <c r="D23" s="1027"/>
      <c r="E23" s="102"/>
      <c r="F23" s="1027"/>
      <c r="G23" s="102"/>
      <c r="H23" s="1027"/>
      <c r="I23" s="102"/>
      <c r="J23" s="102"/>
      <c r="K23" s="213"/>
      <c r="L23" s="101"/>
      <c r="M23" s="213"/>
      <c r="N23" s="1189"/>
      <c r="O23" s="139"/>
      <c r="P23" s="240"/>
      <c r="Q23" s="139"/>
      <c r="R23" s="240"/>
      <c r="S23" s="139"/>
      <c r="T23" s="240"/>
      <c r="U23" s="139"/>
      <c r="V23" s="240"/>
      <c r="W23" s="139"/>
      <c r="X23" s="240"/>
      <c r="Y23" s="139"/>
      <c r="Z23" s="1650"/>
      <c r="AB23" s="1946"/>
      <c r="AC23" s="1964"/>
    </row>
    <row r="24" spans="1:32" ht="13.5" thickBot="1" x14ac:dyDescent="0.25">
      <c r="A24" s="1"/>
      <c r="B24" s="79" t="s">
        <v>13</v>
      </c>
      <c r="C24" s="900"/>
      <c r="D24" s="901"/>
      <c r="E24" s="900"/>
      <c r="F24" s="901"/>
      <c r="G24" s="900"/>
      <c r="H24" s="901"/>
      <c r="I24" s="900"/>
      <c r="J24" s="900"/>
      <c r="K24" s="1023"/>
      <c r="L24" s="1062"/>
      <c r="M24" s="1023"/>
      <c r="N24" s="1190"/>
      <c r="O24" s="164"/>
      <c r="P24" s="247">
        <f>SUM(P19:P23)</f>
        <v>1107</v>
      </c>
      <c r="Q24" s="164"/>
      <c r="R24" s="247">
        <f>SUM(R19:R23)</f>
        <v>2514</v>
      </c>
      <c r="S24" s="164"/>
      <c r="T24" s="247">
        <f>SUM(T19:T23)</f>
        <v>2349</v>
      </c>
      <c r="U24" s="164"/>
      <c r="V24" s="247">
        <f>SUM(V19:V23)</f>
        <v>2595</v>
      </c>
      <c r="W24" s="164"/>
      <c r="X24" s="247">
        <f>SUM(X19:X23)</f>
        <v>2409</v>
      </c>
      <c r="Y24" s="164"/>
      <c r="Z24" s="1651"/>
      <c r="AB24" s="1947"/>
      <c r="AC24" s="1965">
        <f>AVERAGE(X24,V24,T24,R24,P24)</f>
        <v>2194.8000000000002</v>
      </c>
    </row>
    <row r="25" spans="1:32" ht="12" customHeight="1" thickTop="1" thickBot="1" x14ac:dyDescent="0.25">
      <c r="A25" s="930"/>
      <c r="B25" s="931" t="s">
        <v>212</v>
      </c>
      <c r="C25" s="1992" t="s">
        <v>51</v>
      </c>
      <c r="D25" s="1997"/>
      <c r="E25" s="1992" t="s">
        <v>52</v>
      </c>
      <c r="F25" s="1997"/>
      <c r="G25" s="1989" t="s">
        <v>184</v>
      </c>
      <c r="H25" s="1981"/>
      <c r="I25" s="1989" t="s">
        <v>185</v>
      </c>
      <c r="J25" s="2005"/>
      <c r="K25" s="1989" t="s">
        <v>202</v>
      </c>
      <c r="L25" s="2005"/>
      <c r="M25" s="1991" t="s">
        <v>203</v>
      </c>
      <c r="N25" s="1981"/>
      <c r="O25" s="1970" t="s">
        <v>228</v>
      </c>
      <c r="P25" s="1981"/>
      <c r="Q25" s="1970" t="s">
        <v>238</v>
      </c>
      <c r="R25" s="1981"/>
      <c r="S25" s="1970" t="s">
        <v>273</v>
      </c>
      <c r="T25" s="1981"/>
      <c r="U25" s="1970" t="s">
        <v>275</v>
      </c>
      <c r="V25" s="1981"/>
      <c r="W25" s="1970" t="s">
        <v>281</v>
      </c>
      <c r="X25" s="1981"/>
      <c r="Y25" s="1970" t="s">
        <v>291</v>
      </c>
      <c r="Z25" s="1971"/>
      <c r="AA25" s="968"/>
      <c r="AB25" s="2039"/>
      <c r="AC25" s="2040"/>
      <c r="AD25" s="293"/>
      <c r="AE25" s="293"/>
      <c r="AF25" s="21"/>
    </row>
    <row r="26" spans="1:32" ht="12" customHeight="1" x14ac:dyDescent="0.2">
      <c r="A26" s="930"/>
      <c r="B26" s="933" t="s">
        <v>189</v>
      </c>
      <c r="C26" s="2029"/>
      <c r="D26" s="2030"/>
      <c r="E26" s="2031"/>
      <c r="F26" s="2032"/>
      <c r="G26" s="2031"/>
      <c r="H26" s="2032"/>
      <c r="I26" s="2031"/>
      <c r="J26" s="2041"/>
      <c r="K26" s="1063"/>
      <c r="L26" s="1064"/>
      <c r="M26" s="1065"/>
      <c r="N26" s="1185"/>
      <c r="O26" s="1271"/>
      <c r="P26" s="1178">
        <v>0</v>
      </c>
      <c r="Q26" s="1271"/>
      <c r="R26" s="1178">
        <v>0</v>
      </c>
      <c r="S26" s="1271"/>
      <c r="T26" s="1178">
        <f>12/819</f>
        <v>1.4652014652014652E-2</v>
      </c>
      <c r="U26" s="1271"/>
      <c r="V26" s="1178">
        <v>2.7E-2</v>
      </c>
      <c r="W26" s="1271"/>
      <c r="X26" s="1178">
        <v>0.02</v>
      </c>
      <c r="Y26" s="1271"/>
      <c r="Z26" s="1479">
        <v>1.0999999999999999E-2</v>
      </c>
      <c r="AA26" s="1396"/>
      <c r="AB26" s="1948"/>
      <c r="AC26" s="1949">
        <f>AVERAGE(X26,V26,T26,R26,Z26)</f>
        <v>1.453040293040293E-2</v>
      </c>
      <c r="AD26" s="293"/>
      <c r="AE26" s="293"/>
      <c r="AF26" s="21"/>
    </row>
    <row r="27" spans="1:32" ht="12" customHeight="1" x14ac:dyDescent="0.2">
      <c r="A27" s="930"/>
      <c r="B27" s="940" t="s">
        <v>190</v>
      </c>
      <c r="C27" s="2025"/>
      <c r="D27" s="2026"/>
      <c r="E27" s="2034"/>
      <c r="F27" s="2036"/>
      <c r="G27" s="2034"/>
      <c r="H27" s="2036"/>
      <c r="I27" s="2034"/>
      <c r="J27" s="2035"/>
      <c r="K27" s="1066"/>
      <c r="L27" s="1067"/>
      <c r="M27" s="1066"/>
      <c r="N27" s="1067"/>
      <c r="O27" s="1272"/>
      <c r="P27" s="1179">
        <v>0</v>
      </c>
      <c r="Q27" s="1272"/>
      <c r="R27" s="1179">
        <v>0</v>
      </c>
      <c r="S27" s="1272"/>
      <c r="T27" s="1179">
        <v>0</v>
      </c>
      <c r="U27" s="1272"/>
      <c r="V27" s="1179">
        <v>0</v>
      </c>
      <c r="W27" s="1272"/>
      <c r="X27" s="1179">
        <v>0</v>
      </c>
      <c r="Y27" s="1272"/>
      <c r="Z27" s="1480">
        <v>0</v>
      </c>
      <c r="AA27" s="1396"/>
      <c r="AB27" s="1948"/>
      <c r="AC27" s="1949">
        <f t="shared" ref="AC27" si="1">AVERAGE(X27,V27,T27,R27,Z27)</f>
        <v>0</v>
      </c>
      <c r="AD27" s="293"/>
      <c r="AE27" s="293"/>
      <c r="AF27" s="21"/>
    </row>
    <row r="28" spans="1:32" ht="12" customHeight="1" thickBot="1" x14ac:dyDescent="0.25">
      <c r="A28" s="3"/>
      <c r="B28" s="943" t="s">
        <v>191</v>
      </c>
      <c r="C28" s="2027"/>
      <c r="D28" s="2028"/>
      <c r="E28" s="2027"/>
      <c r="F28" s="2028"/>
      <c r="G28" s="2027"/>
      <c r="H28" s="2028"/>
      <c r="I28" s="2027"/>
      <c r="J28" s="2028"/>
      <c r="K28" s="2027"/>
      <c r="L28" s="2028"/>
      <c r="M28" s="2027"/>
      <c r="N28" s="2028"/>
      <c r="O28" s="1972">
        <v>1</v>
      </c>
      <c r="P28" s="1973"/>
      <c r="Q28" s="1972">
        <v>1</v>
      </c>
      <c r="R28" s="1973"/>
      <c r="S28" s="1972">
        <v>0.98499999999999999</v>
      </c>
      <c r="T28" s="1973"/>
      <c r="U28" s="1972">
        <f>1-V26</f>
        <v>0.97299999999999998</v>
      </c>
      <c r="V28" s="1973"/>
      <c r="W28" s="1972">
        <f>1-X26</f>
        <v>0.98</v>
      </c>
      <c r="X28" s="1973"/>
      <c r="Y28" s="1972">
        <f>1-Z26</f>
        <v>0.98899999999999999</v>
      </c>
      <c r="Z28" s="2042"/>
      <c r="AA28" s="1396"/>
      <c r="AB28" s="1950"/>
      <c r="AC28" s="1949">
        <f>1-AC26</f>
        <v>0.98546959706959703</v>
      </c>
      <c r="AD28" s="293"/>
      <c r="AE28" s="293"/>
      <c r="AF28" s="21"/>
    </row>
    <row r="29" spans="1:32" s="3" customFormat="1" thickTop="1" x14ac:dyDescent="0.2">
      <c r="B29" s="109"/>
      <c r="C29" s="109"/>
      <c r="D29" s="109"/>
      <c r="E29" s="109"/>
      <c r="F29" s="109"/>
      <c r="G29" s="109"/>
      <c r="H29" s="109"/>
      <c r="I29" s="109"/>
      <c r="J29" s="109"/>
      <c r="K29" s="110"/>
      <c r="L29" s="111"/>
      <c r="M29" s="110"/>
      <c r="N29" s="111"/>
      <c r="O29" s="110"/>
      <c r="P29" s="111"/>
      <c r="Q29" s="110"/>
      <c r="R29" s="111"/>
      <c r="S29" s="110"/>
      <c r="T29" s="111"/>
      <c r="U29" s="110"/>
      <c r="V29" s="111"/>
      <c r="W29" s="110"/>
      <c r="X29" s="111"/>
      <c r="Y29" s="110"/>
      <c r="Z29" s="111"/>
      <c r="AC29" s="578"/>
    </row>
    <row r="30" spans="1:32" s="3" customFormat="1" x14ac:dyDescent="0.2">
      <c r="A30" s="112" t="s">
        <v>68</v>
      </c>
      <c r="B30" s="96"/>
      <c r="C30" s="96"/>
      <c r="D30" s="96"/>
      <c r="E30" s="96"/>
      <c r="F30" s="96"/>
      <c r="G30" s="96"/>
      <c r="H30" s="96"/>
      <c r="I30" s="96"/>
      <c r="J30" s="96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32" s="3" customFormat="1" ht="13.5" thickBot="1" x14ac:dyDescent="0.25">
      <c r="A31" s="112"/>
      <c r="B31" s="96"/>
      <c r="C31" s="96"/>
      <c r="D31" s="96"/>
      <c r="E31" s="96"/>
      <c r="F31" s="96"/>
      <c r="G31" s="96"/>
      <c r="H31" s="96"/>
      <c r="I31" s="96"/>
      <c r="J31" s="96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32" s="3" customFormat="1" ht="14.25" thickTop="1" thickBot="1" x14ac:dyDescent="0.25">
      <c r="A32" s="2"/>
      <c r="B32" s="329" t="s">
        <v>69</v>
      </c>
      <c r="C32" s="1968" t="s">
        <v>49</v>
      </c>
      <c r="D32" s="2024"/>
      <c r="E32" s="2033" t="s">
        <v>50</v>
      </c>
      <c r="F32" s="1980"/>
      <c r="G32" s="1968" t="s">
        <v>141</v>
      </c>
      <c r="H32" s="1980"/>
      <c r="I32" s="1968" t="s">
        <v>152</v>
      </c>
      <c r="J32" s="1968"/>
      <c r="K32" s="10" t="s">
        <v>154</v>
      </c>
      <c r="L32" s="7"/>
      <c r="M32" s="10" t="s">
        <v>171</v>
      </c>
      <c r="N32" s="51"/>
      <c r="O32" s="29" t="s">
        <v>227</v>
      </c>
      <c r="P32" s="51"/>
      <c r="Q32" s="29" t="s">
        <v>237</v>
      </c>
      <c r="R32" s="51"/>
      <c r="S32" s="29" t="s">
        <v>272</v>
      </c>
      <c r="T32" s="51"/>
      <c r="U32" s="29" t="s">
        <v>274</v>
      </c>
      <c r="V32" s="51"/>
      <c r="W32" s="29" t="s">
        <v>280</v>
      </c>
      <c r="X32" s="51"/>
      <c r="Y32" s="29" t="s">
        <v>290</v>
      </c>
      <c r="Z32" s="1405"/>
      <c r="AB32" s="2003" t="s">
        <v>213</v>
      </c>
      <c r="AC32" s="2004"/>
    </row>
    <row r="33" spans="1:29" s="3" customFormat="1" x14ac:dyDescent="0.2">
      <c r="A33" s="2"/>
      <c r="B33" s="330" t="s">
        <v>70</v>
      </c>
      <c r="C33" s="564"/>
      <c r="D33" s="587"/>
      <c r="E33" s="564"/>
      <c r="F33" s="587"/>
      <c r="G33" s="564"/>
      <c r="H33" s="587"/>
      <c r="I33" s="564"/>
      <c r="J33" s="564"/>
      <c r="K33" s="184"/>
      <c r="L33" s="31"/>
      <c r="M33" s="184"/>
      <c r="N33" s="93"/>
      <c r="O33" s="31"/>
      <c r="P33" s="93"/>
      <c r="Q33" s="31"/>
      <c r="R33" s="93"/>
      <c r="S33" s="31"/>
      <c r="T33" s="93"/>
      <c r="U33" s="31"/>
      <c r="V33" s="93"/>
      <c r="W33" s="31"/>
      <c r="X33" s="93"/>
      <c r="Y33" s="31"/>
      <c r="Z33" s="580"/>
      <c r="AB33" s="831"/>
      <c r="AC33" s="930"/>
    </row>
    <row r="34" spans="1:29" s="3" customFormat="1" x14ac:dyDescent="0.2">
      <c r="A34" s="2"/>
      <c r="B34" s="331" t="s">
        <v>71</v>
      </c>
      <c r="C34" s="875"/>
      <c r="D34" s="876"/>
      <c r="E34" s="875"/>
      <c r="F34" s="876"/>
      <c r="G34" s="875"/>
      <c r="H34" s="876"/>
      <c r="I34" s="565"/>
      <c r="J34" s="864">
        <v>83767</v>
      </c>
      <c r="K34" s="594"/>
      <c r="L34" s="865">
        <v>89222</v>
      </c>
      <c r="M34" s="594"/>
      <c r="N34" s="1192">
        <v>224194</v>
      </c>
      <c r="O34" s="372"/>
      <c r="P34" s="1192">
        <v>291728</v>
      </c>
      <c r="Q34" s="372"/>
      <c r="R34" s="1192">
        <v>296320</v>
      </c>
      <c r="S34" s="372"/>
      <c r="T34" s="1192">
        <v>300017</v>
      </c>
      <c r="U34" s="372"/>
      <c r="V34" s="1192">
        <v>244185</v>
      </c>
      <c r="W34" s="372"/>
      <c r="X34" s="1192">
        <v>383319</v>
      </c>
      <c r="Y34" s="372"/>
      <c r="Z34" s="1409">
        <v>427662</v>
      </c>
      <c r="AB34" s="24"/>
      <c r="AC34" s="947">
        <f>AVERAGE(V34,T34,R34,Z34,X34)</f>
        <v>330300.59999999998</v>
      </c>
    </row>
    <row r="35" spans="1:29" s="3" customFormat="1" x14ac:dyDescent="0.2">
      <c r="A35" s="2"/>
      <c r="B35" s="331" t="s">
        <v>247</v>
      </c>
      <c r="C35" s="875"/>
      <c r="D35" s="876"/>
      <c r="E35" s="875"/>
      <c r="F35" s="876"/>
      <c r="G35" s="875"/>
      <c r="H35" s="876"/>
      <c r="I35" s="565"/>
      <c r="J35" s="864"/>
      <c r="K35" s="594"/>
      <c r="L35" s="865"/>
      <c r="M35" s="594"/>
      <c r="N35" s="1192"/>
      <c r="O35" s="372"/>
      <c r="P35" s="1192"/>
      <c r="Q35" s="372"/>
      <c r="R35" s="1192"/>
      <c r="S35" s="372"/>
      <c r="T35" s="1192"/>
      <c r="U35" s="372"/>
      <c r="V35" s="1192"/>
      <c r="W35" s="372"/>
      <c r="X35" s="1192"/>
      <c r="Y35" s="372"/>
      <c r="Z35" s="1409"/>
      <c r="AB35" s="24"/>
      <c r="AC35" s="947"/>
    </row>
    <row r="36" spans="1:29" s="3" customFormat="1" ht="36" x14ac:dyDescent="0.2">
      <c r="A36" s="2"/>
      <c r="B36" s="332" t="s">
        <v>250</v>
      </c>
      <c r="C36" s="877"/>
      <c r="D36" s="878"/>
      <c r="E36" s="877"/>
      <c r="F36" s="878"/>
      <c r="G36" s="877"/>
      <c r="H36" s="878"/>
      <c r="I36" s="566"/>
      <c r="J36" s="866"/>
      <c r="K36" s="867"/>
      <c r="L36" s="866"/>
      <c r="M36" s="867"/>
      <c r="N36" s="1193"/>
      <c r="O36" s="522"/>
      <c r="P36" s="1193"/>
      <c r="Q36" s="522"/>
      <c r="R36" s="1193"/>
      <c r="S36" s="522"/>
      <c r="T36" s="1193"/>
      <c r="U36" s="522"/>
      <c r="V36" s="1193"/>
      <c r="W36" s="522"/>
      <c r="X36" s="1193"/>
      <c r="Y36" s="522"/>
      <c r="Z36" s="1410"/>
      <c r="AB36" s="12"/>
      <c r="AC36" s="947"/>
    </row>
    <row r="37" spans="1:29" s="3" customFormat="1" x14ac:dyDescent="0.2">
      <c r="A37" s="2"/>
      <c r="B37" s="333" t="s">
        <v>72</v>
      </c>
      <c r="C37" s="879"/>
      <c r="D37" s="880"/>
      <c r="E37" s="879"/>
      <c r="F37" s="880"/>
      <c r="G37" s="879"/>
      <c r="H37" s="880"/>
      <c r="I37" s="567"/>
      <c r="J37" s="868">
        <f>SUM(J34:J36)</f>
        <v>83767</v>
      </c>
      <c r="K37" s="869"/>
      <c r="L37" s="868">
        <f>SUM(L34:L36)</f>
        <v>89222</v>
      </c>
      <c r="M37" s="869"/>
      <c r="N37" s="1194">
        <f>SUM(N34:N36)</f>
        <v>224194</v>
      </c>
      <c r="O37" s="1191"/>
      <c r="P37" s="1194">
        <f>SUM(P34:P36)</f>
        <v>291728</v>
      </c>
      <c r="Q37" s="1191"/>
      <c r="R37" s="1194">
        <f>SUM(R34:R36)</f>
        <v>296320</v>
      </c>
      <c r="S37" s="1191"/>
      <c r="T37" s="1194">
        <f>SUM(T34:T36)</f>
        <v>300017</v>
      </c>
      <c r="U37" s="1191"/>
      <c r="V37" s="1194">
        <f>SUM(V34:V36)</f>
        <v>244185</v>
      </c>
      <c r="W37" s="1191"/>
      <c r="X37" s="1194">
        <f>SUM(X34:X36)</f>
        <v>383319</v>
      </c>
      <c r="Y37" s="1191"/>
      <c r="Z37" s="1411">
        <f>SUM(Z34:Z36)</f>
        <v>427662</v>
      </c>
      <c r="AB37" s="12"/>
      <c r="AC37" s="1008">
        <f>AVERAGE(V37,T37,R37,Z37,X37)</f>
        <v>330300.59999999998</v>
      </c>
    </row>
    <row r="38" spans="1:29" s="3" customFormat="1" x14ac:dyDescent="0.2">
      <c r="A38" s="2"/>
      <c r="B38" s="330" t="s">
        <v>73</v>
      </c>
      <c r="C38" s="881"/>
      <c r="D38" s="882"/>
      <c r="E38" s="881"/>
      <c r="F38" s="882"/>
      <c r="G38" s="881"/>
      <c r="H38" s="882"/>
      <c r="I38" s="564"/>
      <c r="J38" s="870"/>
      <c r="K38" s="867"/>
      <c r="L38" s="870"/>
      <c r="M38" s="867"/>
      <c r="N38" s="1195"/>
      <c r="O38" s="522"/>
      <c r="P38" s="1195"/>
      <c r="Q38" s="522"/>
      <c r="R38" s="1195"/>
      <c r="S38" s="522"/>
      <c r="T38" s="1195"/>
      <c r="U38" s="522"/>
      <c r="V38" s="1195"/>
      <c r="W38" s="522"/>
      <c r="X38" s="1195"/>
      <c r="Y38" s="522"/>
      <c r="Z38" s="1412"/>
      <c r="AB38" s="12"/>
      <c r="AC38" s="947"/>
    </row>
    <row r="39" spans="1:29" s="3" customFormat="1" x14ac:dyDescent="0.2">
      <c r="A39" s="2"/>
      <c r="B39" s="331" t="s">
        <v>71</v>
      </c>
      <c r="C39" s="883"/>
      <c r="D39" s="884"/>
      <c r="E39" s="883"/>
      <c r="F39" s="884"/>
      <c r="G39" s="883"/>
      <c r="H39" s="884"/>
      <c r="I39" s="568"/>
      <c r="J39" s="871"/>
      <c r="K39" s="867"/>
      <c r="L39" s="871"/>
      <c r="M39" s="867"/>
      <c r="N39" s="1196"/>
      <c r="O39" s="522"/>
      <c r="P39" s="1196"/>
      <c r="Q39" s="522"/>
      <c r="R39" s="1196"/>
      <c r="S39" s="522"/>
      <c r="T39" s="1196"/>
      <c r="U39" s="522"/>
      <c r="V39" s="1196"/>
      <c r="W39" s="522"/>
      <c r="X39" s="1196"/>
      <c r="Y39" s="522"/>
      <c r="Z39" s="1413"/>
      <c r="AB39" s="12"/>
      <c r="AC39" s="947"/>
    </row>
    <row r="40" spans="1:29" s="3" customFormat="1" x14ac:dyDescent="0.2">
      <c r="A40" s="2"/>
      <c r="B40" s="331" t="s">
        <v>247</v>
      </c>
      <c r="C40" s="883"/>
      <c r="D40" s="884"/>
      <c r="E40" s="883"/>
      <c r="F40" s="884"/>
      <c r="G40" s="883"/>
      <c r="H40" s="884"/>
      <c r="I40" s="568"/>
      <c r="J40" s="871"/>
      <c r="K40" s="867"/>
      <c r="L40" s="871"/>
      <c r="M40" s="867"/>
      <c r="N40" s="1196"/>
      <c r="O40" s="522"/>
      <c r="P40" s="1196"/>
      <c r="Q40" s="522"/>
      <c r="R40" s="1196"/>
      <c r="S40" s="522"/>
      <c r="T40" s="1196"/>
      <c r="U40" s="522"/>
      <c r="V40" s="1196"/>
      <c r="W40" s="522"/>
      <c r="X40" s="1196"/>
      <c r="Y40" s="522"/>
      <c r="Z40" s="1413"/>
      <c r="AB40" s="12"/>
      <c r="AC40" s="947"/>
    </row>
    <row r="41" spans="1:29" s="3" customFormat="1" ht="36" x14ac:dyDescent="0.2">
      <c r="A41" s="2"/>
      <c r="B41" s="332" t="s">
        <v>250</v>
      </c>
      <c r="C41" s="877"/>
      <c r="D41" s="878"/>
      <c r="E41" s="877"/>
      <c r="F41" s="878"/>
      <c r="G41" s="877"/>
      <c r="H41" s="878"/>
      <c r="I41" s="566"/>
      <c r="J41" s="872"/>
      <c r="K41" s="867"/>
      <c r="L41" s="872"/>
      <c r="M41" s="867"/>
      <c r="N41" s="1197"/>
      <c r="O41" s="522"/>
      <c r="P41" s="1197"/>
      <c r="Q41" s="522"/>
      <c r="R41" s="1197"/>
      <c r="S41" s="522"/>
      <c r="T41" s="1197"/>
      <c r="U41" s="522"/>
      <c r="V41" s="1197"/>
      <c r="W41" s="522"/>
      <c r="X41" s="1197"/>
      <c r="Y41" s="522"/>
      <c r="Z41" s="1414"/>
      <c r="AB41" s="12"/>
      <c r="AC41" s="947"/>
    </row>
    <row r="42" spans="1:29" s="3" customFormat="1" x14ac:dyDescent="0.2">
      <c r="A42" s="2"/>
      <c r="B42" s="333" t="s">
        <v>74</v>
      </c>
      <c r="C42" s="879"/>
      <c r="D42" s="880"/>
      <c r="E42" s="879"/>
      <c r="F42" s="880"/>
      <c r="G42" s="879"/>
      <c r="H42" s="880"/>
      <c r="I42" s="567"/>
      <c r="J42" s="868">
        <f>SUM(J39:J41)</f>
        <v>0</v>
      </c>
      <c r="K42" s="869"/>
      <c r="L42" s="868">
        <f>SUM(L39:L41)</f>
        <v>0</v>
      </c>
      <c r="M42" s="869"/>
      <c r="N42" s="1194">
        <f>SUM(N39:N41)</f>
        <v>0</v>
      </c>
      <c r="O42" s="1191"/>
      <c r="P42" s="1194">
        <f>SUM(P39:P41)</f>
        <v>0</v>
      </c>
      <c r="Q42" s="1191"/>
      <c r="R42" s="1194">
        <f>SUM(R39:R41)</f>
        <v>0</v>
      </c>
      <c r="S42" s="1191"/>
      <c r="T42" s="1194">
        <f>SUM(T39:T41)</f>
        <v>0</v>
      </c>
      <c r="U42" s="1191"/>
      <c r="V42" s="1194">
        <f>SUM(V39:V41)</f>
        <v>0</v>
      </c>
      <c r="W42" s="1191"/>
      <c r="X42" s="1194">
        <f>SUM(X39:X41)</f>
        <v>0</v>
      </c>
      <c r="Y42" s="1191"/>
      <c r="Z42" s="1411">
        <f>SUM(Z39:Z41)</f>
        <v>0</v>
      </c>
      <c r="AB42" s="12"/>
      <c r="AC42" s="1008">
        <f t="shared" ref="AC42:AC43" si="2">AVERAGE(V42,T42,R42,Z42,X42)</f>
        <v>0</v>
      </c>
    </row>
    <row r="43" spans="1:29" s="3" customFormat="1" ht="13.5" thickBot="1" x14ac:dyDescent="0.25">
      <c r="A43" s="2"/>
      <c r="B43" s="334" t="s">
        <v>75</v>
      </c>
      <c r="C43" s="885"/>
      <c r="D43" s="886"/>
      <c r="E43" s="885"/>
      <c r="F43" s="886"/>
      <c r="G43" s="885"/>
      <c r="H43" s="886"/>
      <c r="I43" s="569"/>
      <c r="J43" s="873">
        <f>SUM(J37+J42)</f>
        <v>83767</v>
      </c>
      <c r="K43" s="867"/>
      <c r="L43" s="874">
        <f>SUM(L37+L42)</f>
        <v>89222</v>
      </c>
      <c r="M43" s="867"/>
      <c r="N43" s="1198">
        <f>SUM(N37+N42)</f>
        <v>224194</v>
      </c>
      <c r="O43" s="522"/>
      <c r="P43" s="1198">
        <f>SUM(P37+P42)</f>
        <v>291728</v>
      </c>
      <c r="Q43" s="522"/>
      <c r="R43" s="1198">
        <f>SUM(R37+R42)</f>
        <v>296320</v>
      </c>
      <c r="S43" s="522"/>
      <c r="T43" s="1198">
        <f>SUM(T37+T42)</f>
        <v>300017</v>
      </c>
      <c r="U43" s="522"/>
      <c r="V43" s="1198">
        <f>SUM(V37+V42)</f>
        <v>244185</v>
      </c>
      <c r="W43" s="522"/>
      <c r="X43" s="1198">
        <f>SUM(X37+X42)</f>
        <v>383319</v>
      </c>
      <c r="Y43" s="522"/>
      <c r="Z43" s="1415">
        <f>SUM(Z37+Z42)</f>
        <v>427662</v>
      </c>
      <c r="AB43" s="948"/>
      <c r="AC43" s="1008">
        <f t="shared" si="2"/>
        <v>330300.59999999998</v>
      </c>
    </row>
    <row r="44" spans="1:29" s="3" customFormat="1" ht="12" x14ac:dyDescent="0.2">
      <c r="B44" s="81" t="s">
        <v>259</v>
      </c>
      <c r="C44" s="1025"/>
      <c r="D44" s="1026"/>
      <c r="E44" s="1025"/>
      <c r="F44" s="1026"/>
      <c r="G44" s="1025"/>
      <c r="H44" s="1026"/>
      <c r="I44" s="570"/>
      <c r="J44" s="570"/>
      <c r="K44" s="52"/>
      <c r="L44" s="36"/>
      <c r="M44" s="52"/>
      <c r="N44" s="191"/>
      <c r="O44" s="151"/>
      <c r="P44" s="248"/>
      <c r="Q44" s="36"/>
      <c r="R44" s="191"/>
      <c r="S44" s="36"/>
      <c r="T44" s="191"/>
      <c r="U44" s="36"/>
      <c r="V44" s="191"/>
      <c r="W44" s="36"/>
      <c r="X44" s="191"/>
      <c r="Y44" s="36"/>
      <c r="Z44" s="581"/>
      <c r="AB44" s="831"/>
      <c r="AC44" s="978"/>
    </row>
    <row r="45" spans="1:29" x14ac:dyDescent="0.2">
      <c r="A45" s="1"/>
      <c r="B45" s="78" t="s">
        <v>14</v>
      </c>
      <c r="C45" s="102"/>
      <c r="D45" s="1027"/>
      <c r="E45" s="102"/>
      <c r="F45" s="1027"/>
      <c r="G45" s="102"/>
      <c r="H45" s="1027"/>
      <c r="I45" s="31"/>
      <c r="J45" s="522">
        <v>129860</v>
      </c>
      <c r="K45" s="266"/>
      <c r="L45" s="461">
        <f>18833+149854</f>
        <v>168687</v>
      </c>
      <c r="M45" s="266"/>
      <c r="N45" s="1140">
        <v>287140</v>
      </c>
      <c r="O45" s="153"/>
      <c r="P45" s="460">
        <v>269691</v>
      </c>
      <c r="Q45" s="153"/>
      <c r="R45" s="460">
        <f>230541.8+1337.52</f>
        <v>231879.31999999998</v>
      </c>
      <c r="S45" s="153"/>
      <c r="T45" s="460">
        <v>246450</v>
      </c>
      <c r="U45" s="153"/>
      <c r="V45" s="460">
        <v>377542</v>
      </c>
      <c r="W45" s="153"/>
      <c r="X45" s="460">
        <v>544006.56000000006</v>
      </c>
      <c r="Y45" s="153"/>
      <c r="Z45" s="1623"/>
      <c r="AB45" s="24"/>
      <c r="AC45" s="949">
        <f>AVERAGE(V45,T45,R45,P45,X45)</f>
        <v>333913.77599999995</v>
      </c>
    </row>
    <row r="46" spans="1:29" ht="13.5" thickBot="1" x14ac:dyDescent="0.25">
      <c r="A46" s="1"/>
      <c r="B46" s="336" t="s">
        <v>15</v>
      </c>
      <c r="C46" s="1028"/>
      <c r="D46" s="1029"/>
      <c r="E46" s="1028"/>
      <c r="F46" s="1029"/>
      <c r="G46" s="1028"/>
      <c r="H46" s="1029"/>
      <c r="I46" s="327"/>
      <c r="J46" s="835">
        <v>0</v>
      </c>
      <c r="K46" s="192"/>
      <c r="L46" s="231">
        <v>0</v>
      </c>
      <c r="M46" s="192"/>
      <c r="N46" s="509">
        <v>0</v>
      </c>
      <c r="O46" s="154"/>
      <c r="P46" s="467">
        <v>0</v>
      </c>
      <c r="Q46" s="154"/>
      <c r="R46" s="467">
        <v>0</v>
      </c>
      <c r="S46" s="40"/>
      <c r="T46" s="467">
        <v>0</v>
      </c>
      <c r="U46" s="40"/>
      <c r="V46" s="467">
        <v>0</v>
      </c>
      <c r="W46" s="40"/>
      <c r="X46" s="467">
        <v>13169.09</v>
      </c>
      <c r="Y46" s="40"/>
      <c r="Z46" s="1624"/>
      <c r="AB46" s="948"/>
      <c r="AC46" s="949">
        <f>AVERAGE(V46,T46,R46,P46,X46)</f>
        <v>2633.8180000000002</v>
      </c>
    </row>
    <row r="47" spans="1:29" x14ac:dyDescent="0.2">
      <c r="A47" s="1"/>
      <c r="B47" s="77"/>
      <c r="C47" s="34" t="s">
        <v>133</v>
      </c>
      <c r="D47" s="593" t="s">
        <v>164</v>
      </c>
      <c r="E47" s="34" t="s">
        <v>133</v>
      </c>
      <c r="F47" s="593" t="s">
        <v>164</v>
      </c>
      <c r="G47" s="34" t="s">
        <v>133</v>
      </c>
      <c r="H47" s="593" t="s">
        <v>164</v>
      </c>
      <c r="I47" s="34" t="s">
        <v>133</v>
      </c>
      <c r="J47" s="593" t="s">
        <v>164</v>
      </c>
      <c r="K47" s="34" t="s">
        <v>133</v>
      </c>
      <c r="L47" s="804" t="s">
        <v>164</v>
      </c>
      <c r="M47" s="807" t="s">
        <v>133</v>
      </c>
      <c r="N47" s="1199" t="s">
        <v>164</v>
      </c>
      <c r="O47" s="135" t="s">
        <v>133</v>
      </c>
      <c r="P47" s="1421" t="s">
        <v>164</v>
      </c>
      <c r="Q47" s="135" t="s">
        <v>133</v>
      </c>
      <c r="R47" s="1421" t="s">
        <v>164</v>
      </c>
      <c r="S47" s="34" t="s">
        <v>133</v>
      </c>
      <c r="T47" s="1199" t="s">
        <v>164</v>
      </c>
      <c r="U47" s="34" t="s">
        <v>133</v>
      </c>
      <c r="V47" s="1199" t="s">
        <v>164</v>
      </c>
      <c r="W47" s="34" t="s">
        <v>133</v>
      </c>
      <c r="X47" s="1282" t="s">
        <v>164</v>
      </c>
      <c r="Y47" s="34" t="s">
        <v>133</v>
      </c>
      <c r="Z47" s="1416" t="s">
        <v>164</v>
      </c>
      <c r="AB47" s="950" t="s">
        <v>133</v>
      </c>
      <c r="AC47" s="295" t="s">
        <v>139</v>
      </c>
    </row>
    <row r="48" spans="1:29" s="3" customFormat="1" ht="11.45" customHeight="1" x14ac:dyDescent="0.2">
      <c r="B48" s="80" t="s">
        <v>67</v>
      </c>
      <c r="C48" s="181">
        <v>0</v>
      </c>
      <c r="D48" s="887">
        <v>0</v>
      </c>
      <c r="E48" s="181">
        <v>0</v>
      </c>
      <c r="F48" s="887">
        <v>0</v>
      </c>
      <c r="G48" s="181">
        <v>0</v>
      </c>
      <c r="H48" s="887">
        <v>0</v>
      </c>
      <c r="I48" s="181">
        <v>0</v>
      </c>
      <c r="J48" s="887">
        <v>0</v>
      </c>
      <c r="K48" s="181">
        <v>0</v>
      </c>
      <c r="L48" s="181">
        <v>0</v>
      </c>
      <c r="M48" s="888">
        <v>0</v>
      </c>
      <c r="N48" s="887">
        <v>0</v>
      </c>
      <c r="O48" s="1485">
        <v>0</v>
      </c>
      <c r="P48" s="1486">
        <v>0</v>
      </c>
      <c r="Q48" s="1485">
        <v>0</v>
      </c>
      <c r="R48" s="1486">
        <v>0</v>
      </c>
      <c r="S48" s="1485">
        <v>0</v>
      </c>
      <c r="T48" s="1486">
        <v>0</v>
      </c>
      <c r="U48" s="1485">
        <v>0</v>
      </c>
      <c r="V48" s="1486">
        <v>0</v>
      </c>
      <c r="W48" s="1485">
        <v>0</v>
      </c>
      <c r="X48" s="1486">
        <v>0</v>
      </c>
      <c r="Y48" s="1618"/>
      <c r="Z48" s="1619"/>
      <c r="AA48" s="930"/>
      <c r="AB48" s="108">
        <f>AVERAGE(U48,S48,Q48,Y48,W48)</f>
        <v>0</v>
      </c>
      <c r="AC48" s="1120">
        <f>AVERAGE(V48,T48,R48,Z48,X48)</f>
        <v>0</v>
      </c>
    </row>
    <row r="49" spans="1:29" s="3" customFormat="1" ht="11.45" customHeight="1" x14ac:dyDescent="0.2">
      <c r="B49" s="80"/>
      <c r="C49" s="889"/>
      <c r="D49" s="890"/>
      <c r="E49" s="889"/>
      <c r="F49" s="890"/>
      <c r="G49" s="889"/>
      <c r="H49" s="890"/>
      <c r="I49" s="889"/>
      <c r="J49" s="890"/>
      <c r="K49" s="889"/>
      <c r="L49" s="889"/>
      <c r="M49" s="891"/>
      <c r="N49" s="890"/>
      <c r="O49" s="1487"/>
      <c r="P49" s="1488"/>
      <c r="Q49" s="1487"/>
      <c r="R49" s="1488"/>
      <c r="S49" s="1487"/>
      <c r="T49" s="1488"/>
      <c r="U49" s="1487"/>
      <c r="V49" s="1488"/>
      <c r="W49" s="1487"/>
      <c r="X49" s="1488"/>
      <c r="Y49" s="1620"/>
      <c r="Z49" s="1621"/>
      <c r="AA49" s="930"/>
      <c r="AB49" s="1013"/>
      <c r="AC49" s="1120"/>
    </row>
    <row r="50" spans="1:29" s="3" customFormat="1" thickBot="1" x14ac:dyDescent="0.25">
      <c r="B50" s="167" t="s">
        <v>16</v>
      </c>
      <c r="C50" s="321">
        <v>0</v>
      </c>
      <c r="D50" s="892">
        <v>0</v>
      </c>
      <c r="E50" s="321">
        <v>0</v>
      </c>
      <c r="F50" s="892">
        <v>0</v>
      </c>
      <c r="G50" s="321">
        <v>0</v>
      </c>
      <c r="H50" s="892">
        <v>0</v>
      </c>
      <c r="I50" s="321">
        <v>0</v>
      </c>
      <c r="J50" s="892">
        <v>0</v>
      </c>
      <c r="K50" s="321">
        <v>0</v>
      </c>
      <c r="L50" s="321">
        <v>0</v>
      </c>
      <c r="M50" s="893">
        <v>0</v>
      </c>
      <c r="N50" s="892">
        <v>0</v>
      </c>
      <c r="O50" s="399">
        <v>0</v>
      </c>
      <c r="P50" s="428">
        <v>0</v>
      </c>
      <c r="Q50" s="399">
        <v>0</v>
      </c>
      <c r="R50" s="428">
        <v>0</v>
      </c>
      <c r="S50" s="399">
        <v>0</v>
      </c>
      <c r="T50" s="428">
        <v>0</v>
      </c>
      <c r="U50" s="399">
        <v>0</v>
      </c>
      <c r="V50" s="428">
        <v>0</v>
      </c>
      <c r="W50" s="399">
        <v>0</v>
      </c>
      <c r="X50" s="428">
        <v>0</v>
      </c>
      <c r="Y50" s="1622"/>
      <c r="Z50" s="1600"/>
      <c r="AA50" s="930"/>
      <c r="AB50" s="1119">
        <f>AVERAGE(U50,S50,Q50,Y50,W50)</f>
        <v>0</v>
      </c>
      <c r="AC50" s="1121">
        <f>AVERAGE(V50,T50,R50,Z50,X50)</f>
        <v>0</v>
      </c>
    </row>
    <row r="51" spans="1:29" s="3" customFormat="1" ht="12" x14ac:dyDescent="0.2">
      <c r="B51" s="81" t="s">
        <v>84</v>
      </c>
      <c r="C51" s="570"/>
      <c r="D51" s="588"/>
      <c r="E51" s="570"/>
      <c r="F51" s="588"/>
      <c r="G51" s="570"/>
      <c r="H51" s="588"/>
      <c r="I51" s="570"/>
      <c r="J51" s="570"/>
      <c r="K51" s="199"/>
      <c r="L51" s="805"/>
      <c r="M51" s="199"/>
      <c r="N51" s="209"/>
      <c r="O51" s="156"/>
      <c r="P51" s="276"/>
      <c r="Q51" s="156"/>
      <c r="R51" s="276"/>
      <c r="S51" s="45"/>
      <c r="T51" s="209"/>
      <c r="U51" s="45"/>
      <c r="V51" s="209"/>
      <c r="W51" s="156"/>
      <c r="X51" s="276"/>
      <c r="Y51" s="45"/>
      <c r="Z51" s="1417"/>
      <c r="AA51" s="930"/>
      <c r="AB51" s="2037"/>
      <c r="AC51" s="2038"/>
    </row>
    <row r="52" spans="1:29" s="3" customFormat="1" ht="5.25" customHeight="1" x14ac:dyDescent="0.2">
      <c r="B52" s="337" t="s">
        <v>35</v>
      </c>
      <c r="C52" s="572"/>
      <c r="D52" s="589"/>
      <c r="E52" s="572"/>
      <c r="F52" s="589"/>
      <c r="G52" s="572"/>
      <c r="H52" s="589"/>
      <c r="I52" s="572"/>
      <c r="J52" s="572"/>
      <c r="K52" s="201"/>
      <c r="L52" s="98"/>
      <c r="M52" s="201"/>
      <c r="N52" s="277"/>
      <c r="O52" s="157"/>
      <c r="P52" s="277"/>
      <c r="Q52" s="157"/>
      <c r="R52" s="277"/>
      <c r="S52" s="97"/>
      <c r="T52" s="210"/>
      <c r="U52" s="97"/>
      <c r="V52" s="210"/>
      <c r="W52" s="157"/>
      <c r="X52" s="277"/>
      <c r="Y52" s="97"/>
      <c r="Z52" s="1418"/>
      <c r="AA52" s="930"/>
      <c r="AB52" s="720"/>
      <c r="AC52" s="1011"/>
    </row>
    <row r="53" spans="1:29" s="3" customFormat="1" ht="12" x14ac:dyDescent="0.2">
      <c r="B53" s="338" t="s">
        <v>85</v>
      </c>
      <c r="C53" s="565"/>
      <c r="D53" s="1069">
        <v>1405</v>
      </c>
      <c r="E53" s="501"/>
      <c r="F53" s="1069">
        <v>375</v>
      </c>
      <c r="G53" s="501"/>
      <c r="H53" s="1069">
        <v>400</v>
      </c>
      <c r="I53" s="501"/>
      <c r="J53" s="501">
        <v>425</v>
      </c>
      <c r="K53" s="1070"/>
      <c r="L53" s="501">
        <v>85</v>
      </c>
      <c r="M53" s="594"/>
      <c r="N53" s="1204">
        <v>135</v>
      </c>
      <c r="O53" s="612"/>
      <c r="P53" s="1204">
        <v>25</v>
      </c>
      <c r="Q53" s="612"/>
      <c r="R53" s="1204">
        <v>80</v>
      </c>
      <c r="S53" s="372"/>
      <c r="T53" s="1204">
        <v>244.69</v>
      </c>
      <c r="U53" s="372"/>
      <c r="V53" s="1204">
        <v>1150</v>
      </c>
      <c r="W53" s="612"/>
      <c r="X53" s="1204">
        <v>211.64</v>
      </c>
      <c r="Y53" s="372"/>
      <c r="Z53" s="1604"/>
      <c r="AA53" s="930"/>
      <c r="AB53" s="1013"/>
      <c r="AC53" s="949">
        <f t="shared" ref="AC53:AC54" si="3">AVERAGE(V53,T53,R53,P53,X53)</f>
        <v>342.26599999999996</v>
      </c>
    </row>
    <row r="54" spans="1:29" s="3" customFormat="1" thickBot="1" x14ac:dyDescent="0.25">
      <c r="B54" s="339" t="s">
        <v>86</v>
      </c>
      <c r="C54" s="573"/>
      <c r="D54" s="1071">
        <v>0</v>
      </c>
      <c r="E54" s="350"/>
      <c r="F54" s="1071">
        <v>0</v>
      </c>
      <c r="G54" s="350"/>
      <c r="H54" s="1071">
        <v>0</v>
      </c>
      <c r="I54" s="350"/>
      <c r="J54" s="350">
        <v>0</v>
      </c>
      <c r="K54" s="1072"/>
      <c r="L54" s="350">
        <v>0</v>
      </c>
      <c r="M54" s="204"/>
      <c r="N54" s="611">
        <v>0</v>
      </c>
      <c r="O54" s="260"/>
      <c r="P54" s="611">
        <v>0</v>
      </c>
      <c r="Q54" s="260"/>
      <c r="R54" s="611">
        <v>0</v>
      </c>
      <c r="S54" s="37"/>
      <c r="T54" s="611">
        <v>0</v>
      </c>
      <c r="U54" s="37"/>
      <c r="V54" s="611">
        <v>0</v>
      </c>
      <c r="W54" s="260"/>
      <c r="X54" s="611">
        <v>0</v>
      </c>
      <c r="Y54" s="37"/>
      <c r="Z54" s="1625"/>
      <c r="AB54" s="1015"/>
      <c r="AC54" s="1024">
        <f t="shared" si="3"/>
        <v>0</v>
      </c>
    </row>
    <row r="55" spans="1:29" ht="13.5" thickTop="1" x14ac:dyDescent="0.2">
      <c r="A55" s="1"/>
      <c r="B55" s="96"/>
      <c r="C55" s="96"/>
      <c r="D55" s="96"/>
      <c r="E55" s="96"/>
      <c r="F55" s="96"/>
      <c r="G55" s="96"/>
      <c r="H55" s="96"/>
      <c r="I55" s="96"/>
      <c r="J55" s="96"/>
      <c r="K55" s="97"/>
      <c r="L55" s="98"/>
      <c r="M55" s="97"/>
      <c r="N55" s="98"/>
      <c r="O55" s="157"/>
      <c r="P55" s="159"/>
      <c r="Q55" s="97"/>
      <c r="R55" s="98"/>
      <c r="S55" s="97"/>
      <c r="T55" s="98"/>
      <c r="U55" s="97"/>
      <c r="V55" s="98"/>
      <c r="W55" s="97"/>
      <c r="X55" s="98"/>
      <c r="Y55" s="97"/>
      <c r="Z55" s="98"/>
      <c r="AA55" t="s">
        <v>29</v>
      </c>
    </row>
    <row r="56" spans="1:29" x14ac:dyDescent="0.2">
      <c r="A56" s="2" t="s">
        <v>76</v>
      </c>
      <c r="B56" s="96"/>
      <c r="C56" s="96"/>
      <c r="D56" s="96"/>
      <c r="E56" s="96"/>
      <c r="F56" s="96"/>
      <c r="G56" s="96"/>
      <c r="H56" s="96"/>
      <c r="I56" s="96"/>
      <c r="J56" s="96"/>
      <c r="K56" s="97"/>
      <c r="L56" s="98"/>
      <c r="M56" s="97"/>
      <c r="N56" s="98"/>
      <c r="O56" s="97"/>
      <c r="P56" s="98"/>
      <c r="Q56" s="97"/>
      <c r="R56" s="98"/>
      <c r="S56" s="97"/>
      <c r="T56" s="98"/>
      <c r="U56" s="97"/>
      <c r="V56" s="98"/>
      <c r="W56" s="97"/>
      <c r="X56" s="98"/>
      <c r="Y56" s="97"/>
      <c r="Z56" s="98"/>
    </row>
    <row r="57" spans="1:29" ht="13.5" thickBot="1" x14ac:dyDescent="0.25">
      <c r="A57" s="1"/>
      <c r="B57" s="96"/>
      <c r="C57" s="96"/>
      <c r="D57" s="96"/>
      <c r="E57" s="96"/>
      <c r="F57" s="96"/>
      <c r="G57" s="96"/>
      <c r="H57" s="96"/>
      <c r="I57" s="96"/>
      <c r="J57" s="96"/>
      <c r="K57" s="97"/>
      <c r="L57" s="98"/>
      <c r="M57" s="97"/>
      <c r="N57" s="98"/>
      <c r="O57" s="97"/>
      <c r="P57" s="98"/>
      <c r="Q57" s="97"/>
      <c r="R57" s="98"/>
      <c r="S57" s="97"/>
      <c r="T57" s="98"/>
      <c r="U57" s="97"/>
      <c r="V57" s="98"/>
      <c r="W57" s="97"/>
      <c r="X57" s="98"/>
      <c r="Y57" s="97"/>
      <c r="Z57" s="98"/>
    </row>
    <row r="58" spans="1:29" s="3" customFormat="1" ht="14.25" customHeight="1" thickTop="1" thickBot="1" x14ac:dyDescent="0.25">
      <c r="B58" s="340"/>
      <c r="C58" s="2002" t="s">
        <v>49</v>
      </c>
      <c r="D58" s="1974"/>
      <c r="E58" s="2002" t="s">
        <v>50</v>
      </c>
      <c r="F58" s="1982"/>
      <c r="G58" s="2002" t="s">
        <v>141</v>
      </c>
      <c r="H58" s="1982"/>
      <c r="I58" s="2002" t="s">
        <v>152</v>
      </c>
      <c r="J58" s="1982"/>
      <c r="K58" s="592" t="s">
        <v>154</v>
      </c>
      <c r="L58" s="803"/>
      <c r="M58" s="592" t="s">
        <v>171</v>
      </c>
      <c r="N58" s="1186"/>
      <c r="O58" s="1184" t="s">
        <v>227</v>
      </c>
      <c r="P58" s="1186"/>
      <c r="Q58" s="1184" t="s">
        <v>237</v>
      </c>
      <c r="R58" s="1186"/>
      <c r="S58" s="1184" t="s">
        <v>272</v>
      </c>
      <c r="T58" s="1186"/>
      <c r="U58" s="1184" t="s">
        <v>274</v>
      </c>
      <c r="V58" s="1186"/>
      <c r="W58" s="1184" t="s">
        <v>280</v>
      </c>
      <c r="X58" s="1186"/>
      <c r="Y58" s="1184" t="s">
        <v>290</v>
      </c>
      <c r="Z58" s="1408"/>
      <c r="AB58" s="2003" t="s">
        <v>213</v>
      </c>
      <c r="AC58" s="2004"/>
    </row>
    <row r="59" spans="1:29" s="3" customFormat="1" ht="12" x14ac:dyDescent="0.2">
      <c r="B59" s="73" t="s">
        <v>53</v>
      </c>
      <c r="C59" s="180"/>
      <c r="D59" s="591"/>
      <c r="E59" s="180"/>
      <c r="F59" s="591"/>
      <c r="G59" s="180"/>
      <c r="H59" s="591"/>
      <c r="I59" s="180"/>
      <c r="J59" s="180"/>
      <c r="K59" s="54"/>
      <c r="L59" s="30"/>
      <c r="M59" s="54"/>
      <c r="N59" s="92"/>
      <c r="O59" s="30"/>
      <c r="P59" s="92"/>
      <c r="Q59" s="30"/>
      <c r="R59" s="92"/>
      <c r="S59" s="30"/>
      <c r="T59" s="92"/>
      <c r="U59" s="30"/>
      <c r="V59" s="92"/>
      <c r="W59" s="30"/>
      <c r="X59" s="92"/>
      <c r="Y59" s="30"/>
      <c r="Z59" s="579"/>
      <c r="AB59" s="831"/>
      <c r="AC59" s="930"/>
    </row>
    <row r="60" spans="1:29" s="3" customFormat="1" ht="12" x14ac:dyDescent="0.2">
      <c r="B60" s="74" t="s">
        <v>54</v>
      </c>
      <c r="C60" s="574"/>
      <c r="D60" s="590"/>
      <c r="E60" s="574"/>
      <c r="F60" s="590"/>
      <c r="G60" s="574"/>
      <c r="H60" s="590"/>
      <c r="I60" s="574"/>
      <c r="J60" s="574"/>
      <c r="K60" s="184"/>
      <c r="L60" s="82"/>
      <c r="M60" s="184"/>
      <c r="N60" s="165"/>
      <c r="O60" s="31"/>
      <c r="P60" s="165"/>
      <c r="Q60" s="31"/>
      <c r="R60" s="165"/>
      <c r="S60" s="31"/>
      <c r="T60" s="165"/>
      <c r="U60" s="31"/>
      <c r="V60" s="165"/>
      <c r="W60" s="31"/>
      <c r="X60" s="165"/>
      <c r="Y60" s="31"/>
      <c r="Z60" s="1419"/>
      <c r="AB60" s="24"/>
      <c r="AC60" s="579"/>
    </row>
    <row r="61" spans="1:29" s="3" customFormat="1" x14ac:dyDescent="0.2">
      <c r="B61" s="75" t="s">
        <v>55</v>
      </c>
      <c r="C61" s="894"/>
      <c r="D61" s="895"/>
      <c r="E61" s="894"/>
      <c r="F61" s="895"/>
      <c r="G61" s="894"/>
      <c r="H61" s="895"/>
      <c r="I61" s="65"/>
      <c r="J61" s="1213">
        <v>1</v>
      </c>
      <c r="K61" s="1214"/>
      <c r="L61" s="1215">
        <v>1</v>
      </c>
      <c r="M61" s="1214"/>
      <c r="N61" s="1216">
        <v>2</v>
      </c>
      <c r="O61" s="1217"/>
      <c r="P61" s="1216">
        <v>3</v>
      </c>
      <c r="Q61" s="1496"/>
      <c r="R61" s="1612">
        <v>3</v>
      </c>
      <c r="S61" s="1496"/>
      <c r="T61" s="1612">
        <v>2</v>
      </c>
      <c r="U61" s="1496"/>
      <c r="V61" s="1612">
        <v>4</v>
      </c>
      <c r="W61" s="1496"/>
      <c r="X61" s="1612">
        <v>5</v>
      </c>
      <c r="Y61" s="1496"/>
      <c r="Z61" s="1958">
        <v>6</v>
      </c>
      <c r="AA61" s="1"/>
      <c r="AB61" s="1218"/>
      <c r="AC61" s="1219">
        <f>AVERAGE(V61,T61,R61,Z61,X61)</f>
        <v>4</v>
      </c>
    </row>
    <row r="62" spans="1:29" s="3" customFormat="1" x14ac:dyDescent="0.2">
      <c r="B62" s="75" t="s">
        <v>181</v>
      </c>
      <c r="C62" s="894"/>
      <c r="D62" s="895"/>
      <c r="E62" s="894"/>
      <c r="F62" s="895"/>
      <c r="G62" s="894"/>
      <c r="H62" s="895"/>
      <c r="I62" s="65"/>
      <c r="J62" s="1213">
        <v>0</v>
      </c>
      <c r="K62" s="1214"/>
      <c r="L62" s="1215">
        <v>1</v>
      </c>
      <c r="M62" s="1214"/>
      <c r="N62" s="1216">
        <v>2</v>
      </c>
      <c r="O62" s="1217"/>
      <c r="P62" s="1216">
        <v>0</v>
      </c>
      <c r="Q62" s="1496"/>
      <c r="R62" s="1612">
        <v>0</v>
      </c>
      <c r="S62" s="1496"/>
      <c r="T62" s="1612">
        <v>1</v>
      </c>
      <c r="U62" s="1496"/>
      <c r="V62" s="1612">
        <v>0</v>
      </c>
      <c r="W62" s="1496"/>
      <c r="X62" s="1612">
        <v>0</v>
      </c>
      <c r="Y62" s="1496"/>
      <c r="Z62" s="1958">
        <v>0</v>
      </c>
      <c r="AA62" s="1"/>
      <c r="AB62" s="1218"/>
      <c r="AC62" s="1219">
        <f>AVERAGE(V62,T62,R62,Z62,X62)</f>
        <v>0.2</v>
      </c>
    </row>
    <row r="63" spans="1:29" s="3" customFormat="1" x14ac:dyDescent="0.2">
      <c r="B63" s="74" t="s">
        <v>57</v>
      </c>
      <c r="C63" s="896"/>
      <c r="D63" s="897"/>
      <c r="E63" s="896"/>
      <c r="F63" s="897"/>
      <c r="G63" s="896"/>
      <c r="H63" s="897"/>
      <c r="I63" s="574"/>
      <c r="J63" s="1220"/>
      <c r="K63" s="1214"/>
      <c r="L63" s="1221"/>
      <c r="M63" s="1214"/>
      <c r="N63" s="1222"/>
      <c r="O63" s="1217"/>
      <c r="P63" s="1222"/>
      <c r="Q63" s="1496"/>
      <c r="R63" s="1613"/>
      <c r="S63" s="1496"/>
      <c r="T63" s="1613"/>
      <c r="U63" s="1496"/>
      <c r="V63" s="1613"/>
      <c r="W63" s="1496"/>
      <c r="X63" s="1613"/>
      <c r="Y63" s="1496"/>
      <c r="Z63" s="1959"/>
      <c r="AA63" s="1"/>
      <c r="AB63" s="1218"/>
      <c r="AC63" s="1219"/>
    </row>
    <row r="64" spans="1:29" s="3" customFormat="1" x14ac:dyDescent="0.2">
      <c r="B64" s="75" t="s">
        <v>55</v>
      </c>
      <c r="C64" s="894"/>
      <c r="D64" s="895"/>
      <c r="E64" s="894"/>
      <c r="F64" s="895"/>
      <c r="G64" s="894"/>
      <c r="H64" s="895"/>
      <c r="I64" s="65"/>
      <c r="J64" s="1213">
        <v>0</v>
      </c>
      <c r="K64" s="1214"/>
      <c r="L64" s="1221">
        <v>0</v>
      </c>
      <c r="M64" s="1214"/>
      <c r="N64" s="1222">
        <v>0</v>
      </c>
      <c r="O64" s="1217"/>
      <c r="P64" s="1222">
        <v>0</v>
      </c>
      <c r="Q64" s="1496"/>
      <c r="R64" s="1613">
        <v>0</v>
      </c>
      <c r="S64" s="1496"/>
      <c r="T64" s="1613">
        <v>0</v>
      </c>
      <c r="U64" s="1496"/>
      <c r="V64" s="1613">
        <v>0</v>
      </c>
      <c r="W64" s="1496"/>
      <c r="X64" s="1613">
        <v>0</v>
      </c>
      <c r="Y64" s="1496"/>
      <c r="Z64" s="1959">
        <v>0</v>
      </c>
      <c r="AA64" s="1"/>
      <c r="AB64" s="1218"/>
      <c r="AC64" s="1219">
        <f t="shared" ref="AC64:AC66" si="4">AVERAGE(V64,T64,R64,Z64,X64)</f>
        <v>0</v>
      </c>
    </row>
    <row r="65" spans="2:29" s="3" customFormat="1" x14ac:dyDescent="0.2">
      <c r="B65" s="341" t="s">
        <v>181</v>
      </c>
      <c r="C65" s="898"/>
      <c r="D65" s="899"/>
      <c r="E65" s="898"/>
      <c r="F65" s="899"/>
      <c r="G65" s="898"/>
      <c r="H65" s="899"/>
      <c r="I65" s="33"/>
      <c r="J65" s="1223">
        <v>0</v>
      </c>
      <c r="K65" s="1214"/>
      <c r="L65" s="1221">
        <v>0</v>
      </c>
      <c r="M65" s="1214"/>
      <c r="N65" s="1222">
        <v>0</v>
      </c>
      <c r="O65" s="1217"/>
      <c r="P65" s="1222">
        <v>0</v>
      </c>
      <c r="Q65" s="1496"/>
      <c r="R65" s="1613">
        <v>0</v>
      </c>
      <c r="S65" s="1496"/>
      <c r="T65" s="1613">
        <v>0</v>
      </c>
      <c r="U65" s="1496"/>
      <c r="V65" s="1613">
        <v>0</v>
      </c>
      <c r="W65" s="1496"/>
      <c r="X65" s="1613">
        <v>0</v>
      </c>
      <c r="Y65" s="1496"/>
      <c r="Z65" s="1959">
        <v>0</v>
      </c>
      <c r="AA65" s="1"/>
      <c r="AB65" s="1218"/>
      <c r="AC65" s="1219">
        <f t="shared" si="4"/>
        <v>0</v>
      </c>
    </row>
    <row r="66" spans="2:29" s="3" customFormat="1" ht="13.5" thickBot="1" x14ac:dyDescent="0.25">
      <c r="B66" s="79" t="s">
        <v>13</v>
      </c>
      <c r="C66" s="900"/>
      <c r="D66" s="901"/>
      <c r="E66" s="900"/>
      <c r="F66" s="901"/>
      <c r="G66" s="900"/>
      <c r="H66" s="901"/>
      <c r="I66" s="105"/>
      <c r="J66" s="1224">
        <f>SUM(J61:J65)</f>
        <v>1</v>
      </c>
      <c r="K66" s="1225"/>
      <c r="L66" s="1224">
        <f>SUM(L61:L65)</f>
        <v>2</v>
      </c>
      <c r="M66" s="1225"/>
      <c r="N66" s="1226">
        <f>SUM(N61:N65)</f>
        <v>4</v>
      </c>
      <c r="O66" s="1224"/>
      <c r="P66" s="1226">
        <f>SUM(P61:P65)</f>
        <v>3</v>
      </c>
      <c r="Q66" s="1497"/>
      <c r="R66" s="1614">
        <f>SUM(R61:R65)</f>
        <v>3</v>
      </c>
      <c r="S66" s="1497"/>
      <c r="T66" s="1614">
        <f>SUM(T61:T65)</f>
        <v>3</v>
      </c>
      <c r="U66" s="1497"/>
      <c r="V66" s="1614">
        <f>SUM(V61:V65)</f>
        <v>4</v>
      </c>
      <c r="W66" s="1497"/>
      <c r="X66" s="1614">
        <f>SUM(X61:X65)</f>
        <v>5</v>
      </c>
      <c r="Y66" s="1497"/>
      <c r="Z66" s="1960">
        <v>6</v>
      </c>
      <c r="AA66" s="1397"/>
      <c r="AB66" s="1227"/>
      <c r="AC66" s="1219">
        <f t="shared" si="4"/>
        <v>4.2</v>
      </c>
    </row>
    <row r="67" spans="2:29" s="3" customFormat="1" thickTop="1" x14ac:dyDescent="0.2">
      <c r="B67" s="342" t="s">
        <v>135</v>
      </c>
      <c r="C67" s="43" t="s">
        <v>133</v>
      </c>
      <c r="D67" s="41" t="s">
        <v>134</v>
      </c>
      <c r="E67" s="43" t="s">
        <v>133</v>
      </c>
      <c r="F67" s="41" t="s">
        <v>134</v>
      </c>
      <c r="G67" s="317" t="s">
        <v>133</v>
      </c>
      <c r="H67" s="412" t="s">
        <v>134</v>
      </c>
      <c r="I67" s="411" t="s">
        <v>133</v>
      </c>
      <c r="J67" s="449" t="s">
        <v>134</v>
      </c>
      <c r="K67" s="317" t="s">
        <v>133</v>
      </c>
      <c r="L67" s="449" t="s">
        <v>134</v>
      </c>
      <c r="M67" s="317" t="s">
        <v>133</v>
      </c>
      <c r="N67" s="441" t="s">
        <v>134</v>
      </c>
      <c r="O67" s="411" t="s">
        <v>133</v>
      </c>
      <c r="P67" s="412" t="s">
        <v>134</v>
      </c>
      <c r="Q67" s="411" t="s">
        <v>133</v>
      </c>
      <c r="R67" s="412" t="s">
        <v>134</v>
      </c>
      <c r="S67" s="411" t="s">
        <v>133</v>
      </c>
      <c r="T67" s="412" t="s">
        <v>134</v>
      </c>
      <c r="U67" s="411" t="s">
        <v>133</v>
      </c>
      <c r="V67" s="412" t="s">
        <v>134</v>
      </c>
      <c r="W67" s="411" t="s">
        <v>133</v>
      </c>
      <c r="X67" s="412" t="s">
        <v>134</v>
      </c>
      <c r="Y67" s="411" t="s">
        <v>133</v>
      </c>
      <c r="Z67" s="289" t="s">
        <v>134</v>
      </c>
      <c r="AB67" s="952" t="s">
        <v>133</v>
      </c>
      <c r="AC67" s="862" t="s">
        <v>134</v>
      </c>
    </row>
    <row r="68" spans="2:29" s="3" customFormat="1" ht="12" x14ac:dyDescent="0.2">
      <c r="B68" s="75" t="s">
        <v>87</v>
      </c>
      <c r="C68" s="902"/>
      <c r="D68" s="895"/>
      <c r="E68" s="902"/>
      <c r="F68" s="895"/>
      <c r="G68" s="902"/>
      <c r="H68" s="895"/>
      <c r="I68" s="60">
        <v>0</v>
      </c>
      <c r="J68" s="832">
        <f>I68/J$66</f>
        <v>0</v>
      </c>
      <c r="K68" s="319">
        <v>0</v>
      </c>
      <c r="L68" s="832">
        <f>K68/L$66</f>
        <v>0</v>
      </c>
      <c r="M68" s="319">
        <v>2</v>
      </c>
      <c r="N68" s="1203">
        <f t="shared" ref="N68:T75" si="5">M68/N$66</f>
        <v>0.5</v>
      </c>
      <c r="O68" s="406">
        <v>2</v>
      </c>
      <c r="P68" s="1203">
        <f t="shared" si="5"/>
        <v>0.66666666666666663</v>
      </c>
      <c r="Q68" s="406">
        <v>2</v>
      </c>
      <c r="R68" s="1615">
        <f t="shared" si="5"/>
        <v>0.66666666666666663</v>
      </c>
      <c r="S68" s="406">
        <v>1</v>
      </c>
      <c r="T68" s="1615">
        <f t="shared" si="5"/>
        <v>0.33333333333333331</v>
      </c>
      <c r="U68" s="406">
        <v>1</v>
      </c>
      <c r="V68" s="1615">
        <f t="shared" ref="V68:V75" si="6">U68/V$66</f>
        <v>0.25</v>
      </c>
      <c r="W68" s="406">
        <v>1</v>
      </c>
      <c r="X68" s="1615">
        <f t="shared" ref="X68:X75" si="7">W68/X$66</f>
        <v>0.2</v>
      </c>
      <c r="Y68" s="406">
        <v>0</v>
      </c>
      <c r="Z68" s="1961">
        <f t="shared" ref="Z68:Z75" si="8">Y68/Z$66</f>
        <v>0</v>
      </c>
      <c r="AB68" s="1016">
        <f>AVERAGE(U68,S68,Q68,Y68,W68)</f>
        <v>1</v>
      </c>
      <c r="AC68" s="863">
        <f>AVERAGE(V68,T68,R68,Z68,X68)</f>
        <v>0.28999999999999998</v>
      </c>
    </row>
    <row r="69" spans="2:29" s="3" customFormat="1" ht="12" x14ac:dyDescent="0.2">
      <c r="B69" s="85" t="s">
        <v>88</v>
      </c>
      <c r="C69" s="903"/>
      <c r="D69" s="904"/>
      <c r="E69" s="903"/>
      <c r="F69" s="904"/>
      <c r="G69" s="903"/>
      <c r="H69" s="904"/>
      <c r="I69" s="89">
        <v>1</v>
      </c>
      <c r="J69" s="832">
        <f t="shared" ref="J69:L75" si="9">I69/J$66</f>
        <v>1</v>
      </c>
      <c r="K69" s="319">
        <v>2</v>
      </c>
      <c r="L69" s="832">
        <f t="shared" si="9"/>
        <v>1</v>
      </c>
      <c r="M69" s="319">
        <v>2</v>
      </c>
      <c r="N69" s="1203">
        <f t="shared" si="5"/>
        <v>0.5</v>
      </c>
      <c r="O69" s="406">
        <v>1</v>
      </c>
      <c r="P69" s="1203">
        <f t="shared" si="5"/>
        <v>0.33333333333333331</v>
      </c>
      <c r="Q69" s="406">
        <v>1</v>
      </c>
      <c r="R69" s="1615">
        <f t="shared" si="5"/>
        <v>0.33333333333333331</v>
      </c>
      <c r="S69" s="406">
        <v>1</v>
      </c>
      <c r="T69" s="1615">
        <f t="shared" si="5"/>
        <v>0.33333333333333331</v>
      </c>
      <c r="U69" s="406">
        <v>2</v>
      </c>
      <c r="V69" s="1615">
        <f t="shared" si="6"/>
        <v>0.5</v>
      </c>
      <c r="W69" s="406">
        <v>1</v>
      </c>
      <c r="X69" s="1615">
        <f t="shared" si="7"/>
        <v>0.2</v>
      </c>
      <c r="Y69" s="406">
        <v>0</v>
      </c>
      <c r="Z69" s="1961">
        <f t="shared" si="8"/>
        <v>0</v>
      </c>
      <c r="AB69" s="1016">
        <f t="shared" ref="AB69:AB87" si="10">AVERAGE(U69,S69,Q69,Y69,W69)</f>
        <v>1</v>
      </c>
      <c r="AC69" s="863">
        <f t="shared" ref="AC69:AC87" si="11">AVERAGE(V69,T69,R69,Z69,X69)</f>
        <v>0.27333333333333332</v>
      </c>
    </row>
    <row r="70" spans="2:29" s="3" customFormat="1" ht="12" x14ac:dyDescent="0.2">
      <c r="B70" s="85" t="s">
        <v>89</v>
      </c>
      <c r="C70" s="903"/>
      <c r="D70" s="904"/>
      <c r="E70" s="903"/>
      <c r="F70" s="904"/>
      <c r="G70" s="903"/>
      <c r="H70" s="904"/>
      <c r="I70" s="89">
        <v>0</v>
      </c>
      <c r="J70" s="832">
        <f t="shared" si="9"/>
        <v>0</v>
      </c>
      <c r="K70" s="319">
        <v>0</v>
      </c>
      <c r="L70" s="832">
        <f t="shared" si="9"/>
        <v>0</v>
      </c>
      <c r="M70" s="319">
        <v>0</v>
      </c>
      <c r="N70" s="1203">
        <f t="shared" si="5"/>
        <v>0</v>
      </c>
      <c r="O70" s="406">
        <v>0</v>
      </c>
      <c r="P70" s="1203">
        <f t="shared" si="5"/>
        <v>0</v>
      </c>
      <c r="Q70" s="406">
        <v>0</v>
      </c>
      <c r="R70" s="1615">
        <f t="shared" si="5"/>
        <v>0</v>
      </c>
      <c r="S70" s="406">
        <v>0</v>
      </c>
      <c r="T70" s="1615">
        <f t="shared" si="5"/>
        <v>0</v>
      </c>
      <c r="U70" s="406">
        <v>0</v>
      </c>
      <c r="V70" s="1615">
        <f t="shared" si="6"/>
        <v>0</v>
      </c>
      <c r="W70" s="406">
        <v>1</v>
      </c>
      <c r="X70" s="1615">
        <f t="shared" si="7"/>
        <v>0.2</v>
      </c>
      <c r="Y70" s="406">
        <v>3</v>
      </c>
      <c r="Z70" s="1961">
        <f t="shared" si="8"/>
        <v>0.5</v>
      </c>
      <c r="AB70" s="1016">
        <f t="shared" si="10"/>
        <v>0.8</v>
      </c>
      <c r="AC70" s="863">
        <f t="shared" si="11"/>
        <v>0.13999999999999999</v>
      </c>
    </row>
    <row r="71" spans="2:29" s="3" customFormat="1" ht="12" x14ac:dyDescent="0.2">
      <c r="B71" s="85" t="s">
        <v>90</v>
      </c>
      <c r="C71" s="903"/>
      <c r="D71" s="904"/>
      <c r="E71" s="903"/>
      <c r="F71" s="904"/>
      <c r="G71" s="903"/>
      <c r="H71" s="904"/>
      <c r="I71" s="89">
        <v>0</v>
      </c>
      <c r="J71" s="832">
        <f t="shared" si="9"/>
        <v>0</v>
      </c>
      <c r="K71" s="319">
        <v>0</v>
      </c>
      <c r="L71" s="832">
        <f t="shared" si="9"/>
        <v>0</v>
      </c>
      <c r="M71" s="319">
        <v>0</v>
      </c>
      <c r="N71" s="1203">
        <f t="shared" si="5"/>
        <v>0</v>
      </c>
      <c r="O71" s="406">
        <v>0</v>
      </c>
      <c r="P71" s="1203">
        <f t="shared" si="5"/>
        <v>0</v>
      </c>
      <c r="Q71" s="406">
        <v>0</v>
      </c>
      <c r="R71" s="1615">
        <f t="shared" si="5"/>
        <v>0</v>
      </c>
      <c r="S71" s="406">
        <v>0</v>
      </c>
      <c r="T71" s="1615">
        <f t="shared" si="5"/>
        <v>0</v>
      </c>
      <c r="U71" s="406">
        <v>0</v>
      </c>
      <c r="V71" s="1615">
        <f t="shared" si="6"/>
        <v>0</v>
      </c>
      <c r="W71" s="406">
        <v>1</v>
      </c>
      <c r="X71" s="1615">
        <f t="shared" si="7"/>
        <v>0.2</v>
      </c>
      <c r="Y71" s="406">
        <v>1</v>
      </c>
      <c r="Z71" s="1961">
        <f t="shared" si="8"/>
        <v>0.16666666666666666</v>
      </c>
      <c r="AB71" s="1016">
        <f t="shared" si="10"/>
        <v>0.4</v>
      </c>
      <c r="AC71" s="863">
        <f t="shared" si="11"/>
        <v>7.3333333333333334E-2</v>
      </c>
    </row>
    <row r="72" spans="2:29" s="3" customFormat="1" ht="12" x14ac:dyDescent="0.2">
      <c r="B72" s="85" t="s">
        <v>91</v>
      </c>
      <c r="C72" s="903"/>
      <c r="D72" s="904"/>
      <c r="E72" s="903"/>
      <c r="F72" s="904"/>
      <c r="G72" s="903"/>
      <c r="H72" s="904"/>
      <c r="I72" s="89">
        <v>0</v>
      </c>
      <c r="J72" s="832">
        <f t="shared" si="9"/>
        <v>0</v>
      </c>
      <c r="K72" s="319">
        <v>0</v>
      </c>
      <c r="L72" s="832">
        <f t="shared" si="9"/>
        <v>0</v>
      </c>
      <c r="M72" s="319">
        <v>0</v>
      </c>
      <c r="N72" s="1203">
        <f t="shared" si="5"/>
        <v>0</v>
      </c>
      <c r="O72" s="406">
        <v>0</v>
      </c>
      <c r="P72" s="1203">
        <f t="shared" si="5"/>
        <v>0</v>
      </c>
      <c r="Q72" s="406">
        <v>0</v>
      </c>
      <c r="R72" s="1615">
        <f t="shared" si="5"/>
        <v>0</v>
      </c>
      <c r="S72" s="406">
        <v>0</v>
      </c>
      <c r="T72" s="1615">
        <f t="shared" si="5"/>
        <v>0</v>
      </c>
      <c r="U72" s="406">
        <v>0</v>
      </c>
      <c r="V72" s="1615">
        <f t="shared" si="6"/>
        <v>0</v>
      </c>
      <c r="W72" s="406"/>
      <c r="X72" s="1615">
        <f t="shared" si="7"/>
        <v>0</v>
      </c>
      <c r="Y72" s="406">
        <v>1</v>
      </c>
      <c r="Z72" s="1961">
        <f t="shared" si="8"/>
        <v>0.16666666666666666</v>
      </c>
      <c r="AB72" s="1016">
        <f t="shared" si="10"/>
        <v>0.25</v>
      </c>
      <c r="AC72" s="863">
        <f t="shared" si="11"/>
        <v>3.3333333333333333E-2</v>
      </c>
    </row>
    <row r="73" spans="2:29" s="3" customFormat="1" ht="12" x14ac:dyDescent="0.2">
      <c r="B73" s="85" t="s">
        <v>92</v>
      </c>
      <c r="C73" s="903"/>
      <c r="D73" s="904"/>
      <c r="E73" s="903"/>
      <c r="F73" s="904"/>
      <c r="G73" s="903"/>
      <c r="H73" s="904"/>
      <c r="I73" s="89">
        <v>0</v>
      </c>
      <c r="J73" s="832">
        <f t="shared" si="9"/>
        <v>0</v>
      </c>
      <c r="K73" s="319">
        <v>0</v>
      </c>
      <c r="L73" s="832">
        <f t="shared" si="9"/>
        <v>0</v>
      </c>
      <c r="M73" s="319">
        <v>0</v>
      </c>
      <c r="N73" s="1203">
        <f t="shared" si="5"/>
        <v>0</v>
      </c>
      <c r="O73" s="406">
        <v>0</v>
      </c>
      <c r="P73" s="1203">
        <f t="shared" si="5"/>
        <v>0</v>
      </c>
      <c r="Q73" s="406">
        <v>0</v>
      </c>
      <c r="R73" s="1615">
        <f t="shared" si="5"/>
        <v>0</v>
      </c>
      <c r="S73" s="406">
        <v>0</v>
      </c>
      <c r="T73" s="1615">
        <f t="shared" si="5"/>
        <v>0</v>
      </c>
      <c r="U73" s="406">
        <v>0</v>
      </c>
      <c r="V73" s="1615">
        <f t="shared" si="6"/>
        <v>0</v>
      </c>
      <c r="W73" s="406">
        <v>0</v>
      </c>
      <c r="X73" s="1615">
        <f t="shared" si="7"/>
        <v>0</v>
      </c>
      <c r="Y73" s="406">
        <v>0</v>
      </c>
      <c r="Z73" s="1961">
        <f t="shared" si="8"/>
        <v>0</v>
      </c>
      <c r="AB73" s="1016">
        <f t="shared" si="10"/>
        <v>0</v>
      </c>
      <c r="AC73" s="863">
        <f t="shared" si="11"/>
        <v>0</v>
      </c>
    </row>
    <row r="74" spans="2:29" s="3" customFormat="1" ht="12" x14ac:dyDescent="0.2">
      <c r="B74" s="172" t="s">
        <v>256</v>
      </c>
      <c r="C74" s="903"/>
      <c r="D74" s="904"/>
      <c r="E74" s="903"/>
      <c r="F74" s="904"/>
      <c r="G74" s="903"/>
      <c r="H74" s="904"/>
      <c r="I74" s="1504"/>
      <c r="J74" s="1505"/>
      <c r="K74" s="1506"/>
      <c r="L74" s="1505"/>
      <c r="M74" s="1506"/>
      <c r="N74" s="1507"/>
      <c r="O74" s="1508"/>
      <c r="P74" s="1507"/>
      <c r="Q74" s="406">
        <v>0</v>
      </c>
      <c r="R74" s="1615">
        <f t="shared" si="5"/>
        <v>0</v>
      </c>
      <c r="S74" s="406">
        <v>1</v>
      </c>
      <c r="T74" s="1615">
        <f t="shared" si="5"/>
        <v>0.33333333333333331</v>
      </c>
      <c r="U74" s="406">
        <v>1</v>
      </c>
      <c r="V74" s="1615">
        <f t="shared" si="6"/>
        <v>0.25</v>
      </c>
      <c r="W74" s="406">
        <v>1</v>
      </c>
      <c r="X74" s="1615">
        <f t="shared" si="7"/>
        <v>0.2</v>
      </c>
      <c r="Y74" s="406">
        <v>1</v>
      </c>
      <c r="Z74" s="1961">
        <f t="shared" si="8"/>
        <v>0.16666666666666666</v>
      </c>
      <c r="AB74" s="1016">
        <f t="shared" si="10"/>
        <v>0.8</v>
      </c>
      <c r="AC74" s="863">
        <f t="shared" si="11"/>
        <v>0.19</v>
      </c>
    </row>
    <row r="75" spans="2:29" s="3" customFormat="1" ht="12" x14ac:dyDescent="0.2">
      <c r="B75" s="85" t="s">
        <v>93</v>
      </c>
      <c r="C75" s="903"/>
      <c r="D75" s="904"/>
      <c r="E75" s="903"/>
      <c r="F75" s="904"/>
      <c r="G75" s="903"/>
      <c r="H75" s="904"/>
      <c r="I75" s="89">
        <v>0</v>
      </c>
      <c r="J75" s="832">
        <f t="shared" si="9"/>
        <v>0</v>
      </c>
      <c r="K75" s="319">
        <v>0</v>
      </c>
      <c r="L75" s="832">
        <f t="shared" si="9"/>
        <v>0</v>
      </c>
      <c r="M75" s="319">
        <v>0</v>
      </c>
      <c r="N75" s="1203">
        <f t="shared" si="5"/>
        <v>0</v>
      </c>
      <c r="O75" s="406">
        <v>0</v>
      </c>
      <c r="P75" s="1203">
        <f t="shared" si="5"/>
        <v>0</v>
      </c>
      <c r="Q75" s="406">
        <v>0</v>
      </c>
      <c r="R75" s="1615">
        <f t="shared" si="5"/>
        <v>0</v>
      </c>
      <c r="S75" s="406">
        <v>0</v>
      </c>
      <c r="T75" s="1615">
        <f t="shared" si="5"/>
        <v>0</v>
      </c>
      <c r="U75" s="406">
        <v>0</v>
      </c>
      <c r="V75" s="1615">
        <f t="shared" si="6"/>
        <v>0</v>
      </c>
      <c r="W75" s="406">
        <v>0</v>
      </c>
      <c r="X75" s="1615">
        <f t="shared" si="7"/>
        <v>0</v>
      </c>
      <c r="Y75" s="406">
        <v>0</v>
      </c>
      <c r="Z75" s="1961">
        <f t="shared" si="8"/>
        <v>0</v>
      </c>
      <c r="AB75" s="1016">
        <f t="shared" si="10"/>
        <v>0</v>
      </c>
      <c r="AC75" s="863">
        <f t="shared" si="11"/>
        <v>0</v>
      </c>
    </row>
    <row r="76" spans="2:29" s="3" customFormat="1" ht="12" x14ac:dyDescent="0.2">
      <c r="B76" s="343" t="s">
        <v>136</v>
      </c>
      <c r="C76" s="905"/>
      <c r="D76" s="906"/>
      <c r="E76" s="905"/>
      <c r="F76" s="906"/>
      <c r="G76" s="905"/>
      <c r="H76" s="906"/>
      <c r="I76" s="595"/>
      <c r="J76" s="576"/>
      <c r="K76" s="218"/>
      <c r="L76" s="221"/>
      <c r="M76" s="218"/>
      <c r="N76" s="216"/>
      <c r="O76" s="1200"/>
      <c r="P76" s="216"/>
      <c r="Q76" s="1200"/>
      <c r="R76" s="216"/>
      <c r="S76" s="1200"/>
      <c r="T76" s="216"/>
      <c r="U76" s="1200"/>
      <c r="V76" s="216"/>
      <c r="W76" s="1200"/>
      <c r="X76" s="216"/>
      <c r="Y76" s="1200"/>
      <c r="Z76" s="1494"/>
      <c r="AB76" s="1016"/>
      <c r="AC76" s="863"/>
    </row>
    <row r="77" spans="2:29" s="3" customFormat="1" ht="12" x14ac:dyDescent="0.2">
      <c r="B77" s="75" t="s">
        <v>124</v>
      </c>
      <c r="C77" s="902"/>
      <c r="D77" s="895"/>
      <c r="E77" s="902"/>
      <c r="F77" s="895"/>
      <c r="G77" s="902"/>
      <c r="H77" s="895"/>
      <c r="I77" s="60">
        <v>0</v>
      </c>
      <c r="J77" s="832">
        <f>I77/J$66</f>
        <v>0</v>
      </c>
      <c r="K77" s="229">
        <v>0</v>
      </c>
      <c r="L77" s="836">
        <f>K77/L$66</f>
        <v>0</v>
      </c>
      <c r="M77" s="229">
        <v>1</v>
      </c>
      <c r="N77" s="836">
        <f>M77/N$66</f>
        <v>0.25</v>
      </c>
      <c r="O77" s="183">
        <v>1</v>
      </c>
      <c r="P77" s="836">
        <f>O77/P$66</f>
        <v>0.33333333333333331</v>
      </c>
      <c r="Q77" s="183">
        <v>1</v>
      </c>
      <c r="R77" s="1616">
        <f>Q77/R$66</f>
        <v>0.33333333333333331</v>
      </c>
      <c r="S77" s="183">
        <v>0</v>
      </c>
      <c r="T77" s="1616">
        <f>S77/T$66</f>
        <v>0</v>
      </c>
      <c r="U77" s="183">
        <v>0</v>
      </c>
      <c r="V77" s="1616">
        <f>U77/V$66</f>
        <v>0</v>
      </c>
      <c r="W77" s="183">
        <v>0</v>
      </c>
      <c r="X77" s="1616">
        <f>W77/X$66</f>
        <v>0</v>
      </c>
      <c r="Y77" s="183">
        <v>0</v>
      </c>
      <c r="Z77" s="1962">
        <f>Y77/Z$66</f>
        <v>0</v>
      </c>
      <c r="AB77" s="1016">
        <f t="shared" si="10"/>
        <v>0.2</v>
      </c>
      <c r="AC77" s="863">
        <f t="shared" si="11"/>
        <v>6.6666666666666666E-2</v>
      </c>
    </row>
    <row r="78" spans="2:29" s="3" customFormat="1" ht="12" x14ac:dyDescent="0.2">
      <c r="B78" s="75" t="s">
        <v>125</v>
      </c>
      <c r="C78" s="907"/>
      <c r="D78" s="895"/>
      <c r="E78" s="902"/>
      <c r="F78" s="895"/>
      <c r="G78" s="907"/>
      <c r="H78" s="895"/>
      <c r="I78" s="62">
        <v>1</v>
      </c>
      <c r="J78" s="832">
        <f>I78/J$66</f>
        <v>1</v>
      </c>
      <c r="K78" s="230">
        <v>2</v>
      </c>
      <c r="L78" s="832">
        <f>K78/L$66</f>
        <v>1</v>
      </c>
      <c r="M78" s="230">
        <v>3</v>
      </c>
      <c r="N78" s="1203">
        <f>M78/N$66</f>
        <v>0.75</v>
      </c>
      <c r="O78" s="283">
        <v>2</v>
      </c>
      <c r="P78" s="1203">
        <f>O78/P$66</f>
        <v>0.66666666666666663</v>
      </c>
      <c r="Q78" s="283">
        <v>2</v>
      </c>
      <c r="R78" s="1615">
        <f>Q78/R$66</f>
        <v>0.66666666666666663</v>
      </c>
      <c r="S78" s="283">
        <v>3</v>
      </c>
      <c r="T78" s="1615">
        <f>S78/T$66</f>
        <v>1</v>
      </c>
      <c r="U78" s="283">
        <v>4</v>
      </c>
      <c r="V78" s="1615">
        <f>U78/V$66</f>
        <v>1</v>
      </c>
      <c r="W78" s="283">
        <v>5</v>
      </c>
      <c r="X78" s="1615">
        <f>W78/X$66</f>
        <v>1</v>
      </c>
      <c r="Y78" s="283">
        <v>6</v>
      </c>
      <c r="Z78" s="1961">
        <f>Y78/Z$66</f>
        <v>1</v>
      </c>
      <c r="AB78" s="1016">
        <f t="shared" si="10"/>
        <v>4</v>
      </c>
      <c r="AC78" s="863">
        <f t="shared" si="11"/>
        <v>0.93333333333333324</v>
      </c>
    </row>
    <row r="79" spans="2:29" s="3" customFormat="1" ht="12" x14ac:dyDescent="0.2">
      <c r="B79" s="343" t="s">
        <v>137</v>
      </c>
      <c r="C79" s="908"/>
      <c r="D79" s="906"/>
      <c r="E79" s="908"/>
      <c r="F79" s="906"/>
      <c r="G79" s="908"/>
      <c r="H79" s="906"/>
      <c r="I79" s="576"/>
      <c r="J79" s="576"/>
      <c r="K79" s="219"/>
      <c r="L79" s="221"/>
      <c r="M79" s="219"/>
      <c r="N79" s="216"/>
      <c r="O79" s="1201"/>
      <c r="P79" s="216"/>
      <c r="Q79" s="1498"/>
      <c r="R79" s="216"/>
      <c r="S79" s="1498"/>
      <c r="T79" s="216"/>
      <c r="U79" s="1498"/>
      <c r="V79" s="216"/>
      <c r="W79" s="1498"/>
      <c r="X79" s="216"/>
      <c r="Y79" s="1498"/>
      <c r="Z79" s="1494"/>
      <c r="AB79" s="1016"/>
      <c r="AC79" s="863"/>
    </row>
    <row r="80" spans="2:29" s="3" customFormat="1" ht="12" x14ac:dyDescent="0.2">
      <c r="B80" s="75" t="s">
        <v>126</v>
      </c>
      <c r="C80" s="907"/>
      <c r="D80" s="895"/>
      <c r="E80" s="907"/>
      <c r="F80" s="895"/>
      <c r="G80" s="907"/>
      <c r="H80" s="895"/>
      <c r="I80" s="62">
        <v>0</v>
      </c>
      <c r="J80" s="832">
        <f>I80/J$66</f>
        <v>0</v>
      </c>
      <c r="K80" s="224">
        <v>0</v>
      </c>
      <c r="L80" s="832">
        <f>K80/L$66</f>
        <v>0</v>
      </c>
      <c r="M80" s="224">
        <v>0</v>
      </c>
      <c r="N80" s="1203">
        <f>M80/N$66</f>
        <v>0</v>
      </c>
      <c r="O80" s="223">
        <v>0</v>
      </c>
      <c r="P80" s="1203">
        <f>O80/P$66</f>
        <v>0</v>
      </c>
      <c r="Q80" s="283">
        <v>0</v>
      </c>
      <c r="R80" s="1615">
        <f>Q80/R$66</f>
        <v>0</v>
      </c>
      <c r="S80" s="283">
        <v>0</v>
      </c>
      <c r="T80" s="1615">
        <f>S80/T$66</f>
        <v>0</v>
      </c>
      <c r="U80" s="283">
        <v>0</v>
      </c>
      <c r="V80" s="1615">
        <f>U80/V$66</f>
        <v>0</v>
      </c>
      <c r="W80" s="283">
        <v>1</v>
      </c>
      <c r="X80" s="1615">
        <f>W80/X$66</f>
        <v>0.2</v>
      </c>
      <c r="Y80" s="283">
        <v>2</v>
      </c>
      <c r="Z80" s="1961">
        <f>Y80/Z$66</f>
        <v>0.33333333333333331</v>
      </c>
      <c r="AB80" s="1016">
        <f t="shared" si="10"/>
        <v>0.6</v>
      </c>
      <c r="AC80" s="863">
        <f t="shared" si="11"/>
        <v>0.10666666666666666</v>
      </c>
    </row>
    <row r="81" spans="1:31" s="3" customFormat="1" ht="12" x14ac:dyDescent="0.2">
      <c r="B81" s="75" t="s">
        <v>127</v>
      </c>
      <c r="C81" s="907"/>
      <c r="D81" s="895"/>
      <c r="E81" s="907"/>
      <c r="F81" s="895"/>
      <c r="G81" s="907"/>
      <c r="H81" s="895"/>
      <c r="I81" s="62">
        <v>0</v>
      </c>
      <c r="J81" s="832">
        <f>I81/J$66</f>
        <v>0</v>
      </c>
      <c r="K81" s="224">
        <v>0</v>
      </c>
      <c r="L81" s="832">
        <f>K81/L$66</f>
        <v>0</v>
      </c>
      <c r="M81" s="224">
        <v>1</v>
      </c>
      <c r="N81" s="1203">
        <f>M81/N$66</f>
        <v>0.25</v>
      </c>
      <c r="O81" s="223">
        <v>2</v>
      </c>
      <c r="P81" s="1203">
        <f>O81/P$66</f>
        <v>0.66666666666666663</v>
      </c>
      <c r="Q81" s="283">
        <v>2</v>
      </c>
      <c r="R81" s="1615">
        <f>Q81/R$66</f>
        <v>0.66666666666666663</v>
      </c>
      <c r="S81" s="283">
        <v>1</v>
      </c>
      <c r="T81" s="1615">
        <f>S81/T$66</f>
        <v>0.33333333333333331</v>
      </c>
      <c r="U81" s="283">
        <v>1</v>
      </c>
      <c r="V81" s="1615">
        <f>U81/V$66</f>
        <v>0.25</v>
      </c>
      <c r="W81" s="283">
        <v>2</v>
      </c>
      <c r="X81" s="1615">
        <f>W81/X$66</f>
        <v>0.4</v>
      </c>
      <c r="Y81" s="283">
        <v>1</v>
      </c>
      <c r="Z81" s="1961">
        <f>Y81/Z$66</f>
        <v>0.16666666666666666</v>
      </c>
      <c r="AB81" s="1016">
        <f t="shared" si="10"/>
        <v>1.4</v>
      </c>
      <c r="AC81" s="863">
        <f t="shared" si="11"/>
        <v>0.3633333333333334</v>
      </c>
    </row>
    <row r="82" spans="1:31" s="3" customFormat="1" ht="12" x14ac:dyDescent="0.2">
      <c r="B82" s="75" t="s">
        <v>128</v>
      </c>
      <c r="C82" s="907"/>
      <c r="D82" s="895"/>
      <c r="E82" s="907"/>
      <c r="F82" s="895"/>
      <c r="G82" s="907"/>
      <c r="H82" s="895"/>
      <c r="I82" s="62">
        <v>1</v>
      </c>
      <c r="J82" s="832">
        <f>I82/J$66</f>
        <v>1</v>
      </c>
      <c r="K82" s="224">
        <v>2</v>
      </c>
      <c r="L82" s="832">
        <f>K82/L$66</f>
        <v>1</v>
      </c>
      <c r="M82" s="224">
        <v>3</v>
      </c>
      <c r="N82" s="1203">
        <f>M82/N$66</f>
        <v>0.75</v>
      </c>
      <c r="O82" s="223">
        <v>1</v>
      </c>
      <c r="P82" s="1203">
        <f>O82/P$66</f>
        <v>0.33333333333333331</v>
      </c>
      <c r="Q82" s="283">
        <v>1</v>
      </c>
      <c r="R82" s="1615">
        <f>Q82/R$66</f>
        <v>0.33333333333333331</v>
      </c>
      <c r="S82" s="283">
        <v>2</v>
      </c>
      <c r="T82" s="1615">
        <f>S82/T$66</f>
        <v>0.66666666666666663</v>
      </c>
      <c r="U82" s="283">
        <v>3</v>
      </c>
      <c r="V82" s="1615">
        <f>U82/V$66</f>
        <v>0.75</v>
      </c>
      <c r="W82" s="283">
        <v>2</v>
      </c>
      <c r="X82" s="1615">
        <f>W82/X$66</f>
        <v>0.4</v>
      </c>
      <c r="Y82" s="283">
        <v>3</v>
      </c>
      <c r="Z82" s="1961">
        <f>Y82/Z$66</f>
        <v>0.5</v>
      </c>
      <c r="AB82" s="1016">
        <f t="shared" si="10"/>
        <v>2.2000000000000002</v>
      </c>
      <c r="AC82" s="863">
        <f t="shared" si="11"/>
        <v>0.53</v>
      </c>
    </row>
    <row r="83" spans="1:31" s="3" customFormat="1" ht="12" x14ac:dyDescent="0.2">
      <c r="B83" s="343" t="s">
        <v>138</v>
      </c>
      <c r="C83" s="908"/>
      <c r="D83" s="906"/>
      <c r="E83" s="908"/>
      <c r="F83" s="906"/>
      <c r="G83" s="908"/>
      <c r="H83" s="906"/>
      <c r="I83" s="576"/>
      <c r="J83" s="576"/>
      <c r="K83" s="219"/>
      <c r="L83" s="221"/>
      <c r="M83" s="219"/>
      <c r="N83" s="216"/>
      <c r="O83" s="1201"/>
      <c r="P83" s="216"/>
      <c r="Q83" s="1498"/>
      <c r="R83" s="216"/>
      <c r="S83" s="1498"/>
      <c r="T83" s="216"/>
      <c r="U83" s="1498"/>
      <c r="V83" s="216"/>
      <c r="W83" s="1498"/>
      <c r="X83" s="216"/>
      <c r="Y83" s="1498"/>
      <c r="Z83" s="1494"/>
      <c r="AB83" s="1016"/>
      <c r="AC83" s="863"/>
    </row>
    <row r="84" spans="1:31" s="3" customFormat="1" ht="12" x14ac:dyDescent="0.2">
      <c r="B84" s="75" t="s">
        <v>129</v>
      </c>
      <c r="C84" s="907"/>
      <c r="D84" s="895"/>
      <c r="E84" s="907"/>
      <c r="F84" s="895"/>
      <c r="G84" s="907"/>
      <c r="H84" s="895"/>
      <c r="I84" s="62">
        <v>0</v>
      </c>
      <c r="J84" s="832">
        <f>I84/J$66</f>
        <v>0</v>
      </c>
      <c r="K84" s="224">
        <v>0</v>
      </c>
      <c r="L84" s="832">
        <f>K84/L$66</f>
        <v>0</v>
      </c>
      <c r="M84" s="224">
        <v>2</v>
      </c>
      <c r="N84" s="1203">
        <f>M84/N$66</f>
        <v>0.5</v>
      </c>
      <c r="O84" s="223">
        <v>2</v>
      </c>
      <c r="P84" s="1203">
        <f>O84/P$66</f>
        <v>0.66666666666666663</v>
      </c>
      <c r="Q84" s="283">
        <v>2</v>
      </c>
      <c r="R84" s="1615">
        <f>Q84/R$66</f>
        <v>0.66666666666666663</v>
      </c>
      <c r="S84" s="283">
        <v>1</v>
      </c>
      <c r="T84" s="1615">
        <f>S84/T$66</f>
        <v>0.33333333333333331</v>
      </c>
      <c r="U84" s="283">
        <v>2</v>
      </c>
      <c r="V84" s="1615">
        <f>U84/V$66</f>
        <v>0.5</v>
      </c>
      <c r="W84" s="283">
        <v>4</v>
      </c>
      <c r="X84" s="1615">
        <f>W84/X$66</f>
        <v>0.8</v>
      </c>
      <c r="Y84" s="283">
        <v>6</v>
      </c>
      <c r="Z84" s="1961">
        <f>Y84/Z$66</f>
        <v>1</v>
      </c>
      <c r="AB84" s="1016">
        <f t="shared" si="10"/>
        <v>3</v>
      </c>
      <c r="AC84" s="863">
        <f t="shared" si="11"/>
        <v>0.65999999999999992</v>
      </c>
    </row>
    <row r="85" spans="1:31" s="3" customFormat="1" ht="12" x14ac:dyDescent="0.2">
      <c r="B85" s="75" t="s">
        <v>130</v>
      </c>
      <c r="C85" s="907"/>
      <c r="D85" s="895"/>
      <c r="E85" s="907"/>
      <c r="F85" s="895"/>
      <c r="G85" s="907"/>
      <c r="H85" s="895"/>
      <c r="I85" s="62">
        <v>1</v>
      </c>
      <c r="J85" s="832">
        <f>I85/J$66</f>
        <v>1</v>
      </c>
      <c r="K85" s="224">
        <v>2</v>
      </c>
      <c r="L85" s="832">
        <f>K85/L$66</f>
        <v>1</v>
      </c>
      <c r="M85" s="224">
        <v>2</v>
      </c>
      <c r="N85" s="1203">
        <f>M85/N$66</f>
        <v>0.5</v>
      </c>
      <c r="O85" s="223">
        <v>1</v>
      </c>
      <c r="P85" s="1203">
        <f>O85/P$66</f>
        <v>0.33333333333333331</v>
      </c>
      <c r="Q85" s="283">
        <v>1</v>
      </c>
      <c r="R85" s="1615">
        <f>Q85/R$66</f>
        <v>0.33333333333333331</v>
      </c>
      <c r="S85" s="283">
        <v>2</v>
      </c>
      <c r="T85" s="1615">
        <f>S85/T$66</f>
        <v>0.66666666666666663</v>
      </c>
      <c r="U85" s="283">
        <v>2</v>
      </c>
      <c r="V85" s="1615">
        <f>U85/V$66</f>
        <v>0.5</v>
      </c>
      <c r="W85" s="283">
        <v>1</v>
      </c>
      <c r="X85" s="1615">
        <f>W85/X$66</f>
        <v>0.2</v>
      </c>
      <c r="Y85" s="283">
        <v>0</v>
      </c>
      <c r="Z85" s="1961">
        <f>Y85/Z$66</f>
        <v>0</v>
      </c>
      <c r="AB85" s="1016">
        <f t="shared" si="10"/>
        <v>1.2</v>
      </c>
      <c r="AC85" s="863">
        <f t="shared" si="11"/>
        <v>0.33999999999999997</v>
      </c>
    </row>
    <row r="86" spans="1:31" s="3" customFormat="1" ht="12" x14ac:dyDescent="0.2">
      <c r="B86" s="75" t="s">
        <v>131</v>
      </c>
      <c r="C86" s="907"/>
      <c r="D86" s="895"/>
      <c r="E86" s="907"/>
      <c r="F86" s="895"/>
      <c r="G86" s="907"/>
      <c r="H86" s="895"/>
      <c r="I86" s="62">
        <v>0</v>
      </c>
      <c r="J86" s="832">
        <f>I86/J$66</f>
        <v>0</v>
      </c>
      <c r="K86" s="224">
        <v>0</v>
      </c>
      <c r="L86" s="832">
        <f>K86/L$66</f>
        <v>0</v>
      </c>
      <c r="M86" s="224">
        <v>0</v>
      </c>
      <c r="N86" s="1203">
        <f>M86/N$66</f>
        <v>0</v>
      </c>
      <c r="O86" s="223">
        <v>0</v>
      </c>
      <c r="P86" s="1203">
        <f>O86/P$66</f>
        <v>0</v>
      </c>
      <c r="Q86" s="283">
        <v>0</v>
      </c>
      <c r="R86" s="1615">
        <f>Q86/R$66</f>
        <v>0</v>
      </c>
      <c r="S86" s="283">
        <v>0</v>
      </c>
      <c r="T86" s="1615">
        <f>S86/T$66</f>
        <v>0</v>
      </c>
      <c r="U86" s="283">
        <v>0</v>
      </c>
      <c r="V86" s="1615">
        <f>U86/V$66</f>
        <v>0</v>
      </c>
      <c r="W86" s="283">
        <v>0</v>
      </c>
      <c r="X86" s="1615">
        <f>W86/X$66</f>
        <v>0</v>
      </c>
      <c r="Y86" s="283">
        <v>0</v>
      </c>
      <c r="Z86" s="1961">
        <f>Y86/Z$66</f>
        <v>0</v>
      </c>
      <c r="AB86" s="1016">
        <f t="shared" si="10"/>
        <v>0</v>
      </c>
      <c r="AC86" s="863">
        <f t="shared" si="11"/>
        <v>0</v>
      </c>
    </row>
    <row r="87" spans="1:31" s="3" customFormat="1" thickBot="1" x14ac:dyDescent="0.25">
      <c r="B87" s="76" t="s">
        <v>132</v>
      </c>
      <c r="C87" s="909"/>
      <c r="D87" s="910"/>
      <c r="E87" s="911"/>
      <c r="F87" s="910"/>
      <c r="G87" s="911"/>
      <c r="H87" s="912"/>
      <c r="I87" s="577">
        <v>0</v>
      </c>
      <c r="J87" s="834">
        <f>I87/J$66</f>
        <v>0</v>
      </c>
      <c r="K87" s="61">
        <v>0</v>
      </c>
      <c r="L87" s="833">
        <f>K87/L$66</f>
        <v>0</v>
      </c>
      <c r="M87" s="61">
        <v>0</v>
      </c>
      <c r="N87" s="833">
        <f>M87/N$66</f>
        <v>0</v>
      </c>
      <c r="O87" s="1202">
        <v>0</v>
      </c>
      <c r="P87" s="833">
        <f>O87/P$66</f>
        <v>0</v>
      </c>
      <c r="Q87" s="1499">
        <v>0</v>
      </c>
      <c r="R87" s="1617">
        <f>Q87/R$66</f>
        <v>0</v>
      </c>
      <c r="S87" s="1499">
        <v>0</v>
      </c>
      <c r="T87" s="1617">
        <f>S87/T$66</f>
        <v>0</v>
      </c>
      <c r="U87" s="1499">
        <v>0</v>
      </c>
      <c r="V87" s="1617">
        <f>U87/V$66</f>
        <v>0</v>
      </c>
      <c r="W87" s="1499">
        <v>0</v>
      </c>
      <c r="X87" s="1617">
        <f>W87/X$66</f>
        <v>0</v>
      </c>
      <c r="Y87" s="1499">
        <v>0</v>
      </c>
      <c r="Z87" s="1963">
        <f>Y87/Z$66</f>
        <v>0</v>
      </c>
      <c r="AB87" s="1016">
        <f t="shared" si="10"/>
        <v>0</v>
      </c>
      <c r="AC87" s="863">
        <f t="shared" si="11"/>
        <v>0</v>
      </c>
    </row>
    <row r="88" spans="1:31" ht="14.25" thickTop="1" thickBot="1" x14ac:dyDescent="0.25">
      <c r="A88" s="1"/>
      <c r="B88" s="956" t="s">
        <v>186</v>
      </c>
      <c r="C88" s="1992" t="s">
        <v>51</v>
      </c>
      <c r="D88" s="1993"/>
      <c r="E88" s="1992" t="s">
        <v>52</v>
      </c>
      <c r="F88" s="1993"/>
      <c r="G88" s="1989" t="s">
        <v>184</v>
      </c>
      <c r="H88" s="1990"/>
      <c r="I88" s="1989" t="s">
        <v>185</v>
      </c>
      <c r="J88" s="1990"/>
      <c r="K88" s="1989" t="s">
        <v>202</v>
      </c>
      <c r="L88" s="1990"/>
      <c r="M88" s="1991" t="s">
        <v>203</v>
      </c>
      <c r="N88" s="1979"/>
      <c r="O88" s="1970" t="s">
        <v>228</v>
      </c>
      <c r="P88" s="1979"/>
      <c r="Q88" s="1970" t="s">
        <v>238</v>
      </c>
      <c r="R88" s="1979"/>
      <c r="S88" s="1970" t="s">
        <v>273</v>
      </c>
      <c r="T88" s="1979"/>
      <c r="U88" s="1970" t="s">
        <v>275</v>
      </c>
      <c r="V88" s="1979"/>
      <c r="W88" s="1970" t="s">
        <v>281</v>
      </c>
      <c r="X88" s="1979"/>
      <c r="Y88" s="1970" t="s">
        <v>291</v>
      </c>
      <c r="Z88" s="1976"/>
      <c r="AB88" s="2003" t="s">
        <v>213</v>
      </c>
      <c r="AC88" s="2004"/>
    </row>
    <row r="89" spans="1:31" x14ac:dyDescent="0.2">
      <c r="A89" s="1"/>
      <c r="B89" s="957"/>
      <c r="C89" s="958" t="s">
        <v>133</v>
      </c>
      <c r="D89" s="959" t="s">
        <v>17</v>
      </c>
      <c r="E89" s="958" t="s">
        <v>133</v>
      </c>
      <c r="F89" s="959" t="s">
        <v>17</v>
      </c>
      <c r="G89" s="958" t="s">
        <v>133</v>
      </c>
      <c r="H89" s="959" t="s">
        <v>17</v>
      </c>
      <c r="I89" s="958" t="s">
        <v>133</v>
      </c>
      <c r="J89" s="959" t="s">
        <v>17</v>
      </c>
      <c r="K89" s="958" t="s">
        <v>133</v>
      </c>
      <c r="L89" s="959" t="s">
        <v>17</v>
      </c>
      <c r="M89" s="958" t="s">
        <v>133</v>
      </c>
      <c r="N89" s="1180" t="s">
        <v>17</v>
      </c>
      <c r="O89" s="958" t="s">
        <v>133</v>
      </c>
      <c r="P89" s="1180" t="s">
        <v>17</v>
      </c>
      <c r="Q89" s="958" t="s">
        <v>133</v>
      </c>
      <c r="R89" s="1180" t="s">
        <v>17</v>
      </c>
      <c r="S89" s="958" t="s">
        <v>133</v>
      </c>
      <c r="T89" s="1180" t="s">
        <v>17</v>
      </c>
      <c r="U89" s="958" t="s">
        <v>133</v>
      </c>
      <c r="V89" s="1180" t="s">
        <v>17</v>
      </c>
      <c r="W89" s="958" t="s">
        <v>133</v>
      </c>
      <c r="X89" s="1180" t="s">
        <v>17</v>
      </c>
      <c r="Y89" s="958" t="s">
        <v>133</v>
      </c>
      <c r="Z89" s="965" t="s">
        <v>17</v>
      </c>
      <c r="AB89" s="953" t="s">
        <v>133</v>
      </c>
      <c r="AC89" s="954" t="s">
        <v>17</v>
      </c>
    </row>
    <row r="90" spans="1:31" x14ac:dyDescent="0.2">
      <c r="A90" s="1"/>
      <c r="B90" s="341" t="s">
        <v>187</v>
      </c>
      <c r="C90" s="960">
        <v>0</v>
      </c>
      <c r="D90" s="961">
        <v>0</v>
      </c>
      <c r="E90" s="960">
        <v>0</v>
      </c>
      <c r="F90" s="961">
        <v>0</v>
      </c>
      <c r="G90" s="960">
        <v>0</v>
      </c>
      <c r="H90" s="961">
        <v>0</v>
      </c>
      <c r="I90" s="960">
        <v>0</v>
      </c>
      <c r="J90" s="961">
        <v>0</v>
      </c>
      <c r="K90" s="960">
        <v>0</v>
      </c>
      <c r="L90" s="961">
        <v>0</v>
      </c>
      <c r="M90" s="960">
        <v>1</v>
      </c>
      <c r="N90" s="961">
        <v>0.5</v>
      </c>
      <c r="O90" s="960">
        <v>2</v>
      </c>
      <c r="P90" s="961">
        <v>1</v>
      </c>
      <c r="Q90" s="960">
        <v>2</v>
      </c>
      <c r="R90" s="961">
        <v>1</v>
      </c>
      <c r="S90" s="960">
        <v>2</v>
      </c>
      <c r="T90" s="961">
        <v>1</v>
      </c>
      <c r="U90" s="960">
        <v>2</v>
      </c>
      <c r="V90" s="961">
        <v>1</v>
      </c>
      <c r="W90" s="960">
        <v>0</v>
      </c>
      <c r="X90" s="961">
        <v>0</v>
      </c>
      <c r="Y90" s="960">
        <v>0</v>
      </c>
      <c r="Z90" s="1517">
        <v>0</v>
      </c>
      <c r="AB90" s="1115">
        <f>AVERAGE(U90,S90,Q90,Y90,W90)</f>
        <v>1.2</v>
      </c>
      <c r="AC90" s="1116">
        <f>AVERAGE(V90,T90,R90,Z90,X90)</f>
        <v>0.6</v>
      </c>
    </row>
    <row r="91" spans="1:31" x14ac:dyDescent="0.2">
      <c r="A91" s="1"/>
      <c r="B91" s="341" t="s">
        <v>188</v>
      </c>
      <c r="C91" s="960">
        <v>0</v>
      </c>
      <c r="D91" s="961">
        <v>0</v>
      </c>
      <c r="E91" s="960">
        <v>0</v>
      </c>
      <c r="F91" s="961">
        <v>0</v>
      </c>
      <c r="G91" s="960">
        <v>0</v>
      </c>
      <c r="H91" s="961">
        <v>0</v>
      </c>
      <c r="I91" s="960">
        <v>0</v>
      </c>
      <c r="J91" s="961">
        <v>0</v>
      </c>
      <c r="K91" s="960">
        <v>0</v>
      </c>
      <c r="L91" s="961">
        <v>0</v>
      </c>
      <c r="M91" s="960">
        <v>0</v>
      </c>
      <c r="N91" s="961">
        <v>0</v>
      </c>
      <c r="O91" s="960">
        <v>0</v>
      </c>
      <c r="P91" s="961">
        <v>0</v>
      </c>
      <c r="Q91" s="960">
        <v>0</v>
      </c>
      <c r="R91" s="961">
        <v>0</v>
      </c>
      <c r="S91" s="960">
        <v>1</v>
      </c>
      <c r="T91" s="961">
        <v>0.5</v>
      </c>
      <c r="U91" s="960">
        <v>0</v>
      </c>
      <c r="V91" s="961">
        <v>0</v>
      </c>
      <c r="W91" s="960">
        <v>0</v>
      </c>
      <c r="X91" s="961">
        <v>0</v>
      </c>
      <c r="Y91" s="960">
        <v>0</v>
      </c>
      <c r="Z91" s="1517">
        <v>0</v>
      </c>
      <c r="AB91" s="1115">
        <f t="shared" ref="AB91:AB92" si="12">AVERAGE(U91,S91,Q91,Y91,W91)</f>
        <v>0.2</v>
      </c>
      <c r="AC91" s="1116">
        <f t="shared" ref="AC91:AC92" si="13">AVERAGE(V91,T91,R91,Z91,X91)</f>
        <v>0.1</v>
      </c>
      <c r="AE91" t="s">
        <v>29</v>
      </c>
    </row>
    <row r="92" spans="1:31" ht="13.5" thickBot="1" x14ac:dyDescent="0.25">
      <c r="A92" s="1"/>
      <c r="B92" s="344" t="s">
        <v>211</v>
      </c>
      <c r="C92" s="962">
        <v>0</v>
      </c>
      <c r="D92" s="963">
        <v>0</v>
      </c>
      <c r="E92" s="962">
        <v>0</v>
      </c>
      <c r="F92" s="963">
        <v>0</v>
      </c>
      <c r="G92" s="962">
        <v>0</v>
      </c>
      <c r="H92" s="963">
        <v>0</v>
      </c>
      <c r="I92" s="962">
        <v>0</v>
      </c>
      <c r="J92" s="963">
        <v>0</v>
      </c>
      <c r="K92" s="962">
        <v>0</v>
      </c>
      <c r="L92" s="963">
        <v>0</v>
      </c>
      <c r="M92" s="964">
        <v>0</v>
      </c>
      <c r="N92" s="963">
        <v>0</v>
      </c>
      <c r="O92" s="964">
        <v>0</v>
      </c>
      <c r="P92" s="963">
        <v>0</v>
      </c>
      <c r="Q92" s="964">
        <v>0</v>
      </c>
      <c r="R92" s="963">
        <v>0</v>
      </c>
      <c r="S92" s="964">
        <v>0</v>
      </c>
      <c r="T92" s="963">
        <v>0</v>
      </c>
      <c r="U92" s="964">
        <v>0</v>
      </c>
      <c r="V92" s="963">
        <v>0</v>
      </c>
      <c r="W92" s="964">
        <v>0</v>
      </c>
      <c r="X92" s="963">
        <v>0</v>
      </c>
      <c r="Y92" s="964">
        <v>0</v>
      </c>
      <c r="Z92" s="1518">
        <v>0</v>
      </c>
      <c r="AB92" s="1117">
        <f t="shared" si="12"/>
        <v>0</v>
      </c>
      <c r="AC92" s="1118">
        <f t="shared" si="13"/>
        <v>0</v>
      </c>
    </row>
    <row r="93" spans="1:31" ht="17.25" thickTop="1" thickBot="1" x14ac:dyDescent="0.3">
      <c r="A93" s="966"/>
      <c r="B93" s="967"/>
      <c r="C93" s="1992" t="s">
        <v>51</v>
      </c>
      <c r="D93" s="1993"/>
      <c r="E93" s="1992" t="s">
        <v>52</v>
      </c>
      <c r="F93" s="1993"/>
      <c r="G93" s="1989" t="s">
        <v>184</v>
      </c>
      <c r="H93" s="1990"/>
      <c r="I93" s="1989" t="s">
        <v>185</v>
      </c>
      <c r="J93" s="1990"/>
      <c r="K93" s="1989" t="s">
        <v>202</v>
      </c>
      <c r="L93" s="1990"/>
      <c r="M93" s="1991" t="s">
        <v>203</v>
      </c>
      <c r="N93" s="1979"/>
      <c r="O93" s="1970" t="s">
        <v>254</v>
      </c>
      <c r="P93" s="1979"/>
      <c r="Q93" s="1970" t="s">
        <v>238</v>
      </c>
      <c r="R93" s="1979"/>
      <c r="S93" s="1970" t="s">
        <v>273</v>
      </c>
      <c r="T93" s="1979"/>
      <c r="U93" s="1970" t="s">
        <v>275</v>
      </c>
      <c r="V93" s="1979"/>
      <c r="W93" s="1970" t="s">
        <v>281</v>
      </c>
      <c r="X93" s="1979"/>
      <c r="Y93" s="1970" t="s">
        <v>291</v>
      </c>
      <c r="Z93" s="1979"/>
      <c r="AA93" s="1470"/>
      <c r="AB93" s="1987"/>
      <c r="AC93" s="1988"/>
      <c r="AD93" s="3"/>
      <c r="AE93" s="3"/>
    </row>
    <row r="94" spans="1:31" x14ac:dyDescent="0.2">
      <c r="A94" s="3"/>
      <c r="B94" s="342" t="s">
        <v>210</v>
      </c>
      <c r="C94" s="1913"/>
      <c r="D94" s="1914"/>
      <c r="E94" s="1099"/>
      <c r="F94" s="1100"/>
      <c r="G94" s="1101"/>
      <c r="H94" s="1102"/>
      <c r="I94" s="1529"/>
      <c r="J94" s="1530"/>
      <c r="K94" s="982"/>
      <c r="L94" s="1105"/>
      <c r="M94" s="982"/>
      <c r="N94" s="983"/>
      <c r="O94" s="1229"/>
      <c r="P94" s="1401"/>
      <c r="Q94" s="982"/>
      <c r="R94" s="983"/>
      <c r="S94" s="982"/>
      <c r="T94" s="983"/>
      <c r="U94" s="1229"/>
      <c r="V94" s="1401"/>
      <c r="W94" s="982"/>
      <c r="X94" s="983"/>
      <c r="Y94" s="982"/>
      <c r="Z94" s="983"/>
      <c r="AA94" s="1471"/>
      <c r="AB94" s="1106"/>
      <c r="AC94" s="1106"/>
      <c r="AD94" s="3"/>
      <c r="AE94" s="3"/>
    </row>
    <row r="95" spans="1:31" x14ac:dyDescent="0.2">
      <c r="A95" s="930"/>
      <c r="B95" s="979" t="s">
        <v>192</v>
      </c>
      <c r="C95" s="2020"/>
      <c r="D95" s="2021"/>
      <c r="E95" s="980"/>
      <c r="F95" s="981"/>
      <c r="G95" s="982"/>
      <c r="H95" s="983"/>
      <c r="I95" s="1983">
        <v>1</v>
      </c>
      <c r="J95" s="1984"/>
      <c r="K95" s="1107"/>
      <c r="L95" s="1108"/>
      <c r="M95" s="1107"/>
      <c r="N95" s="983"/>
      <c r="O95" s="1230"/>
      <c r="P95" s="1401">
        <v>3.5</v>
      </c>
      <c r="Q95" s="1107"/>
      <c r="R95" s="983"/>
      <c r="S95" s="1107"/>
      <c r="T95" s="983"/>
      <c r="U95" s="1230"/>
      <c r="V95" s="1401">
        <v>1</v>
      </c>
      <c r="W95" s="1107"/>
      <c r="X95" s="983"/>
      <c r="Y95" s="1107"/>
      <c r="Z95" s="983"/>
      <c r="AA95" s="1471"/>
      <c r="AB95" s="1106"/>
      <c r="AC95" s="1106"/>
      <c r="AD95" s="3"/>
      <c r="AE95" s="3"/>
    </row>
    <row r="96" spans="1:31" x14ac:dyDescent="0.2">
      <c r="A96" s="930"/>
      <c r="B96" s="986" t="s">
        <v>193</v>
      </c>
      <c r="C96" s="2020"/>
      <c r="D96" s="2021"/>
      <c r="E96" s="980"/>
      <c r="F96" s="981"/>
      <c r="G96" s="982"/>
      <c r="H96" s="983"/>
      <c r="I96" s="1983"/>
      <c r="J96" s="1984"/>
      <c r="K96" s="1107"/>
      <c r="L96" s="1108"/>
      <c r="M96" s="1107"/>
      <c r="N96" s="983"/>
      <c r="O96" s="1230"/>
      <c r="P96" s="1401"/>
      <c r="Q96" s="1107"/>
      <c r="R96" s="983"/>
      <c r="S96" s="1107"/>
      <c r="T96" s="983"/>
      <c r="U96" s="1230"/>
      <c r="V96" s="1401"/>
      <c r="W96" s="1107"/>
      <c r="X96" s="983"/>
      <c r="Y96" s="1107"/>
      <c r="Z96" s="983"/>
      <c r="AA96" s="1471"/>
      <c r="AB96" s="1106"/>
      <c r="AC96" s="1106"/>
      <c r="AD96" s="3"/>
      <c r="AE96" s="3"/>
    </row>
    <row r="97" spans="1:31" x14ac:dyDescent="0.2">
      <c r="A97" s="930"/>
      <c r="B97" s="986" t="s">
        <v>194</v>
      </c>
      <c r="C97" s="2020"/>
      <c r="D97" s="2021"/>
      <c r="E97" s="980"/>
      <c r="F97" s="981"/>
      <c r="G97" s="982"/>
      <c r="H97" s="983"/>
      <c r="I97" s="1983">
        <v>0</v>
      </c>
      <c r="J97" s="1984"/>
      <c r="K97" s="1107"/>
      <c r="L97" s="1108"/>
      <c r="M97" s="1107"/>
      <c r="N97" s="983"/>
      <c r="O97" s="1230"/>
      <c r="P97" s="1401">
        <v>0</v>
      </c>
      <c r="Q97" s="1107"/>
      <c r="R97" s="983"/>
      <c r="S97" s="1107"/>
      <c r="T97" s="983"/>
      <c r="U97" s="1230"/>
      <c r="V97" s="1401">
        <v>0</v>
      </c>
      <c r="W97" s="1107"/>
      <c r="X97" s="983"/>
      <c r="Y97" s="1107"/>
      <c r="Z97" s="983"/>
      <c r="AA97" s="1471"/>
      <c r="AB97" s="1106"/>
      <c r="AC97" s="1106"/>
      <c r="AD97" s="3"/>
      <c r="AE97" s="3"/>
    </row>
    <row r="98" spans="1:31" x14ac:dyDescent="0.2">
      <c r="A98" s="930"/>
      <c r="B98" s="979" t="s">
        <v>195</v>
      </c>
      <c r="C98" s="2020"/>
      <c r="D98" s="2021"/>
      <c r="E98" s="980"/>
      <c r="F98" s="981"/>
      <c r="G98" s="982"/>
      <c r="H98" s="983"/>
      <c r="I98" s="1983">
        <v>0</v>
      </c>
      <c r="J98" s="1984"/>
      <c r="K98" s="1107"/>
      <c r="L98" s="1108"/>
      <c r="M98" s="1107"/>
      <c r="N98" s="983"/>
      <c r="O98" s="1230"/>
      <c r="P98" s="1401">
        <v>0</v>
      </c>
      <c r="Q98" s="1107"/>
      <c r="R98" s="983"/>
      <c r="S98" s="1107"/>
      <c r="T98" s="983"/>
      <c r="U98" s="1230"/>
      <c r="V98" s="1401">
        <v>0</v>
      </c>
      <c r="W98" s="1107"/>
      <c r="X98" s="983"/>
      <c r="Y98" s="1107"/>
      <c r="Z98" s="983"/>
      <c r="AA98" s="1471"/>
      <c r="AB98" s="1106"/>
      <c r="AC98" s="1106"/>
      <c r="AD98" s="3"/>
      <c r="AE98" s="3"/>
    </row>
    <row r="99" spans="1:31" x14ac:dyDescent="0.2">
      <c r="A99" s="930"/>
      <c r="B99" s="987" t="s">
        <v>196</v>
      </c>
      <c r="C99" s="2020"/>
      <c r="D99" s="2021"/>
      <c r="E99" s="980"/>
      <c r="F99" s="981"/>
      <c r="G99" s="982"/>
      <c r="H99" s="983"/>
      <c r="I99" s="1983">
        <v>1.4</v>
      </c>
      <c r="J99" s="1984"/>
      <c r="K99" s="1107"/>
      <c r="L99" s="1108"/>
      <c r="M99" s="1107"/>
      <c r="N99" s="983"/>
      <c r="O99" s="1230"/>
      <c r="P99" s="1401">
        <v>0.5</v>
      </c>
      <c r="Q99" s="1107"/>
      <c r="R99" s="983"/>
      <c r="S99" s="1107"/>
      <c r="T99" s="983"/>
      <c r="U99" s="1230"/>
      <c r="V99" s="1401">
        <f>2+0.5</f>
        <v>2.5</v>
      </c>
      <c r="W99" s="1107"/>
      <c r="X99" s="983"/>
      <c r="Y99" s="1107"/>
      <c r="Z99" s="983"/>
      <c r="AA99" s="1471"/>
      <c r="AB99" s="1106"/>
      <c r="AC99" s="1106"/>
      <c r="AD99" s="3"/>
      <c r="AE99" s="3"/>
    </row>
    <row r="100" spans="1:31" x14ac:dyDescent="0.2">
      <c r="A100" s="930"/>
      <c r="B100" s="987" t="s">
        <v>197</v>
      </c>
      <c r="C100" s="2020"/>
      <c r="D100" s="2021"/>
      <c r="E100" s="980"/>
      <c r="F100" s="981"/>
      <c r="G100" s="982"/>
      <c r="H100" s="983"/>
      <c r="I100" s="1983">
        <f>SUM(I95:J99)</f>
        <v>2.4</v>
      </c>
      <c r="J100" s="1984"/>
      <c r="K100" s="1107"/>
      <c r="L100" s="1108"/>
      <c r="M100" s="1107"/>
      <c r="N100" s="983"/>
      <c r="O100" s="1230"/>
      <c r="P100" s="1401">
        <f>SUM(P95:P99)</f>
        <v>4</v>
      </c>
      <c r="Q100" s="1107"/>
      <c r="R100" s="983"/>
      <c r="S100" s="1107"/>
      <c r="T100" s="983"/>
      <c r="U100" s="1230"/>
      <c r="V100" s="1401">
        <f>SUM(V95:V99)</f>
        <v>3.5</v>
      </c>
      <c r="W100" s="1107"/>
      <c r="X100" s="983"/>
      <c r="Y100" s="1107"/>
      <c r="Z100" s="983"/>
      <c r="AA100" s="1471"/>
      <c r="AB100" s="1106"/>
      <c r="AC100" s="1106"/>
      <c r="AD100" s="3"/>
      <c r="AE100" s="3"/>
    </row>
    <row r="101" spans="1:31" ht="13.5" thickBot="1" x14ac:dyDescent="0.25">
      <c r="A101" s="930"/>
      <c r="B101" s="988" t="s">
        <v>204</v>
      </c>
      <c r="C101" s="2020"/>
      <c r="D101" s="2021"/>
      <c r="E101" s="980"/>
      <c r="F101" s="981"/>
      <c r="G101" s="982"/>
      <c r="H101" s="983"/>
      <c r="I101" s="1983"/>
      <c r="J101" s="1984"/>
      <c r="K101" s="1107"/>
      <c r="L101" s="1108"/>
      <c r="M101" s="1107"/>
      <c r="N101" s="983"/>
      <c r="O101" s="1230"/>
      <c r="P101" s="1401"/>
      <c r="Q101" s="1107"/>
      <c r="R101" s="983"/>
      <c r="S101" s="1107"/>
      <c r="T101" s="983"/>
      <c r="U101" s="1230"/>
      <c r="V101" s="1401"/>
      <c r="W101" s="1107"/>
      <c r="X101" s="983"/>
      <c r="Y101" s="1107"/>
      <c r="Z101" s="983"/>
      <c r="AA101" s="1471"/>
      <c r="AB101" s="1106"/>
      <c r="AC101" s="1106"/>
      <c r="AD101" s="3"/>
      <c r="AE101" s="3"/>
    </row>
    <row r="102" spans="1:31" x14ac:dyDescent="0.2">
      <c r="A102" s="930"/>
      <c r="B102" s="979" t="s">
        <v>198</v>
      </c>
      <c r="C102" s="2020"/>
      <c r="D102" s="2021"/>
      <c r="E102" s="980"/>
      <c r="F102" s="981"/>
      <c r="G102" s="982"/>
      <c r="H102" s="983"/>
      <c r="I102" s="1985">
        <v>24</v>
      </c>
      <c r="J102" s="1986"/>
      <c r="K102" s="1000"/>
      <c r="L102" s="1001"/>
      <c r="M102" s="1000"/>
      <c r="N102" s="999"/>
      <c r="O102" s="494"/>
      <c r="P102" s="1402">
        <v>645</v>
      </c>
      <c r="Q102" s="1000"/>
      <c r="R102" s="999"/>
      <c r="S102" s="1000"/>
      <c r="T102" s="999"/>
      <c r="U102" s="494"/>
      <c r="V102" s="1402">
        <v>402</v>
      </c>
      <c r="W102" s="1000"/>
      <c r="X102" s="999"/>
      <c r="Y102" s="1000"/>
      <c r="Z102" s="999"/>
      <c r="AA102" s="1472"/>
      <c r="AB102" s="668"/>
      <c r="AC102" s="1473"/>
      <c r="AD102" s="3"/>
      <c r="AE102" s="3"/>
    </row>
    <row r="103" spans="1:31" x14ac:dyDescent="0.2">
      <c r="A103" s="930"/>
      <c r="B103" s="987" t="s">
        <v>199</v>
      </c>
      <c r="C103" s="2020"/>
      <c r="D103" s="2021"/>
      <c r="E103" s="980"/>
      <c r="F103" s="981"/>
      <c r="G103" s="982"/>
      <c r="H103" s="983"/>
      <c r="I103" s="1985">
        <v>0</v>
      </c>
      <c r="J103" s="1986"/>
      <c r="K103" s="1000"/>
      <c r="L103" s="1001"/>
      <c r="M103" s="1000"/>
      <c r="N103" s="999"/>
      <c r="O103" s="494"/>
      <c r="P103" s="1402">
        <v>0</v>
      </c>
      <c r="Q103" s="1000"/>
      <c r="R103" s="999"/>
      <c r="S103" s="1000"/>
      <c r="T103" s="999"/>
      <c r="U103" s="494"/>
      <c r="V103" s="1402">
        <v>0</v>
      </c>
      <c r="W103" s="1000"/>
      <c r="X103" s="999"/>
      <c r="Y103" s="1000"/>
      <c r="Z103" s="999"/>
      <c r="AA103" s="1472"/>
      <c r="AB103" s="668"/>
      <c r="AC103" s="1473"/>
      <c r="AD103" s="3"/>
      <c r="AE103" s="3"/>
    </row>
    <row r="104" spans="1:31" x14ac:dyDescent="0.2">
      <c r="A104" s="930"/>
      <c r="B104" s="987" t="s">
        <v>200</v>
      </c>
      <c r="C104" s="2020"/>
      <c r="D104" s="2021"/>
      <c r="E104" s="980"/>
      <c r="F104" s="981"/>
      <c r="G104" s="982"/>
      <c r="H104" s="983"/>
      <c r="I104" s="1985">
        <v>690</v>
      </c>
      <c r="J104" s="1986"/>
      <c r="K104" s="1000"/>
      <c r="L104" s="1001"/>
      <c r="M104" s="1000"/>
      <c r="N104" s="999"/>
      <c r="O104" s="494"/>
      <c r="P104" s="1402">
        <v>351</v>
      </c>
      <c r="Q104" s="1000"/>
      <c r="R104" s="999"/>
      <c r="S104" s="1000"/>
      <c r="T104" s="999"/>
      <c r="U104" s="494"/>
      <c r="V104" s="1402">
        <f>393+177</f>
        <v>570</v>
      </c>
      <c r="W104" s="1000"/>
      <c r="X104" s="999"/>
      <c r="Y104" s="1000"/>
      <c r="Z104" s="999"/>
      <c r="AA104" s="1472"/>
      <c r="AB104" s="668"/>
      <c r="AC104" s="1473"/>
      <c r="AD104" s="3"/>
      <c r="AE104" s="3"/>
    </row>
    <row r="105" spans="1:31" x14ac:dyDescent="0.2">
      <c r="A105" s="930"/>
      <c r="B105" s="987" t="s">
        <v>209</v>
      </c>
      <c r="C105" s="2020"/>
      <c r="D105" s="2021"/>
      <c r="E105" s="980"/>
      <c r="F105" s="981"/>
      <c r="G105" s="982"/>
      <c r="H105" s="983"/>
      <c r="I105" s="1985">
        <f>SUM(I101:J104)</f>
        <v>714</v>
      </c>
      <c r="J105" s="1986"/>
      <c r="K105" s="1000"/>
      <c r="L105" s="1001"/>
      <c r="M105" s="1000"/>
      <c r="N105" s="999"/>
      <c r="O105" s="494"/>
      <c r="P105" s="1402">
        <f>SUM(P102:P104)</f>
        <v>996</v>
      </c>
      <c r="Q105" s="1000"/>
      <c r="R105" s="999"/>
      <c r="S105" s="1000"/>
      <c r="T105" s="999"/>
      <c r="U105" s="494"/>
      <c r="V105" s="1402">
        <f>SUM(V102:V104)</f>
        <v>972</v>
      </c>
      <c r="W105" s="1000"/>
      <c r="X105" s="999"/>
      <c r="Y105" s="1000"/>
      <c r="Z105" s="999"/>
      <c r="AA105" s="1472"/>
      <c r="AB105" s="668"/>
      <c r="AC105" s="1473"/>
      <c r="AD105" s="3"/>
      <c r="AE105" s="3"/>
    </row>
    <row r="106" spans="1:31" ht="13.5" thickBot="1" x14ac:dyDescent="0.25">
      <c r="A106" s="930"/>
      <c r="B106" s="988" t="s">
        <v>205</v>
      </c>
      <c r="C106" s="2020"/>
      <c r="D106" s="2021"/>
      <c r="E106" s="980"/>
      <c r="F106" s="981"/>
      <c r="G106" s="982"/>
      <c r="H106" s="983"/>
      <c r="I106" s="1983"/>
      <c r="J106" s="1984"/>
      <c r="K106" s="1107"/>
      <c r="L106" s="1108"/>
      <c r="M106" s="1107" t="s">
        <v>29</v>
      </c>
      <c r="N106" s="983"/>
      <c r="O106" s="1230"/>
      <c r="P106" s="1401"/>
      <c r="Q106" s="1107"/>
      <c r="R106" s="983"/>
      <c r="S106" s="1107"/>
      <c r="T106" s="983"/>
      <c r="U106" s="1230"/>
      <c r="V106" s="1401"/>
      <c r="W106" s="1107"/>
      <c r="X106" s="983"/>
      <c r="Y106" s="1107"/>
      <c r="Z106" s="983"/>
      <c r="AA106" s="1471"/>
      <c r="AB106" s="1106"/>
      <c r="AC106" s="1106"/>
      <c r="AD106" s="28"/>
      <c r="AE106" s="28"/>
    </row>
    <row r="107" spans="1:31" x14ac:dyDescent="0.2">
      <c r="A107" s="930"/>
      <c r="B107" s="979" t="s">
        <v>206</v>
      </c>
      <c r="C107" s="2020"/>
      <c r="D107" s="2021"/>
      <c r="E107" s="980"/>
      <c r="F107" s="981"/>
      <c r="G107" s="982"/>
      <c r="H107" s="983"/>
      <c r="I107" s="1983">
        <f>I102/I95</f>
        <v>24</v>
      </c>
      <c r="J107" s="1984" t="e">
        <f>J102/J95</f>
        <v>#DIV/0!</v>
      </c>
      <c r="K107" s="1107"/>
      <c r="L107" s="1108"/>
      <c r="M107" s="1107"/>
      <c r="N107" s="983"/>
      <c r="O107" s="1230"/>
      <c r="P107" s="1401">
        <f>P102/P95</f>
        <v>184.28571428571428</v>
      </c>
      <c r="Q107" s="1107"/>
      <c r="R107" s="983"/>
      <c r="S107" s="1107"/>
      <c r="T107" s="983"/>
      <c r="U107" s="1230"/>
      <c r="V107" s="1401">
        <f>V102/V95</f>
        <v>402</v>
      </c>
      <c r="W107" s="1107"/>
      <c r="X107" s="983"/>
      <c r="Y107" s="1107"/>
      <c r="Z107" s="983"/>
      <c r="AA107" s="1471"/>
      <c r="AB107" s="1106"/>
      <c r="AC107" s="1106"/>
      <c r="AD107" s="21"/>
      <c r="AE107" s="21"/>
    </row>
    <row r="108" spans="1:31" x14ac:dyDescent="0.2">
      <c r="A108" s="930"/>
      <c r="B108" s="987" t="s">
        <v>207</v>
      </c>
      <c r="C108" s="2020"/>
      <c r="D108" s="2021"/>
      <c r="E108" s="980"/>
      <c r="F108" s="981"/>
      <c r="G108" s="982"/>
      <c r="H108" s="983"/>
      <c r="I108" s="1983">
        <v>0</v>
      </c>
      <c r="J108" s="1984">
        <v>0</v>
      </c>
      <c r="K108" s="1107"/>
      <c r="L108" s="1108"/>
      <c r="M108" s="1107"/>
      <c r="N108" s="983"/>
      <c r="O108" s="1230"/>
      <c r="P108" s="1401">
        <v>0</v>
      </c>
      <c r="Q108" s="1107"/>
      <c r="R108" s="983"/>
      <c r="S108" s="1107"/>
      <c r="T108" s="983"/>
      <c r="U108" s="1230"/>
      <c r="V108" s="1401">
        <v>0</v>
      </c>
      <c r="W108" s="1107"/>
      <c r="X108" s="983"/>
      <c r="Y108" s="1107"/>
      <c r="Z108" s="983"/>
      <c r="AA108" s="1471"/>
      <c r="AB108" s="1106"/>
      <c r="AC108" s="1106"/>
      <c r="AD108" s="21"/>
      <c r="AE108" s="21"/>
    </row>
    <row r="109" spans="1:31" x14ac:dyDescent="0.2">
      <c r="A109" s="930"/>
      <c r="B109" s="987" t="s">
        <v>208</v>
      </c>
      <c r="C109" s="2020"/>
      <c r="D109" s="2021"/>
      <c r="E109" s="980"/>
      <c r="F109" s="981"/>
      <c r="G109" s="982"/>
      <c r="H109" s="983"/>
      <c r="I109" s="1983">
        <f>I104/I99</f>
        <v>492.85714285714289</v>
      </c>
      <c r="J109" s="1984" t="e">
        <f>J104/J99</f>
        <v>#DIV/0!</v>
      </c>
      <c r="K109" s="1107"/>
      <c r="L109" s="1108"/>
      <c r="M109" s="1107"/>
      <c r="N109" s="983"/>
      <c r="O109" s="1230"/>
      <c r="P109" s="1401">
        <f>P104/P99</f>
        <v>702</v>
      </c>
      <c r="Q109" s="1107"/>
      <c r="R109" s="983"/>
      <c r="S109" s="1107"/>
      <c r="T109" s="983"/>
      <c r="U109" s="1230"/>
      <c r="V109" s="1401">
        <f>V104/V99</f>
        <v>228</v>
      </c>
      <c r="W109" s="1107"/>
      <c r="X109" s="983"/>
      <c r="Y109" s="1107"/>
      <c r="Z109" s="983"/>
      <c r="AA109" s="1471"/>
      <c r="AB109" s="1106"/>
      <c r="AC109" s="1106"/>
      <c r="AD109" s="21"/>
      <c r="AE109" s="21"/>
    </row>
    <row r="110" spans="1:31" ht="13.5" thickBot="1" x14ac:dyDescent="0.25">
      <c r="A110" s="930"/>
      <c r="B110" s="1002" t="s">
        <v>201</v>
      </c>
      <c r="C110" s="2022"/>
      <c r="D110" s="2023"/>
      <c r="E110" s="1109"/>
      <c r="F110" s="1110"/>
      <c r="G110" s="1111"/>
      <c r="H110" s="1112"/>
      <c r="I110" s="1977">
        <f>I105/I100</f>
        <v>297.5</v>
      </c>
      <c r="J110" s="1978" t="e">
        <f>J105/J100</f>
        <v>#DIV/0!</v>
      </c>
      <c r="K110" s="1111"/>
      <c r="L110" s="1112"/>
      <c r="M110" s="1111"/>
      <c r="N110" s="1112"/>
      <c r="O110" s="1231"/>
      <c r="P110" s="1531">
        <f>P105/P100</f>
        <v>249</v>
      </c>
      <c r="Q110" s="1111"/>
      <c r="R110" s="1112"/>
      <c r="S110" s="1111"/>
      <c r="T110" s="1112"/>
      <c r="U110" s="1231"/>
      <c r="V110" s="1531">
        <f>V105/V100</f>
        <v>277.71428571428572</v>
      </c>
      <c r="W110" s="1111"/>
      <c r="X110" s="1112"/>
      <c r="Y110" s="1111"/>
      <c r="Z110" s="1112"/>
      <c r="AA110" s="1471"/>
      <c r="AB110" s="1106"/>
      <c r="AC110" s="1106"/>
      <c r="AD110" s="21"/>
      <c r="AE110" s="21"/>
    </row>
    <row r="111" spans="1:31" ht="13.5" thickTop="1" x14ac:dyDescent="0.2">
      <c r="B111" t="str">
        <f>Dean_AS!B169</f>
        <v>*Note: Beginning with the 2009 collection cycle, Instructional FTE was defined according to the national Delaware Study of Instructional Costs and Productivity</v>
      </c>
    </row>
  </sheetData>
  <mergeCells count="112">
    <mergeCell ref="E58:F58"/>
    <mergeCell ref="G58:H58"/>
    <mergeCell ref="O88:P88"/>
    <mergeCell ref="O93:P93"/>
    <mergeCell ref="Q93:R93"/>
    <mergeCell ref="I58:J58"/>
    <mergeCell ref="W25:X25"/>
    <mergeCell ref="W28:X28"/>
    <mergeCell ref="W88:X88"/>
    <mergeCell ref="W93:X93"/>
    <mergeCell ref="U25:V25"/>
    <mergeCell ref="U28:V28"/>
    <mergeCell ref="U88:V88"/>
    <mergeCell ref="U93:V93"/>
    <mergeCell ref="G32:H32"/>
    <mergeCell ref="E32:F32"/>
    <mergeCell ref="AB7:AC7"/>
    <mergeCell ref="AB17:AC17"/>
    <mergeCell ref="AB32:AC32"/>
    <mergeCell ref="AB51:AC51"/>
    <mergeCell ref="AB88:AC88"/>
    <mergeCell ref="AB25:AC25"/>
    <mergeCell ref="M25:N25"/>
    <mergeCell ref="M28:N28"/>
    <mergeCell ref="I17:J17"/>
    <mergeCell ref="S25:T25"/>
    <mergeCell ref="S28:T28"/>
    <mergeCell ref="O28:P28"/>
    <mergeCell ref="O25:P25"/>
    <mergeCell ref="Q25:R25"/>
    <mergeCell ref="Q28:R28"/>
    <mergeCell ref="I26:J26"/>
    <mergeCell ref="S88:T88"/>
    <mergeCell ref="Q88:R88"/>
    <mergeCell ref="I32:J32"/>
    <mergeCell ref="Y25:Z25"/>
    <mergeCell ref="Y28:Z28"/>
    <mergeCell ref="Y88:Z88"/>
    <mergeCell ref="C7:D7"/>
    <mergeCell ref="K28:L28"/>
    <mergeCell ref="I28:J28"/>
    <mergeCell ref="E17:F17"/>
    <mergeCell ref="G17:H17"/>
    <mergeCell ref="E7:F7"/>
    <mergeCell ref="G7:H7"/>
    <mergeCell ref="I7:J7"/>
    <mergeCell ref="I27:J27"/>
    <mergeCell ref="C25:D25"/>
    <mergeCell ref="E25:F25"/>
    <mergeCell ref="E27:F27"/>
    <mergeCell ref="G27:H27"/>
    <mergeCell ref="E28:F28"/>
    <mergeCell ref="G28:H28"/>
    <mergeCell ref="G26:H26"/>
    <mergeCell ref="AB93:AC93"/>
    <mergeCell ref="C95:D95"/>
    <mergeCell ref="I95:J95"/>
    <mergeCell ref="I93:J93"/>
    <mergeCell ref="K93:L93"/>
    <mergeCell ref="M93:N93"/>
    <mergeCell ref="C17:D17"/>
    <mergeCell ref="C32:D32"/>
    <mergeCell ref="C58:D58"/>
    <mergeCell ref="C27:D27"/>
    <mergeCell ref="C28:D28"/>
    <mergeCell ref="K25:L25"/>
    <mergeCell ref="G25:H25"/>
    <mergeCell ref="I25:J25"/>
    <mergeCell ref="C26:D26"/>
    <mergeCell ref="E26:F26"/>
    <mergeCell ref="C88:D88"/>
    <mergeCell ref="E88:F88"/>
    <mergeCell ref="G88:H88"/>
    <mergeCell ref="I88:J88"/>
    <mergeCell ref="K88:L88"/>
    <mergeCell ref="M88:N88"/>
    <mergeCell ref="AB58:AC58"/>
    <mergeCell ref="S93:T93"/>
    <mergeCell ref="C99:D99"/>
    <mergeCell ref="I102:J102"/>
    <mergeCell ref="C104:D104"/>
    <mergeCell ref="I104:J104"/>
    <mergeCell ref="I99:J99"/>
    <mergeCell ref="C100:D100"/>
    <mergeCell ref="I100:J100"/>
    <mergeCell ref="C101:D101"/>
    <mergeCell ref="I101:J101"/>
    <mergeCell ref="C102:D102"/>
    <mergeCell ref="Y93:Z93"/>
    <mergeCell ref="C96:D96"/>
    <mergeCell ref="I96:J96"/>
    <mergeCell ref="C93:D93"/>
    <mergeCell ref="E93:F93"/>
    <mergeCell ref="G93:H93"/>
    <mergeCell ref="C97:D97"/>
    <mergeCell ref="I97:J97"/>
    <mergeCell ref="C110:D110"/>
    <mergeCell ref="I110:J110"/>
    <mergeCell ref="C106:D106"/>
    <mergeCell ref="I106:J106"/>
    <mergeCell ref="C107:D107"/>
    <mergeCell ref="I107:J107"/>
    <mergeCell ref="C109:D109"/>
    <mergeCell ref="I109:J109"/>
    <mergeCell ref="C108:D108"/>
    <mergeCell ref="I108:J108"/>
    <mergeCell ref="C105:D105"/>
    <mergeCell ref="I105:J105"/>
    <mergeCell ref="C103:D103"/>
    <mergeCell ref="I103:J103"/>
    <mergeCell ref="C98:D98"/>
    <mergeCell ref="I98:J98"/>
  </mergeCells>
  <phoneticPr fontId="3" type="noConversion"/>
  <printOptions horizontalCentered="1"/>
  <pageMargins left="0.5" right="0.5" top="0.5" bottom="0.5" header="0.5" footer="0.25"/>
  <pageSetup scale="70" orientation="landscape" r:id="rId1"/>
  <headerFooter alignWithMargins="0">
    <oddFooter>&amp;R&amp;P of &amp;N
&amp;D</oddFooter>
  </headerFooter>
  <rowBreaks count="1" manualBreakCount="1">
    <brk id="54" max="2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view="pageBreakPreview" zoomScaleNormal="100" zoomScaleSheetLayoutView="100" workbookViewId="0">
      <pane xSplit="2" ySplit="1" topLeftCell="O2" activePane="bottomRight" state="frozen"/>
      <selection activeCell="AF81" sqref="AF81"/>
      <selection pane="topRight" activeCell="AF81" sqref="AF81"/>
      <selection pane="bottomLeft" activeCell="AF81" sqref="AF81"/>
      <selection pane="bottomRight" activeCell="AF81" sqref="AF81"/>
    </sheetView>
  </sheetViews>
  <sheetFormatPr defaultColWidth="10.28515625" defaultRowHeight="12.75" x14ac:dyDescent="0.2"/>
  <cols>
    <col min="1" max="1" width="3.7109375" customWidth="1"/>
    <col min="2" max="2" width="33.42578125" customWidth="1"/>
    <col min="3" max="3" width="7.7109375" hidden="1" customWidth="1"/>
    <col min="4" max="4" width="10.7109375" hidden="1" customWidth="1"/>
    <col min="5" max="5" width="7.7109375" hidden="1" customWidth="1"/>
    <col min="6" max="6" width="10.7109375" hidden="1" customWidth="1"/>
    <col min="7" max="7" width="7.7109375" style="115" hidden="1" customWidth="1"/>
    <col min="8" max="8" width="10.7109375" style="115" hidden="1" customWidth="1"/>
    <col min="9" max="9" width="7.7109375" style="115" hidden="1" customWidth="1"/>
    <col min="10" max="10" width="10.7109375" style="115" hidden="1" customWidth="1"/>
    <col min="11" max="11" width="7.7109375" hidden="1" customWidth="1"/>
    <col min="12" max="12" width="10.7109375" hidden="1" customWidth="1"/>
    <col min="13" max="13" width="7.7109375" hidden="1" customWidth="1"/>
    <col min="14" max="14" width="10.7109375" hidden="1" customWidth="1"/>
    <col min="15" max="15" width="7.7109375" customWidth="1"/>
    <col min="16" max="16" width="10.7109375" customWidth="1"/>
    <col min="17" max="17" width="7.7109375" customWidth="1"/>
    <col min="18" max="18" width="10.7109375" customWidth="1"/>
    <col min="19" max="19" width="7.7109375" customWidth="1"/>
    <col min="20" max="20" width="10.7109375" customWidth="1"/>
    <col min="21" max="21" width="7.7109375" customWidth="1"/>
    <col min="22" max="22" width="10.7109375" customWidth="1"/>
    <col min="23" max="23" width="7.7109375" customWidth="1"/>
    <col min="24" max="24" width="10.7109375" customWidth="1"/>
    <col min="25" max="25" width="7.7109375" customWidth="1"/>
    <col min="26" max="26" width="10.7109375" customWidth="1"/>
    <col min="27" max="27" width="1.85546875" customWidth="1"/>
    <col min="28" max="28" width="7.7109375" customWidth="1"/>
    <col min="29" max="29" width="10.7109375" customWidth="1"/>
    <col min="30" max="30" width="1.28515625" customWidth="1"/>
  </cols>
  <sheetData>
    <row r="1" spans="1:29" ht="18" x14ac:dyDescent="0.25">
      <c r="A1" s="1183" t="str">
        <f>Dean_AS!A1</f>
        <v>Department Profile Report - FY 2015</v>
      </c>
      <c r="B1" s="1183"/>
      <c r="C1" s="1183"/>
      <c r="D1" s="1183"/>
      <c r="E1" s="1183"/>
      <c r="F1" s="1183"/>
      <c r="G1" s="1183"/>
      <c r="H1" s="1183"/>
      <c r="I1" s="1181"/>
      <c r="J1" s="1181"/>
      <c r="K1" s="1182"/>
      <c r="L1" s="1182"/>
      <c r="M1" s="1182"/>
      <c r="N1" s="1182"/>
      <c r="O1" s="1182"/>
      <c r="P1" s="1182"/>
      <c r="Q1" s="1182"/>
      <c r="R1" s="1182"/>
      <c r="S1" s="1182"/>
      <c r="T1" s="1182"/>
      <c r="U1" s="1182"/>
      <c r="V1" s="1182"/>
      <c r="W1" s="1182"/>
      <c r="X1" s="1182"/>
      <c r="Y1" s="1182"/>
      <c r="Z1" s="1182"/>
      <c r="AA1" s="1182"/>
      <c r="AB1" s="1182"/>
      <c r="AC1" s="1182"/>
    </row>
    <row r="2" spans="1:29" x14ac:dyDescent="0.2">
      <c r="A2" s="3"/>
      <c r="B2" s="3"/>
      <c r="C2" s="3"/>
      <c r="D2" s="3"/>
      <c r="E2" s="117"/>
      <c r="F2" s="3"/>
      <c r="G2" s="117"/>
      <c r="H2" s="117"/>
      <c r="I2" s="117"/>
      <c r="J2" s="117"/>
    </row>
    <row r="3" spans="1:29" x14ac:dyDescent="0.2">
      <c r="A3" s="2" t="s">
        <v>279</v>
      </c>
      <c r="B3" s="117"/>
      <c r="C3" s="3"/>
      <c r="D3" s="3"/>
      <c r="E3" s="3"/>
      <c r="F3" s="3"/>
      <c r="G3" s="117"/>
      <c r="H3" s="117"/>
      <c r="I3" s="117"/>
      <c r="J3" s="117"/>
    </row>
    <row r="4" spans="1:29" x14ac:dyDescent="0.2">
      <c r="A4" s="3"/>
      <c r="B4" s="3"/>
      <c r="C4" s="3"/>
      <c r="D4" s="3"/>
      <c r="E4" s="3"/>
      <c r="F4" s="3"/>
      <c r="G4" s="117"/>
      <c r="H4" s="117"/>
      <c r="I4" s="117"/>
      <c r="J4" s="117"/>
    </row>
    <row r="5" spans="1:29" x14ac:dyDescent="0.2">
      <c r="A5" s="2" t="s">
        <v>77</v>
      </c>
      <c r="B5" s="3"/>
      <c r="C5" s="3"/>
      <c r="D5" s="3"/>
      <c r="E5" s="3"/>
      <c r="F5" s="3"/>
      <c r="G5" s="117"/>
      <c r="H5" s="117"/>
      <c r="I5" s="117"/>
      <c r="J5" s="117"/>
    </row>
    <row r="6" spans="1:29" ht="13.5" thickBot="1" x14ac:dyDescent="0.25">
      <c r="A6" s="2"/>
      <c r="B6" s="3"/>
      <c r="C6" s="3"/>
      <c r="D6" s="3"/>
      <c r="E6" s="3"/>
      <c r="F6" s="3"/>
      <c r="G6" s="117"/>
      <c r="H6" s="117"/>
      <c r="I6" s="117"/>
      <c r="J6" s="117"/>
    </row>
    <row r="7" spans="1:29" ht="14.25" thickTop="1" thickBot="1" x14ac:dyDescent="0.25">
      <c r="A7" s="3"/>
      <c r="B7" s="22"/>
      <c r="C7" s="29" t="s">
        <v>49</v>
      </c>
      <c r="D7" s="51"/>
      <c r="E7" s="29" t="s">
        <v>50</v>
      </c>
      <c r="F7" s="7"/>
      <c r="G7" s="302" t="s">
        <v>141</v>
      </c>
      <c r="H7" s="121"/>
      <c r="I7" s="1968" t="s">
        <v>152</v>
      </c>
      <c r="J7" s="1968"/>
      <c r="K7" s="1994" t="s">
        <v>154</v>
      </c>
      <c r="L7" s="1968"/>
      <c r="M7" s="1994" t="s">
        <v>171</v>
      </c>
      <c r="N7" s="1980"/>
      <c r="O7" s="1968" t="s">
        <v>227</v>
      </c>
      <c r="P7" s="1980"/>
      <c r="Q7" s="1968" t="s">
        <v>237</v>
      </c>
      <c r="R7" s="1980"/>
      <c r="S7" s="1968" t="s">
        <v>272</v>
      </c>
      <c r="T7" s="1980"/>
      <c r="U7" s="1968" t="s">
        <v>274</v>
      </c>
      <c r="V7" s="1980"/>
      <c r="W7" s="1968" t="s">
        <v>280</v>
      </c>
      <c r="X7" s="1980"/>
      <c r="Y7" s="1968" t="s">
        <v>290</v>
      </c>
      <c r="Z7" s="1969"/>
      <c r="AB7" s="2003" t="s">
        <v>213</v>
      </c>
      <c r="AC7" s="2004"/>
    </row>
    <row r="8" spans="1:29" x14ac:dyDescent="0.2">
      <c r="A8" s="3"/>
      <c r="B8" s="71"/>
      <c r="C8" s="42" t="s">
        <v>1</v>
      </c>
      <c r="D8" s="47" t="s">
        <v>2</v>
      </c>
      <c r="E8" s="42" t="s">
        <v>1</v>
      </c>
      <c r="F8" s="8" t="s">
        <v>2</v>
      </c>
      <c r="G8" s="303" t="s">
        <v>1</v>
      </c>
      <c r="H8" s="125" t="s">
        <v>2</v>
      </c>
      <c r="I8" s="124" t="s">
        <v>1</v>
      </c>
      <c r="J8" s="300" t="s">
        <v>2</v>
      </c>
      <c r="K8" s="303" t="s">
        <v>1</v>
      </c>
      <c r="L8" s="300" t="s">
        <v>2</v>
      </c>
      <c r="M8" s="303" t="s">
        <v>1</v>
      </c>
      <c r="N8" s="125" t="s">
        <v>2</v>
      </c>
      <c r="O8" s="124" t="s">
        <v>1</v>
      </c>
      <c r="P8" s="125" t="s">
        <v>2</v>
      </c>
      <c r="Q8" s="124" t="s">
        <v>1</v>
      </c>
      <c r="R8" s="125" t="s">
        <v>2</v>
      </c>
      <c r="S8" s="124" t="s">
        <v>1</v>
      </c>
      <c r="T8" s="125" t="s">
        <v>2</v>
      </c>
      <c r="U8" s="124" t="s">
        <v>1</v>
      </c>
      <c r="V8" s="125" t="s">
        <v>2</v>
      </c>
      <c r="W8" s="124" t="s">
        <v>1</v>
      </c>
      <c r="X8" s="125" t="s">
        <v>2</v>
      </c>
      <c r="Y8" s="124" t="s">
        <v>1</v>
      </c>
      <c r="Z8" s="126" t="s">
        <v>2</v>
      </c>
      <c r="AB8" s="921" t="s">
        <v>214</v>
      </c>
      <c r="AC8" s="922" t="s">
        <v>215</v>
      </c>
    </row>
    <row r="9" spans="1:29" ht="13.5" thickBot="1" x14ac:dyDescent="0.25">
      <c r="A9" s="3"/>
      <c r="B9" s="72"/>
      <c r="C9" s="46" t="s">
        <v>3</v>
      </c>
      <c r="D9" s="48" t="s">
        <v>4</v>
      </c>
      <c r="E9" s="46" t="s">
        <v>3</v>
      </c>
      <c r="F9" s="26" t="s">
        <v>4</v>
      </c>
      <c r="G9" s="304" t="s">
        <v>3</v>
      </c>
      <c r="H9" s="123" t="s">
        <v>4</v>
      </c>
      <c r="I9" s="127" t="s">
        <v>3</v>
      </c>
      <c r="J9" s="301" t="s">
        <v>4</v>
      </c>
      <c r="K9" s="304" t="s">
        <v>3</v>
      </c>
      <c r="L9" s="301" t="s">
        <v>4</v>
      </c>
      <c r="M9" s="304" t="s">
        <v>3</v>
      </c>
      <c r="N9" s="123" t="s">
        <v>4</v>
      </c>
      <c r="O9" s="127" t="s">
        <v>3</v>
      </c>
      <c r="P9" s="123" t="s">
        <v>4</v>
      </c>
      <c r="Q9" s="127" t="s">
        <v>3</v>
      </c>
      <c r="R9" s="123" t="s">
        <v>4</v>
      </c>
      <c r="S9" s="127" t="s">
        <v>3</v>
      </c>
      <c r="T9" s="123" t="s">
        <v>4</v>
      </c>
      <c r="U9" s="127" t="s">
        <v>3</v>
      </c>
      <c r="V9" s="123" t="s">
        <v>4</v>
      </c>
      <c r="W9" s="127" t="s">
        <v>3</v>
      </c>
      <c r="X9" s="123" t="s">
        <v>4</v>
      </c>
      <c r="Y9" s="127" t="s">
        <v>3</v>
      </c>
      <c r="Z9" s="128" t="s">
        <v>4</v>
      </c>
      <c r="AB9" s="923" t="s">
        <v>3</v>
      </c>
      <c r="AC9" s="924" t="s">
        <v>4</v>
      </c>
    </row>
    <row r="10" spans="1:29" x14ac:dyDescent="0.2">
      <c r="A10" s="3"/>
      <c r="B10" s="642" t="s">
        <v>5</v>
      </c>
      <c r="C10" s="686"/>
      <c r="D10" s="685"/>
      <c r="E10" s="686"/>
      <c r="F10" s="687"/>
      <c r="G10" s="688"/>
      <c r="H10" s="689"/>
      <c r="I10" s="690"/>
      <c r="J10" s="691"/>
      <c r="K10" s="688"/>
      <c r="L10" s="691"/>
      <c r="M10" s="688"/>
      <c r="N10" s="689"/>
      <c r="O10" s="690"/>
      <c r="P10" s="689"/>
      <c r="Q10" s="690"/>
      <c r="R10" s="689"/>
      <c r="S10" s="690"/>
      <c r="T10" s="689"/>
      <c r="U10" s="690"/>
      <c r="V10" s="689"/>
      <c r="W10" s="690"/>
      <c r="X10" s="689"/>
      <c r="Y10" s="690"/>
      <c r="Z10" s="692"/>
      <c r="AB10" s="925"/>
      <c r="AC10" s="581"/>
    </row>
    <row r="11" spans="1:29" s="617" customFormat="1" x14ac:dyDescent="0.2">
      <c r="A11" s="618"/>
      <c r="B11" s="1538" t="s">
        <v>117</v>
      </c>
      <c r="C11" s="693"/>
      <c r="D11" s="694"/>
      <c r="E11" s="650"/>
      <c r="F11" s="695"/>
      <c r="G11" s="649"/>
      <c r="H11" s="696"/>
      <c r="I11" s="650"/>
      <c r="J11" s="697"/>
      <c r="K11" s="649"/>
      <c r="L11" s="697"/>
      <c r="M11" s="649"/>
      <c r="N11" s="696"/>
      <c r="O11" s="650"/>
      <c r="P11" s="696"/>
      <c r="Q11" s="650"/>
      <c r="R11" s="696"/>
      <c r="S11" s="650"/>
      <c r="T11" s="696"/>
      <c r="U11" s="650"/>
      <c r="V11" s="696"/>
      <c r="W11" s="650"/>
      <c r="X11" s="696"/>
      <c r="Y11" s="650"/>
      <c r="Z11" s="698"/>
      <c r="AB11" s="926"/>
      <c r="AC11" s="927"/>
    </row>
    <row r="12" spans="1:29" s="617" customFormat="1" x14ac:dyDescent="0.2">
      <c r="A12" s="618"/>
      <c r="B12" s="654" t="s">
        <v>221</v>
      </c>
      <c r="C12" s="672">
        <v>475</v>
      </c>
      <c r="D12" s="700">
        <f>75+5</f>
        <v>80</v>
      </c>
      <c r="E12" s="664">
        <v>537</v>
      </c>
      <c r="F12" s="701">
        <f>115+2</f>
        <v>117</v>
      </c>
      <c r="G12" s="662">
        <v>524</v>
      </c>
      <c r="H12" s="663">
        <f>99+8</f>
        <v>107</v>
      </c>
      <c r="I12" s="664">
        <v>506</v>
      </c>
      <c r="J12" s="665">
        <f>102+6</f>
        <v>108</v>
      </c>
      <c r="K12" s="662">
        <f>452</f>
        <v>452</v>
      </c>
      <c r="L12" s="665">
        <f>80+6</f>
        <v>86</v>
      </c>
      <c r="M12" s="662">
        <v>402</v>
      </c>
      <c r="N12" s="663">
        <v>75</v>
      </c>
      <c r="O12" s="664">
        <v>405</v>
      </c>
      <c r="P12" s="663">
        <f>61+9</f>
        <v>70</v>
      </c>
      <c r="Q12" s="664">
        <v>469</v>
      </c>
      <c r="R12" s="663">
        <v>65</v>
      </c>
      <c r="S12" s="664">
        <v>522</v>
      </c>
      <c r="T12" s="663">
        <v>81</v>
      </c>
      <c r="U12" s="664">
        <f>258+7+255</f>
        <v>520</v>
      </c>
      <c r="V12" s="663">
        <v>98</v>
      </c>
      <c r="W12" s="664">
        <v>527</v>
      </c>
      <c r="X12" s="663">
        <v>110</v>
      </c>
      <c r="Y12" s="664">
        <f>243+5+1+257</f>
        <v>506</v>
      </c>
      <c r="Z12" s="1646"/>
      <c r="AB12" s="926">
        <f>AVERAGE(W12,U12,Q12,S12,Y12)</f>
        <v>508.8</v>
      </c>
      <c r="AC12" s="928">
        <f>AVERAGE(X12,V12,R12,T12,P12)</f>
        <v>84.8</v>
      </c>
    </row>
    <row r="13" spans="1:29" s="617" customFormat="1" x14ac:dyDescent="0.2">
      <c r="A13" s="618"/>
      <c r="B13" s="669" t="s">
        <v>167</v>
      </c>
      <c r="C13" s="672">
        <v>24</v>
      </c>
      <c r="D13" s="700">
        <v>17</v>
      </c>
      <c r="E13" s="672">
        <v>48</v>
      </c>
      <c r="F13" s="701">
        <f>19+1</f>
        <v>20</v>
      </c>
      <c r="G13" s="662">
        <v>56</v>
      </c>
      <c r="H13" s="663">
        <f>16+1</f>
        <v>17</v>
      </c>
      <c r="I13" s="664">
        <f>21+34</f>
        <v>55</v>
      </c>
      <c r="J13" s="665">
        <v>17</v>
      </c>
      <c r="K13" s="662">
        <v>53</v>
      </c>
      <c r="L13" s="665">
        <f>22+2</f>
        <v>24</v>
      </c>
      <c r="M13" s="662">
        <v>46</v>
      </c>
      <c r="N13" s="663">
        <v>12</v>
      </c>
      <c r="O13" s="664">
        <v>43</v>
      </c>
      <c r="P13" s="663">
        <v>24</v>
      </c>
      <c r="Q13" s="664">
        <v>35</v>
      </c>
      <c r="R13" s="663">
        <v>15</v>
      </c>
      <c r="S13" s="664">
        <v>34</v>
      </c>
      <c r="T13" s="663">
        <v>12</v>
      </c>
      <c r="U13" s="664">
        <v>38</v>
      </c>
      <c r="V13" s="663">
        <v>9</v>
      </c>
      <c r="W13" s="664">
        <v>51</v>
      </c>
      <c r="X13" s="663">
        <v>12</v>
      </c>
      <c r="Y13" s="664">
        <v>54</v>
      </c>
      <c r="Z13" s="1646"/>
      <c r="AB13" s="926">
        <f t="shared" ref="AB13:AB15" si="0">AVERAGE(W13,U13,Q13,S13,Y13)</f>
        <v>42.4</v>
      </c>
      <c r="AC13" s="928">
        <f t="shared" ref="AC13:AC15" si="1">AVERAGE(X13,V13,R13,T13,P13)</f>
        <v>14.4</v>
      </c>
    </row>
    <row r="14" spans="1:29" s="617" customFormat="1" x14ac:dyDescent="0.2">
      <c r="A14" s="618"/>
      <c r="B14" s="1552" t="s">
        <v>6</v>
      </c>
      <c r="C14" s="705">
        <v>27</v>
      </c>
      <c r="D14" s="703">
        <v>4</v>
      </c>
      <c r="E14" s="705">
        <v>24</v>
      </c>
      <c r="F14" s="704">
        <v>7</v>
      </c>
      <c r="G14" s="710">
        <v>27</v>
      </c>
      <c r="H14" s="729">
        <v>3</v>
      </c>
      <c r="I14" s="734">
        <f>14+16</f>
        <v>30</v>
      </c>
      <c r="J14" s="730">
        <v>7</v>
      </c>
      <c r="K14" s="710">
        <v>38</v>
      </c>
      <c r="L14" s="730">
        <v>8</v>
      </c>
      <c r="M14" s="710">
        <v>37</v>
      </c>
      <c r="N14" s="729">
        <v>6</v>
      </c>
      <c r="O14" s="734">
        <v>37</v>
      </c>
      <c r="P14" s="729">
        <v>3</v>
      </c>
      <c r="Q14" s="734">
        <v>44</v>
      </c>
      <c r="R14" s="729">
        <v>5</v>
      </c>
      <c r="S14" s="734">
        <v>40</v>
      </c>
      <c r="T14" s="729">
        <v>4</v>
      </c>
      <c r="U14" s="734">
        <v>44</v>
      </c>
      <c r="V14" s="729">
        <v>7</v>
      </c>
      <c r="W14" s="734">
        <v>39</v>
      </c>
      <c r="X14" s="729">
        <v>3</v>
      </c>
      <c r="Y14" s="734">
        <v>43</v>
      </c>
      <c r="Z14" s="1647"/>
      <c r="AB14" s="926">
        <f t="shared" si="0"/>
        <v>42</v>
      </c>
      <c r="AC14" s="928">
        <f t="shared" si="1"/>
        <v>4.4000000000000004</v>
      </c>
    </row>
    <row r="15" spans="1:29" s="617" customFormat="1" ht="13.5" thickBot="1" x14ac:dyDescent="0.25">
      <c r="A15" s="618"/>
      <c r="B15" s="737" t="s">
        <v>82</v>
      </c>
      <c r="C15" s="714"/>
      <c r="D15" s="712"/>
      <c r="E15" s="714"/>
      <c r="F15" s="713">
        <v>2</v>
      </c>
      <c r="G15" s="715">
        <v>3</v>
      </c>
      <c r="H15" s="716">
        <v>0</v>
      </c>
      <c r="I15" s="717">
        <v>3</v>
      </c>
      <c r="J15" s="718">
        <v>1</v>
      </c>
      <c r="K15" s="715">
        <v>1</v>
      </c>
      <c r="L15" s="718">
        <v>0</v>
      </c>
      <c r="M15" s="715">
        <v>0</v>
      </c>
      <c r="N15" s="716">
        <v>1</v>
      </c>
      <c r="O15" s="717">
        <v>1</v>
      </c>
      <c r="P15" s="716">
        <v>0</v>
      </c>
      <c r="Q15" s="717">
        <v>1</v>
      </c>
      <c r="R15" s="716">
        <v>0</v>
      </c>
      <c r="S15" s="717">
        <v>1</v>
      </c>
      <c r="T15" s="716">
        <v>1</v>
      </c>
      <c r="U15" s="717">
        <v>2</v>
      </c>
      <c r="V15" s="716">
        <v>2</v>
      </c>
      <c r="W15" s="717">
        <v>0</v>
      </c>
      <c r="X15" s="716">
        <v>0</v>
      </c>
      <c r="Y15" s="717">
        <v>0</v>
      </c>
      <c r="Z15" s="1648"/>
      <c r="AB15" s="929">
        <f t="shared" si="0"/>
        <v>0.8</v>
      </c>
      <c r="AC15" s="1021">
        <f t="shared" si="1"/>
        <v>0.6</v>
      </c>
    </row>
    <row r="16" spans="1:29" ht="13.5" thickTop="1" x14ac:dyDescent="0.2">
      <c r="A16" s="3"/>
      <c r="B16" s="70" t="s">
        <v>170</v>
      </c>
      <c r="C16" s="33"/>
      <c r="D16" s="34"/>
      <c r="E16" s="33"/>
      <c r="F16" s="34"/>
      <c r="G16" s="133"/>
      <c r="H16" s="135"/>
      <c r="I16" s="133"/>
      <c r="J16" s="135"/>
      <c r="K16" s="133"/>
      <c r="L16" s="135"/>
      <c r="M16" s="133"/>
      <c r="N16" s="135"/>
      <c r="O16" s="133"/>
      <c r="P16" s="135"/>
      <c r="Q16" s="133"/>
      <c r="R16" s="135"/>
      <c r="S16" s="133"/>
      <c r="T16" s="135"/>
      <c r="U16" s="133"/>
      <c r="V16" s="135"/>
      <c r="W16" s="133"/>
      <c r="X16" s="135"/>
      <c r="Y16" s="133"/>
      <c r="Z16" s="135"/>
      <c r="AB16" s="668"/>
      <c r="AC16" s="494"/>
    </row>
    <row r="17" spans="1:32" ht="13.5" thickBot="1" x14ac:dyDescent="0.25">
      <c r="A17" s="3"/>
      <c r="B17" s="3"/>
      <c r="C17" s="3"/>
      <c r="D17" s="3"/>
      <c r="E17" s="3"/>
      <c r="F17" s="3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B17" s="668"/>
      <c r="AC17" s="494"/>
    </row>
    <row r="18" spans="1:32" ht="14.25" thickTop="1" thickBot="1" x14ac:dyDescent="0.25">
      <c r="A18" s="3"/>
      <c r="B18" s="19"/>
      <c r="C18" s="2013" t="s">
        <v>49</v>
      </c>
      <c r="D18" s="2014"/>
      <c r="E18" s="2015" t="s">
        <v>50</v>
      </c>
      <c r="F18" s="2015"/>
      <c r="G18" s="2002" t="s">
        <v>141</v>
      </c>
      <c r="H18" s="1982"/>
      <c r="I18" s="2002" t="s">
        <v>152</v>
      </c>
      <c r="J18" s="1974"/>
      <c r="K18" s="2002" t="s">
        <v>154</v>
      </c>
      <c r="L18" s="1974"/>
      <c r="M18" s="2002" t="s">
        <v>171</v>
      </c>
      <c r="N18" s="1982"/>
      <c r="O18" s="1974" t="s">
        <v>227</v>
      </c>
      <c r="P18" s="1982"/>
      <c r="Q18" s="1974" t="s">
        <v>237</v>
      </c>
      <c r="R18" s="1982"/>
      <c r="S18" s="1974" t="s">
        <v>272</v>
      </c>
      <c r="T18" s="1982"/>
      <c r="U18" s="1974" t="s">
        <v>274</v>
      </c>
      <c r="V18" s="1982"/>
      <c r="W18" s="1974" t="s">
        <v>280</v>
      </c>
      <c r="X18" s="1982"/>
      <c r="Y18" s="1974" t="s">
        <v>290</v>
      </c>
      <c r="Z18" s="1975"/>
      <c r="AB18" s="2003" t="s">
        <v>213</v>
      </c>
      <c r="AC18" s="2004"/>
    </row>
    <row r="19" spans="1:32" x14ac:dyDescent="0.2">
      <c r="A19" s="3"/>
      <c r="B19" s="81" t="s">
        <v>7</v>
      </c>
      <c r="C19" s="54"/>
      <c r="D19" s="92"/>
      <c r="E19" s="30"/>
      <c r="F19" s="30"/>
      <c r="G19" s="243"/>
      <c r="H19" s="244"/>
      <c r="I19" s="138"/>
      <c r="J19" s="138"/>
      <c r="K19" s="243"/>
      <c r="L19" s="138"/>
      <c r="M19" s="243"/>
      <c r="N19" s="244"/>
      <c r="O19" s="138"/>
      <c r="P19" s="244"/>
      <c r="Q19" s="138"/>
      <c r="R19" s="244"/>
      <c r="S19" s="138"/>
      <c r="T19" s="244"/>
      <c r="U19" s="138"/>
      <c r="V19" s="244"/>
      <c r="W19" s="138"/>
      <c r="X19" s="244"/>
      <c r="Y19" s="138"/>
      <c r="Z19" s="140"/>
      <c r="AB19" s="831"/>
      <c r="AC19" s="930"/>
    </row>
    <row r="20" spans="1:32" x14ac:dyDescent="0.2">
      <c r="A20" s="3"/>
      <c r="B20" s="78" t="s">
        <v>8</v>
      </c>
      <c r="C20" s="184"/>
      <c r="D20" s="93"/>
      <c r="E20" s="31"/>
      <c r="F20" s="31"/>
      <c r="G20" s="239"/>
      <c r="H20" s="245"/>
      <c r="I20" s="139"/>
      <c r="J20" s="139"/>
      <c r="K20" s="239"/>
      <c r="L20" s="139"/>
      <c r="M20" s="239"/>
      <c r="N20" s="245"/>
      <c r="O20" s="139"/>
      <c r="P20" s="245"/>
      <c r="Q20" s="139"/>
      <c r="R20" s="245"/>
      <c r="S20" s="139"/>
      <c r="T20" s="245"/>
      <c r="U20" s="139"/>
      <c r="V20" s="245"/>
      <c r="W20" s="139"/>
      <c r="X20" s="245"/>
      <c r="Y20" s="139"/>
      <c r="Z20" s="141"/>
      <c r="AB20" s="831"/>
      <c r="AC20" s="930"/>
    </row>
    <row r="21" spans="1:32" x14ac:dyDescent="0.2">
      <c r="A21" s="3"/>
      <c r="B21" s="78" t="s">
        <v>9</v>
      </c>
      <c r="C21" s="184"/>
      <c r="D21" s="165">
        <v>8237</v>
      </c>
      <c r="E21" s="31"/>
      <c r="F21" s="171">
        <v>9273</v>
      </c>
      <c r="G21" s="239"/>
      <c r="H21" s="261">
        <v>7507</v>
      </c>
      <c r="I21" s="139"/>
      <c r="J21" s="183">
        <v>7924</v>
      </c>
      <c r="K21" s="239"/>
      <c r="L21" s="183">
        <v>7320</v>
      </c>
      <c r="M21" s="239"/>
      <c r="N21" s="261">
        <v>6971</v>
      </c>
      <c r="O21" s="139"/>
      <c r="P21" s="261">
        <v>7939</v>
      </c>
      <c r="Q21" s="139"/>
      <c r="R21" s="261">
        <v>7769</v>
      </c>
      <c r="S21" s="139"/>
      <c r="T21" s="261">
        <v>7538</v>
      </c>
      <c r="U21" s="139"/>
      <c r="V21" s="261">
        <v>7458</v>
      </c>
      <c r="W21" s="139"/>
      <c r="X21" s="261">
        <v>7108</v>
      </c>
      <c r="Y21" s="139"/>
      <c r="Z21" s="1649"/>
      <c r="AB21" s="24"/>
      <c r="AC21" s="947">
        <f t="shared" ref="AC21:AC25" si="2">AVERAGE(X21,V21,R21,T21,P21)</f>
        <v>7562.4</v>
      </c>
    </row>
    <row r="22" spans="1:32" x14ac:dyDescent="0.2">
      <c r="A22" s="3"/>
      <c r="B22" s="78" t="s">
        <v>10</v>
      </c>
      <c r="C22" s="184"/>
      <c r="D22" s="165">
        <v>5858</v>
      </c>
      <c r="E22" s="31"/>
      <c r="F22" s="171">
        <v>6304</v>
      </c>
      <c r="G22" s="239"/>
      <c r="H22" s="261">
        <v>7750</v>
      </c>
      <c r="I22" s="139"/>
      <c r="J22" s="183">
        <v>5775</v>
      </c>
      <c r="K22" s="239"/>
      <c r="L22" s="183">
        <v>5601</v>
      </c>
      <c r="M22" s="239"/>
      <c r="N22" s="261">
        <v>4679</v>
      </c>
      <c r="O22" s="139"/>
      <c r="P22" s="261">
        <v>5268</v>
      </c>
      <c r="Q22" s="139"/>
      <c r="R22" s="261">
        <v>5631</v>
      </c>
      <c r="S22" s="139"/>
      <c r="T22" s="261">
        <v>5845</v>
      </c>
      <c r="U22" s="139"/>
      <c r="V22" s="261">
        <v>5260</v>
      </c>
      <c r="W22" s="139"/>
      <c r="X22" s="261">
        <v>5778</v>
      </c>
      <c r="Y22" s="139"/>
      <c r="Z22" s="1649"/>
      <c r="AB22" s="12"/>
      <c r="AC22" s="947">
        <f t="shared" si="2"/>
        <v>5556.4</v>
      </c>
    </row>
    <row r="23" spans="1:32" x14ac:dyDescent="0.2">
      <c r="A23" s="3"/>
      <c r="B23" s="78" t="s">
        <v>11</v>
      </c>
      <c r="C23" s="184"/>
      <c r="D23" s="165">
        <v>407</v>
      </c>
      <c r="E23" s="31"/>
      <c r="F23" s="171">
        <v>481</v>
      </c>
      <c r="G23" s="239"/>
      <c r="H23" s="261">
        <v>766</v>
      </c>
      <c r="I23" s="139"/>
      <c r="J23" s="183">
        <v>850</v>
      </c>
      <c r="K23" s="239"/>
      <c r="L23" s="183">
        <v>927</v>
      </c>
      <c r="M23" s="239"/>
      <c r="N23" s="261">
        <v>771</v>
      </c>
      <c r="O23" s="139"/>
      <c r="P23" s="261">
        <v>771</v>
      </c>
      <c r="Q23" s="139"/>
      <c r="R23" s="261">
        <v>733</v>
      </c>
      <c r="S23" s="139"/>
      <c r="T23" s="261">
        <v>594</v>
      </c>
      <c r="U23" s="139"/>
      <c r="V23" s="261">
        <v>774</v>
      </c>
      <c r="W23" s="139"/>
      <c r="X23" s="261">
        <v>774</v>
      </c>
      <c r="Y23" s="139"/>
      <c r="Z23" s="1649"/>
      <c r="AA23" s="1031"/>
      <c r="AB23" s="31"/>
      <c r="AC23" s="947">
        <f t="shared" si="2"/>
        <v>729.2</v>
      </c>
    </row>
    <row r="24" spans="1:32" x14ac:dyDescent="0.2">
      <c r="A24" s="3"/>
      <c r="B24" s="78" t="s">
        <v>12</v>
      </c>
      <c r="C24" s="184"/>
      <c r="D24" s="94">
        <v>390</v>
      </c>
      <c r="E24" s="31"/>
      <c r="F24" s="39">
        <v>395</v>
      </c>
      <c r="G24" s="239"/>
      <c r="H24" s="240">
        <v>377</v>
      </c>
      <c r="I24" s="139"/>
      <c r="J24" s="241">
        <v>528</v>
      </c>
      <c r="K24" s="239"/>
      <c r="L24" s="241">
        <v>460</v>
      </c>
      <c r="M24" s="239"/>
      <c r="N24" s="240">
        <v>466</v>
      </c>
      <c r="O24" s="139"/>
      <c r="P24" s="240">
        <v>442</v>
      </c>
      <c r="Q24" s="139"/>
      <c r="R24" s="240">
        <v>414</v>
      </c>
      <c r="S24" s="139"/>
      <c r="T24" s="240">
        <v>341</v>
      </c>
      <c r="U24" s="139"/>
      <c r="V24" s="240">
        <v>313</v>
      </c>
      <c r="W24" s="139"/>
      <c r="X24" s="240">
        <v>407</v>
      </c>
      <c r="Y24" s="139"/>
      <c r="Z24" s="1650"/>
      <c r="AA24" s="1031"/>
      <c r="AB24" s="31"/>
      <c r="AC24" s="947">
        <f t="shared" si="2"/>
        <v>383.4</v>
      </c>
    </row>
    <row r="25" spans="1:32" ht="13.5" thickBot="1" x14ac:dyDescent="0.25">
      <c r="A25" s="3"/>
      <c r="B25" s="79" t="s">
        <v>13</v>
      </c>
      <c r="C25" s="185"/>
      <c r="D25" s="186">
        <f>SUM(D21:D24)</f>
        <v>14892</v>
      </c>
      <c r="E25" s="90"/>
      <c r="F25" s="58">
        <f>SUM(F21:F24)</f>
        <v>16453</v>
      </c>
      <c r="G25" s="246"/>
      <c r="H25" s="247">
        <f>SUM(H21:H24)</f>
        <v>16400</v>
      </c>
      <c r="I25" s="164"/>
      <c r="J25" s="242">
        <f>SUM(J21:J24)</f>
        <v>15077</v>
      </c>
      <c r="K25" s="246"/>
      <c r="L25" s="242">
        <f>SUM(L21:L24)</f>
        <v>14308</v>
      </c>
      <c r="M25" s="246"/>
      <c r="N25" s="247">
        <f>SUM(N21:N24)</f>
        <v>12887</v>
      </c>
      <c r="O25" s="164"/>
      <c r="P25" s="247">
        <f>SUM(P21:P24)</f>
        <v>14420</v>
      </c>
      <c r="Q25" s="164"/>
      <c r="R25" s="247">
        <f>SUM(R21:R24)</f>
        <v>14547</v>
      </c>
      <c r="S25" s="164"/>
      <c r="T25" s="247">
        <f>SUM(T21:T24)</f>
        <v>14318</v>
      </c>
      <c r="U25" s="164"/>
      <c r="V25" s="247">
        <f>SUM(V21:V24)</f>
        <v>13805</v>
      </c>
      <c r="W25" s="164"/>
      <c r="X25" s="247">
        <f>SUM(X21:X24)</f>
        <v>14067</v>
      </c>
      <c r="Y25" s="164"/>
      <c r="Z25" s="1651"/>
      <c r="AA25" s="1031"/>
      <c r="AB25" s="182"/>
      <c r="AC25" s="1008">
        <f t="shared" si="2"/>
        <v>14231.4</v>
      </c>
    </row>
    <row r="26" spans="1:32" ht="12" customHeight="1" thickTop="1" thickBot="1" x14ac:dyDescent="0.25">
      <c r="A26" s="930"/>
      <c r="B26" s="931" t="s">
        <v>212</v>
      </c>
      <c r="C26" s="1992" t="s">
        <v>51</v>
      </c>
      <c r="D26" s="1997"/>
      <c r="E26" s="1992" t="s">
        <v>52</v>
      </c>
      <c r="F26" s="1997"/>
      <c r="G26" s="1989" t="s">
        <v>184</v>
      </c>
      <c r="H26" s="1981"/>
      <c r="I26" s="1989" t="s">
        <v>185</v>
      </c>
      <c r="J26" s="2005"/>
      <c r="K26" s="1989" t="s">
        <v>202</v>
      </c>
      <c r="L26" s="2005"/>
      <c r="M26" s="1991" t="s">
        <v>203</v>
      </c>
      <c r="N26" s="1981"/>
      <c r="O26" s="1970" t="s">
        <v>228</v>
      </c>
      <c r="P26" s="1981"/>
      <c r="Q26" s="1970" t="s">
        <v>238</v>
      </c>
      <c r="R26" s="1981"/>
      <c r="S26" s="1970" t="s">
        <v>273</v>
      </c>
      <c r="T26" s="1981"/>
      <c r="U26" s="1970" t="s">
        <v>275</v>
      </c>
      <c r="V26" s="1981"/>
      <c r="W26" s="1970" t="s">
        <v>281</v>
      </c>
      <c r="X26" s="1981"/>
      <c r="Y26" s="1970" t="s">
        <v>291</v>
      </c>
      <c r="Z26" s="1971"/>
      <c r="AA26" s="932"/>
      <c r="AB26" s="2009"/>
      <c r="AC26" s="2010"/>
      <c r="AD26" s="293"/>
      <c r="AE26" s="293"/>
      <c r="AF26" s="21"/>
    </row>
    <row r="27" spans="1:32" ht="12" customHeight="1" x14ac:dyDescent="0.2">
      <c r="A27" s="930"/>
      <c r="B27" s="933" t="s">
        <v>189</v>
      </c>
      <c r="C27" s="2016">
        <v>0.248</v>
      </c>
      <c r="D27" s="2017"/>
      <c r="E27" s="1995">
        <v>0.26400000000000001</v>
      </c>
      <c r="F27" s="1996"/>
      <c r="G27" s="1995">
        <v>0.27800000000000002</v>
      </c>
      <c r="H27" s="1996"/>
      <c r="I27" s="1995">
        <v>0.27100000000000002</v>
      </c>
      <c r="J27" s="2006"/>
      <c r="K27" s="1275"/>
      <c r="L27" s="1276">
        <v>0.23400000000000001</v>
      </c>
      <c r="M27" s="1277"/>
      <c r="N27" s="1178">
        <v>0.23400000000000001</v>
      </c>
      <c r="O27" s="1176"/>
      <c r="P27" s="1178">
        <v>0.22</v>
      </c>
      <c r="Q27" s="1271"/>
      <c r="R27" s="1178">
        <v>0.23899999999999999</v>
      </c>
      <c r="S27" s="1271"/>
      <c r="T27" s="1178">
        <v>0.26400000000000001</v>
      </c>
      <c r="U27" s="1271"/>
      <c r="V27" s="1178">
        <v>0.27500000000000002</v>
      </c>
      <c r="W27" s="1271"/>
      <c r="X27" s="1178">
        <v>0.29699999999999999</v>
      </c>
      <c r="Y27" s="1271"/>
      <c r="Z27" s="1479">
        <v>0.255</v>
      </c>
      <c r="AA27" s="937"/>
      <c r="AB27" s="938"/>
      <c r="AC27" s="1048">
        <f>AVERAGE(X27,V27,R27,T27,Z27)</f>
        <v>0.26600000000000001</v>
      </c>
      <c r="AD27" s="293"/>
      <c r="AE27" s="293"/>
      <c r="AF27" s="21"/>
    </row>
    <row r="28" spans="1:32" ht="12" customHeight="1" x14ac:dyDescent="0.2">
      <c r="A28" s="930"/>
      <c r="B28" s="940" t="s">
        <v>190</v>
      </c>
      <c r="C28" s="2018">
        <v>5.0999999999999997E-2</v>
      </c>
      <c r="D28" s="2019"/>
      <c r="E28" s="2000">
        <v>0.05</v>
      </c>
      <c r="F28" s="2001"/>
      <c r="G28" s="2000">
        <v>6.8000000000000005E-2</v>
      </c>
      <c r="H28" s="2001"/>
      <c r="I28" s="2000">
        <v>6.8000000000000005E-2</v>
      </c>
      <c r="J28" s="2011"/>
      <c r="K28" s="1278"/>
      <c r="L28" s="1179">
        <v>7.4999999999999997E-2</v>
      </c>
      <c r="M28" s="1278"/>
      <c r="N28" s="1179">
        <v>7.0999999999999994E-2</v>
      </c>
      <c r="O28" s="1177"/>
      <c r="P28" s="1179">
        <v>6.8000000000000005E-2</v>
      </c>
      <c r="Q28" s="1272"/>
      <c r="R28" s="1179">
        <v>5.8999999999999997E-2</v>
      </c>
      <c r="S28" s="1272"/>
      <c r="T28" s="1179">
        <v>5.0999999999999997E-2</v>
      </c>
      <c r="U28" s="1272"/>
      <c r="V28" s="1179">
        <v>6.3E-2</v>
      </c>
      <c r="W28" s="1272"/>
      <c r="X28" s="1179">
        <v>0.06</v>
      </c>
      <c r="Y28" s="1272"/>
      <c r="Z28" s="1480">
        <v>7.4999999999999997E-2</v>
      </c>
      <c r="AA28" s="937"/>
      <c r="AB28" s="938"/>
      <c r="AC28" s="1048">
        <f>AVERAGE(X28,V28,R28,T28,Z28)</f>
        <v>6.1600000000000002E-2</v>
      </c>
      <c r="AD28" s="293"/>
      <c r="AE28" s="293"/>
      <c r="AF28" s="21"/>
    </row>
    <row r="29" spans="1:32" ht="12.75" customHeight="1" thickBot="1" x14ac:dyDescent="0.25">
      <c r="A29" s="3"/>
      <c r="B29" s="943" t="s">
        <v>191</v>
      </c>
      <c r="C29" s="1998">
        <f>1-C27-C28</f>
        <v>0.70099999999999996</v>
      </c>
      <c r="D29" s="1999"/>
      <c r="E29" s="1998">
        <f>1-E27-E28</f>
        <v>0.68599999999999994</v>
      </c>
      <c r="F29" s="1999"/>
      <c r="G29" s="1998">
        <f>1-G27-G28</f>
        <v>0.65399999999999991</v>
      </c>
      <c r="H29" s="1999"/>
      <c r="I29" s="1998">
        <f>1-I27-I28</f>
        <v>0.66100000000000003</v>
      </c>
      <c r="J29" s="1999"/>
      <c r="K29" s="2060">
        <f>1-L27-L28</f>
        <v>0.69100000000000006</v>
      </c>
      <c r="L29" s="1973"/>
      <c r="M29" s="2060">
        <f>1-N27-N28</f>
        <v>0.69500000000000006</v>
      </c>
      <c r="N29" s="1973"/>
      <c r="O29" s="1998">
        <f>1-P27-P28</f>
        <v>0.71199999999999997</v>
      </c>
      <c r="P29" s="1999"/>
      <c r="Q29" s="1972">
        <f>1-R27-R28</f>
        <v>0.70199999999999996</v>
      </c>
      <c r="R29" s="1973"/>
      <c r="S29" s="1972">
        <f>1-T27-T28</f>
        <v>0.68499999999999994</v>
      </c>
      <c r="T29" s="1973"/>
      <c r="U29" s="1972">
        <f>1-V27-V28</f>
        <v>0.66199999999999992</v>
      </c>
      <c r="V29" s="1973"/>
      <c r="W29" s="1972">
        <f>1-X27-X28</f>
        <v>0.64300000000000002</v>
      </c>
      <c r="X29" s="1973"/>
      <c r="Y29" s="1972">
        <f>1-Z27-Z28</f>
        <v>0.67</v>
      </c>
      <c r="Z29" s="1973"/>
      <c r="AA29" s="937"/>
      <c r="AB29" s="2007">
        <f t="shared" ref="AB29:AC29" si="3">AVERAGE(W29,U29,Q29,S29,Y29)</f>
        <v>0.67239999999999989</v>
      </c>
      <c r="AC29" s="2008" t="e">
        <f t="shared" si="3"/>
        <v>#DIV/0!</v>
      </c>
      <c r="AD29" s="1050"/>
      <c r="AE29" s="293"/>
      <c r="AF29" s="21"/>
    </row>
    <row r="30" spans="1:32" s="3" customFormat="1" thickTop="1" x14ac:dyDescent="0.2">
      <c r="B30" s="109"/>
      <c r="C30" s="110"/>
      <c r="D30" s="111"/>
      <c r="E30" s="110"/>
      <c r="F30" s="111"/>
      <c r="G30" s="146"/>
      <c r="H30" s="147"/>
      <c r="I30" s="146"/>
      <c r="J30" s="147"/>
      <c r="K30" s="146"/>
      <c r="L30" s="147"/>
      <c r="M30" s="146"/>
      <c r="N30" s="147"/>
      <c r="O30" s="146"/>
      <c r="P30" s="147"/>
      <c r="Q30" s="146"/>
      <c r="R30" s="147"/>
      <c r="S30" s="146"/>
      <c r="T30" s="147"/>
      <c r="U30" s="146"/>
      <c r="V30" s="147"/>
      <c r="W30" s="146"/>
      <c r="X30" s="147"/>
      <c r="Y30" s="146"/>
      <c r="Z30" s="147"/>
      <c r="AC30" s="578"/>
    </row>
    <row r="31" spans="1:32" s="3" customFormat="1" x14ac:dyDescent="0.2">
      <c r="A31" s="112" t="s">
        <v>68</v>
      </c>
      <c r="B31" s="96"/>
      <c r="C31" s="28"/>
      <c r="D31" s="28"/>
      <c r="E31" s="28"/>
      <c r="F31" s="28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</row>
    <row r="32" spans="1:32" s="3" customFormat="1" ht="13.5" thickBot="1" x14ac:dyDescent="0.25">
      <c r="A32" s="112"/>
      <c r="B32" s="96"/>
      <c r="C32" s="28"/>
      <c r="D32" s="28"/>
      <c r="E32" s="28"/>
      <c r="F32" s="28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</row>
    <row r="33" spans="1:29" s="3" customFormat="1" ht="14.25" thickTop="1" thickBot="1" x14ac:dyDescent="0.25">
      <c r="A33" s="2"/>
      <c r="B33" s="329" t="s">
        <v>69</v>
      </c>
      <c r="C33" s="2013" t="s">
        <v>49</v>
      </c>
      <c r="D33" s="2014"/>
      <c r="E33" s="2015" t="s">
        <v>50</v>
      </c>
      <c r="F33" s="2015"/>
      <c r="G33" s="2002" t="s">
        <v>141</v>
      </c>
      <c r="H33" s="1982"/>
      <c r="I33" s="2081" t="s">
        <v>152</v>
      </c>
      <c r="J33" s="2081"/>
      <c r="K33" s="2082" t="s">
        <v>154</v>
      </c>
      <c r="L33" s="2081"/>
      <c r="M33" s="2082" t="s">
        <v>171</v>
      </c>
      <c r="N33" s="2083"/>
      <c r="O33" s="2081" t="s">
        <v>227</v>
      </c>
      <c r="P33" s="2083"/>
      <c r="Q33" s="2081" t="s">
        <v>237</v>
      </c>
      <c r="R33" s="2083"/>
      <c r="S33" s="2081" t="s">
        <v>272</v>
      </c>
      <c r="T33" s="2083"/>
      <c r="U33" s="2081" t="s">
        <v>274</v>
      </c>
      <c r="V33" s="2083"/>
      <c r="W33" s="2081" t="s">
        <v>280</v>
      </c>
      <c r="X33" s="2083"/>
      <c r="Y33" s="2081" t="s">
        <v>290</v>
      </c>
      <c r="Z33" s="2084"/>
      <c r="AA33" s="955"/>
      <c r="AB33" s="2015" t="s">
        <v>213</v>
      </c>
      <c r="AC33" s="2004"/>
    </row>
    <row r="34" spans="1:29" s="3" customFormat="1" x14ac:dyDescent="0.2">
      <c r="A34" s="2"/>
      <c r="B34" s="330" t="s">
        <v>70</v>
      </c>
      <c r="C34" s="184"/>
      <c r="D34" s="93"/>
      <c r="E34" s="31"/>
      <c r="F34" s="31"/>
      <c r="G34" s="239"/>
      <c r="H34" s="245"/>
      <c r="I34" s="265"/>
      <c r="J34" s="151"/>
      <c r="K34" s="265"/>
      <c r="L34" s="151"/>
      <c r="M34" s="265"/>
      <c r="N34" s="248"/>
      <c r="O34" s="151"/>
      <c r="P34" s="248"/>
      <c r="Q34" s="151"/>
      <c r="R34" s="248"/>
      <c r="S34" s="151"/>
      <c r="T34" s="248"/>
      <c r="U34" s="151"/>
      <c r="V34" s="248"/>
      <c r="W34" s="151"/>
      <c r="X34" s="248"/>
      <c r="Y34" s="151"/>
      <c r="Z34" s="152"/>
      <c r="AA34" s="955"/>
      <c r="AB34" s="28"/>
      <c r="AC34" s="930"/>
    </row>
    <row r="35" spans="1:29" s="3" customFormat="1" x14ac:dyDescent="0.2">
      <c r="A35" s="2"/>
      <c r="B35" s="331" t="s">
        <v>71</v>
      </c>
      <c r="C35" s="54"/>
      <c r="D35" s="188">
        <v>1143024</v>
      </c>
      <c r="E35" s="30"/>
      <c r="F35" s="205">
        <v>1372049</v>
      </c>
      <c r="G35" s="243"/>
      <c r="H35" s="369">
        <v>1434709</v>
      </c>
      <c r="I35" s="138"/>
      <c r="J35" s="451">
        <v>1358229</v>
      </c>
      <c r="K35" s="243"/>
      <c r="L35" s="451">
        <v>1476444</v>
      </c>
      <c r="M35" s="243"/>
      <c r="N35" s="416">
        <v>1518475</v>
      </c>
      <c r="O35" s="138"/>
      <c r="P35" s="416">
        <v>1455595</v>
      </c>
      <c r="Q35" s="138"/>
      <c r="R35" s="416">
        <v>1508313</v>
      </c>
      <c r="S35" s="138"/>
      <c r="T35" s="416">
        <v>1525331</v>
      </c>
      <c r="U35" s="138"/>
      <c r="V35" s="416">
        <v>1637760</v>
      </c>
      <c r="W35" s="138"/>
      <c r="X35" s="416">
        <v>1742789</v>
      </c>
      <c r="Y35" s="138"/>
      <c r="Z35" s="294">
        <v>1705177</v>
      </c>
      <c r="AA35" s="955"/>
      <c r="AB35" s="30"/>
      <c r="AC35" s="947">
        <f t="shared" ref="AC35:AC38" si="4">AVERAGE(X35,V35,R35,T35,Z35)</f>
        <v>1623874</v>
      </c>
    </row>
    <row r="36" spans="1:29" s="3" customFormat="1" x14ac:dyDescent="0.2">
      <c r="A36" s="2"/>
      <c r="B36" s="331" t="s">
        <v>247</v>
      </c>
      <c r="C36" s="54"/>
      <c r="D36" s="188"/>
      <c r="E36" s="30"/>
      <c r="F36" s="205"/>
      <c r="G36" s="243"/>
      <c r="H36" s="1440"/>
      <c r="I36" s="138"/>
      <c r="J36" s="451">
        <v>20000</v>
      </c>
      <c r="K36" s="243"/>
      <c r="L36" s="451">
        <v>20000</v>
      </c>
      <c r="M36" s="243"/>
      <c r="N36" s="416">
        <v>20000</v>
      </c>
      <c r="O36" s="138"/>
      <c r="P36" s="416">
        <v>20000</v>
      </c>
      <c r="Q36" s="138"/>
      <c r="R36" s="416">
        <v>20000</v>
      </c>
      <c r="S36" s="138"/>
      <c r="T36" s="416">
        <v>20000</v>
      </c>
      <c r="U36" s="138"/>
      <c r="V36" s="416">
        <v>20000</v>
      </c>
      <c r="W36" s="138"/>
      <c r="X36" s="416">
        <v>20000</v>
      </c>
      <c r="Y36" s="138"/>
      <c r="Z36" s="294">
        <v>20000</v>
      </c>
      <c r="AA36" s="955"/>
      <c r="AB36" s="30"/>
      <c r="AC36" s="947">
        <f t="shared" si="4"/>
        <v>20000</v>
      </c>
    </row>
    <row r="37" spans="1:29" s="3" customFormat="1" ht="24" x14ac:dyDescent="0.2">
      <c r="A37" s="2"/>
      <c r="B37" s="332" t="s">
        <v>248</v>
      </c>
      <c r="C37" s="184"/>
      <c r="D37" s="189">
        <v>255596</v>
      </c>
      <c r="E37" s="31"/>
      <c r="F37" s="206">
        <v>512384</v>
      </c>
      <c r="G37" s="239"/>
      <c r="H37" s="369">
        <v>512890</v>
      </c>
      <c r="I37" s="139"/>
      <c r="J37" s="347">
        <v>494576</v>
      </c>
      <c r="K37" s="239"/>
      <c r="L37" s="347">
        <v>589815</v>
      </c>
      <c r="M37" s="239"/>
      <c r="N37" s="369">
        <v>566779</v>
      </c>
      <c r="O37" s="139"/>
      <c r="P37" s="369">
        <v>506411</v>
      </c>
      <c r="Q37" s="139"/>
      <c r="R37" s="369">
        <v>588604</v>
      </c>
      <c r="S37" s="139"/>
      <c r="T37" s="369">
        <v>588976</v>
      </c>
      <c r="U37" s="139"/>
      <c r="V37" s="369">
        <v>657454</v>
      </c>
      <c r="W37" s="139"/>
      <c r="X37" s="369">
        <v>780204</v>
      </c>
      <c r="Y37" s="139"/>
      <c r="Z37" s="282">
        <v>917565</v>
      </c>
      <c r="AA37" s="955"/>
      <c r="AB37" s="31"/>
      <c r="AC37" s="947">
        <f t="shared" si="4"/>
        <v>706560.6</v>
      </c>
    </row>
    <row r="38" spans="1:29" s="3" customFormat="1" x14ac:dyDescent="0.2">
      <c r="A38" s="2"/>
      <c r="B38" s="333" t="s">
        <v>72</v>
      </c>
      <c r="C38" s="187"/>
      <c r="D38" s="190">
        <f>SUM(D35:D37)</f>
        <v>1398620</v>
      </c>
      <c r="E38" s="90"/>
      <c r="F38" s="207">
        <f>SUM(F35:F37)</f>
        <v>1884433</v>
      </c>
      <c r="G38" s="262"/>
      <c r="H38" s="263">
        <f>SUM(H35:H37)</f>
        <v>1947599</v>
      </c>
      <c r="I38" s="250"/>
      <c r="J38" s="249">
        <f>SUM(J35:J37)</f>
        <v>1872805</v>
      </c>
      <c r="K38" s="262"/>
      <c r="L38" s="249">
        <f>SUM(L35:L37)</f>
        <v>2086259</v>
      </c>
      <c r="M38" s="262"/>
      <c r="N38" s="263">
        <f>SUM(N35:N37)</f>
        <v>2105254</v>
      </c>
      <c r="O38" s="250"/>
      <c r="P38" s="263">
        <f>SUM(P35:P37)</f>
        <v>1982006</v>
      </c>
      <c r="Q38" s="250"/>
      <c r="R38" s="263">
        <f>SUM(R35:R37)</f>
        <v>2116917</v>
      </c>
      <c r="S38" s="250"/>
      <c r="T38" s="263">
        <f>SUM(T35:T37)</f>
        <v>2134307</v>
      </c>
      <c r="U38" s="250"/>
      <c r="V38" s="263">
        <f>SUM(V35:V37)</f>
        <v>2315214</v>
      </c>
      <c r="W38" s="250"/>
      <c r="X38" s="263">
        <f>SUM(X35:X37)</f>
        <v>2542993</v>
      </c>
      <c r="Y38" s="250"/>
      <c r="Z38" s="149">
        <f>SUM(Z35:Z37)</f>
        <v>2642742</v>
      </c>
      <c r="AA38" s="955"/>
      <c r="AB38" s="31"/>
      <c r="AC38" s="1008">
        <f t="shared" si="4"/>
        <v>2350434.6</v>
      </c>
    </row>
    <row r="39" spans="1:29" s="3" customFormat="1" x14ac:dyDescent="0.2">
      <c r="A39" s="2"/>
      <c r="B39" s="330" t="s">
        <v>73</v>
      </c>
      <c r="C39" s="184"/>
      <c r="D39" s="189"/>
      <c r="E39" s="31"/>
      <c r="F39" s="206"/>
      <c r="G39" s="239"/>
      <c r="H39" s="369"/>
      <c r="I39" s="139"/>
      <c r="J39" s="347"/>
      <c r="K39" s="239"/>
      <c r="L39" s="347"/>
      <c r="M39" s="239"/>
      <c r="N39" s="369"/>
      <c r="O39" s="139"/>
      <c r="P39" s="369"/>
      <c r="Q39" s="139"/>
      <c r="R39" s="369"/>
      <c r="S39" s="139"/>
      <c r="T39" s="369"/>
      <c r="U39" s="139"/>
      <c r="V39" s="369"/>
      <c r="W39" s="139"/>
      <c r="X39" s="369"/>
      <c r="Y39" s="139"/>
      <c r="Z39" s="282"/>
      <c r="AA39" s="955"/>
      <c r="AB39" s="31"/>
      <c r="AC39" s="947"/>
    </row>
    <row r="40" spans="1:29" s="3" customFormat="1" x14ac:dyDescent="0.2">
      <c r="A40" s="2"/>
      <c r="B40" s="331" t="s">
        <v>71</v>
      </c>
      <c r="C40" s="184"/>
      <c r="D40" s="189"/>
      <c r="E40" s="31"/>
      <c r="F40" s="206"/>
      <c r="G40" s="239"/>
      <c r="H40" s="369"/>
      <c r="I40" s="139"/>
      <c r="J40" s="347"/>
      <c r="K40" s="239"/>
      <c r="L40" s="347"/>
      <c r="M40" s="239"/>
      <c r="N40" s="369"/>
      <c r="O40" s="139"/>
      <c r="P40" s="369"/>
      <c r="Q40" s="139"/>
      <c r="R40" s="369"/>
      <c r="S40" s="139"/>
      <c r="T40" s="369"/>
      <c r="U40" s="139"/>
      <c r="V40" s="369"/>
      <c r="W40" s="139"/>
      <c r="X40" s="369"/>
      <c r="Y40" s="139"/>
      <c r="Z40" s="282"/>
      <c r="AA40" s="955"/>
      <c r="AB40" s="31"/>
      <c r="AC40" s="947"/>
    </row>
    <row r="41" spans="1:29" s="3" customFormat="1" x14ac:dyDescent="0.2">
      <c r="A41" s="2"/>
      <c r="B41" s="331" t="s">
        <v>247</v>
      </c>
      <c r="C41" s="184"/>
      <c r="D41" s="189"/>
      <c r="E41" s="31"/>
      <c r="F41" s="206"/>
      <c r="G41" s="239"/>
      <c r="H41" s="369"/>
      <c r="I41" s="139"/>
      <c r="J41" s="347"/>
      <c r="K41" s="239"/>
      <c r="L41" s="347"/>
      <c r="M41" s="239"/>
      <c r="N41" s="369"/>
      <c r="O41" s="139"/>
      <c r="P41" s="369"/>
      <c r="Q41" s="139"/>
      <c r="R41" s="369"/>
      <c r="S41" s="139"/>
      <c r="T41" s="369"/>
      <c r="U41" s="139"/>
      <c r="V41" s="369"/>
      <c r="W41" s="139"/>
      <c r="X41" s="369"/>
      <c r="Y41" s="139"/>
      <c r="Z41" s="282"/>
      <c r="AA41" s="955"/>
      <c r="AB41" s="31"/>
      <c r="AC41" s="947"/>
    </row>
    <row r="42" spans="1:29" s="3" customFormat="1" ht="24" x14ac:dyDescent="0.2">
      <c r="A42" s="2"/>
      <c r="B42" s="332" t="s">
        <v>248</v>
      </c>
      <c r="C42" s="184"/>
      <c r="D42" s="189"/>
      <c r="E42" s="31"/>
      <c r="F42" s="206"/>
      <c r="G42" s="239"/>
      <c r="H42" s="369"/>
      <c r="I42" s="139"/>
      <c r="J42" s="347"/>
      <c r="K42" s="239"/>
      <c r="L42" s="347"/>
      <c r="M42" s="239"/>
      <c r="N42" s="369"/>
      <c r="O42" s="139"/>
      <c r="P42" s="369"/>
      <c r="Q42" s="139"/>
      <c r="R42" s="369"/>
      <c r="S42" s="139"/>
      <c r="T42" s="369"/>
      <c r="U42" s="139"/>
      <c r="V42" s="369"/>
      <c r="W42" s="139"/>
      <c r="X42" s="369"/>
      <c r="Y42" s="139"/>
      <c r="Z42" s="282"/>
      <c r="AA42" s="955"/>
      <c r="AB42" s="31"/>
      <c r="AC42" s="947"/>
    </row>
    <row r="43" spans="1:29" s="3" customFormat="1" x14ac:dyDescent="0.2">
      <c r="A43" s="2"/>
      <c r="B43" s="333" t="s">
        <v>74</v>
      </c>
      <c r="C43" s="187"/>
      <c r="D43" s="190">
        <f>SUM(D40:D42)</f>
        <v>0</v>
      </c>
      <c r="E43" s="90"/>
      <c r="F43" s="207">
        <f>SUM(F40:F42)</f>
        <v>0</v>
      </c>
      <c r="G43" s="262"/>
      <c r="H43" s="263">
        <f>SUM(H40:H42)</f>
        <v>0</v>
      </c>
      <c r="I43" s="250"/>
      <c r="J43" s="249">
        <f>SUM(J40:J42)</f>
        <v>0</v>
      </c>
      <c r="K43" s="262"/>
      <c r="L43" s="249">
        <f>SUM(L40:L42)</f>
        <v>0</v>
      </c>
      <c r="M43" s="262"/>
      <c r="N43" s="263">
        <f>SUM(N40:N42)</f>
        <v>0</v>
      </c>
      <c r="O43" s="250"/>
      <c r="P43" s="263">
        <f>SUM(P40:P42)</f>
        <v>0</v>
      </c>
      <c r="Q43" s="250"/>
      <c r="R43" s="263">
        <f>SUM(R40:R42)</f>
        <v>0</v>
      </c>
      <c r="S43" s="250"/>
      <c r="T43" s="263">
        <f>SUM(T40:T42)</f>
        <v>0</v>
      </c>
      <c r="U43" s="250"/>
      <c r="V43" s="263">
        <f>SUM(V40:V42)</f>
        <v>0</v>
      </c>
      <c r="W43" s="250"/>
      <c r="X43" s="263">
        <f>SUM(X40:X42)</f>
        <v>0</v>
      </c>
      <c r="Y43" s="250"/>
      <c r="Z43" s="149">
        <f>SUM(Z40:Z42)</f>
        <v>0</v>
      </c>
      <c r="AA43" s="955"/>
      <c r="AB43" s="31"/>
      <c r="AC43" s="1008">
        <f>AVERAGE(X43,V43,R43,T43,Z43)</f>
        <v>0</v>
      </c>
    </row>
    <row r="44" spans="1:29" s="3" customFormat="1" ht="13.5" thickBot="1" x14ac:dyDescent="0.25">
      <c r="A44" s="2"/>
      <c r="B44" s="334" t="s">
        <v>75</v>
      </c>
      <c r="C44" s="184"/>
      <c r="D44" s="190">
        <f>SUM(D38,D43)</f>
        <v>1398620</v>
      </c>
      <c r="E44" s="31"/>
      <c r="F44" s="207">
        <f>SUM(F38,F43)</f>
        <v>1884433</v>
      </c>
      <c r="G44" s="239"/>
      <c r="H44" s="263">
        <f>SUM(H38,H43)</f>
        <v>1947599</v>
      </c>
      <c r="I44" s="139"/>
      <c r="J44" s="249">
        <f>SUM(J38,J43)</f>
        <v>1872805</v>
      </c>
      <c r="K44" s="239"/>
      <c r="L44" s="249">
        <f>SUM(L38,L43)</f>
        <v>2086259</v>
      </c>
      <c r="M44" s="239"/>
      <c r="N44" s="263">
        <f>SUM(N38,N43)</f>
        <v>2105254</v>
      </c>
      <c r="O44" s="139"/>
      <c r="P44" s="263">
        <f>SUM(P38,P43)</f>
        <v>1982006</v>
      </c>
      <c r="Q44" s="139"/>
      <c r="R44" s="263">
        <f>SUM(R38,R43)</f>
        <v>2116917</v>
      </c>
      <c r="S44" s="139"/>
      <c r="T44" s="263">
        <f>SUM(T38,T43)</f>
        <v>2134307</v>
      </c>
      <c r="U44" s="139"/>
      <c r="V44" s="263">
        <f>SUM(V38,V43)</f>
        <v>2315214</v>
      </c>
      <c r="W44" s="139"/>
      <c r="X44" s="263">
        <f>SUM(X38,X43)</f>
        <v>2542993</v>
      </c>
      <c r="Y44" s="139"/>
      <c r="Z44" s="149">
        <f>SUM(Z38,Z43)</f>
        <v>2642742</v>
      </c>
      <c r="AA44" s="955"/>
      <c r="AB44" s="327"/>
      <c r="AC44" s="1008">
        <f>AVERAGE(X44,V44,R44,T44,Z44)</f>
        <v>2350434.6</v>
      </c>
    </row>
    <row r="45" spans="1:29" s="3" customFormat="1" ht="12" x14ac:dyDescent="0.2">
      <c r="B45" s="81" t="s">
        <v>259</v>
      </c>
      <c r="C45" s="265"/>
      <c r="D45" s="248"/>
      <c r="E45" s="36"/>
      <c r="F45" s="36"/>
      <c r="G45" s="265"/>
      <c r="H45" s="248"/>
      <c r="I45" s="151"/>
      <c r="J45" s="151"/>
      <c r="K45" s="265"/>
      <c r="L45" s="151"/>
      <c r="M45" s="265"/>
      <c r="N45" s="248"/>
      <c r="O45" s="151"/>
      <c r="P45" s="248"/>
      <c r="Q45" s="151"/>
      <c r="R45" s="248"/>
      <c r="S45" s="151"/>
      <c r="T45" s="248"/>
      <c r="U45" s="151"/>
      <c r="V45" s="248"/>
      <c r="W45" s="151"/>
      <c r="X45" s="248"/>
      <c r="Y45" s="151"/>
      <c r="Z45" s="152"/>
      <c r="AA45" s="955"/>
      <c r="AB45" s="28"/>
      <c r="AC45" s="978"/>
    </row>
    <row r="46" spans="1:29" x14ac:dyDescent="0.2">
      <c r="A46" s="3"/>
      <c r="B46" s="78" t="s">
        <v>14</v>
      </c>
      <c r="C46" s="266"/>
      <c r="D46" s="460">
        <f>390128+874948</f>
        <v>1265076</v>
      </c>
      <c r="E46" s="38"/>
      <c r="F46" s="376">
        <f>1563715+18808</f>
        <v>1582523</v>
      </c>
      <c r="G46" s="266"/>
      <c r="H46" s="433">
        <v>1711525.12</v>
      </c>
      <c r="I46" s="463"/>
      <c r="J46" s="458">
        <v>1586737.46</v>
      </c>
      <c r="K46" s="432"/>
      <c r="L46" s="826">
        <f>1625460+82360</f>
        <v>1707820</v>
      </c>
      <c r="M46" s="432"/>
      <c r="N46" s="510">
        <v>1861403</v>
      </c>
      <c r="O46" s="463"/>
      <c r="P46" s="510">
        <v>1773432</v>
      </c>
      <c r="Q46" s="252"/>
      <c r="R46" s="510">
        <v>1774283</v>
      </c>
      <c r="S46" s="252"/>
      <c r="T46" s="510">
        <v>1879315</v>
      </c>
      <c r="U46" s="252"/>
      <c r="V46" s="510">
        <v>2061963</v>
      </c>
      <c r="W46" s="252"/>
      <c r="X46" s="510">
        <v>2199767.7999999998</v>
      </c>
      <c r="Y46" s="252"/>
      <c r="Z46" s="1584"/>
      <c r="AA46" s="1031"/>
      <c r="AB46" s="30"/>
      <c r="AC46" s="949">
        <f>AVERAGE(X46,V46,R46,T46,P46)</f>
        <v>1937752.1600000001</v>
      </c>
    </row>
    <row r="47" spans="1:29" ht="13.5" thickBot="1" x14ac:dyDescent="0.25">
      <c r="A47" s="3"/>
      <c r="B47" s="336" t="s">
        <v>15</v>
      </c>
      <c r="C47" s="268"/>
      <c r="D47" s="467">
        <f>2416+64593</f>
        <v>67009</v>
      </c>
      <c r="E47" s="40"/>
      <c r="F47" s="378">
        <v>126262</v>
      </c>
      <c r="G47" s="268"/>
      <c r="H47" s="517">
        <v>240432</v>
      </c>
      <c r="I47" s="237"/>
      <c r="J47" s="516">
        <v>117047</v>
      </c>
      <c r="K47" s="596"/>
      <c r="L47" s="827">
        <f>1591+4833+92639</f>
        <v>99063</v>
      </c>
      <c r="M47" s="596"/>
      <c r="N47" s="509">
        <f>49618</f>
        <v>49618</v>
      </c>
      <c r="O47" s="237"/>
      <c r="P47" s="509">
        <f>60022</f>
        <v>60022</v>
      </c>
      <c r="Q47" s="253"/>
      <c r="R47" s="509">
        <f>8500+48958.68</f>
        <v>57458.68</v>
      </c>
      <c r="S47" s="253"/>
      <c r="T47" s="509">
        <f>75516.47</f>
        <v>75516.47</v>
      </c>
      <c r="U47" s="253"/>
      <c r="V47" s="509">
        <v>127924</v>
      </c>
      <c r="W47" s="253"/>
      <c r="X47" s="509">
        <v>225937.26</v>
      </c>
      <c r="Y47" s="253"/>
      <c r="Z47" s="1580"/>
      <c r="AA47" s="1031"/>
      <c r="AB47" s="31"/>
      <c r="AC47" s="1041">
        <f>AVERAGE(X47,V47,R47,T47,P47)</f>
        <v>109371.682</v>
      </c>
    </row>
    <row r="48" spans="1:29" x14ac:dyDescent="0.2">
      <c r="A48" s="3"/>
      <c r="B48" s="1492"/>
      <c r="C48" s="193" t="s">
        <v>133</v>
      </c>
      <c r="D48" s="194" t="s">
        <v>139</v>
      </c>
      <c r="E48" s="166" t="s">
        <v>133</v>
      </c>
      <c r="F48" s="352" t="s">
        <v>139</v>
      </c>
      <c r="G48" s="308" t="s">
        <v>133</v>
      </c>
      <c r="H48" s="417" t="s">
        <v>139</v>
      </c>
      <c r="I48" s="414" t="s">
        <v>133</v>
      </c>
      <c r="J48" s="352" t="s">
        <v>139</v>
      </c>
      <c r="K48" s="308" t="s">
        <v>133</v>
      </c>
      <c r="L48" s="352" t="s">
        <v>139</v>
      </c>
      <c r="M48" s="308" t="s">
        <v>133</v>
      </c>
      <c r="N48" s="417" t="s">
        <v>139</v>
      </c>
      <c r="O48" s="414" t="s">
        <v>133</v>
      </c>
      <c r="P48" s="417" t="s">
        <v>139</v>
      </c>
      <c r="Q48" s="414" t="s">
        <v>133</v>
      </c>
      <c r="R48" s="417" t="s">
        <v>139</v>
      </c>
      <c r="S48" s="414" t="s">
        <v>133</v>
      </c>
      <c r="T48" s="417" t="s">
        <v>139</v>
      </c>
      <c r="U48" s="414" t="s">
        <v>133</v>
      </c>
      <c r="V48" s="417" t="s">
        <v>139</v>
      </c>
      <c r="W48" s="414" t="s">
        <v>133</v>
      </c>
      <c r="X48" s="417" t="s">
        <v>139</v>
      </c>
      <c r="Y48" s="414" t="s">
        <v>133</v>
      </c>
      <c r="Z48" s="295" t="s">
        <v>139</v>
      </c>
      <c r="AA48" s="1031"/>
      <c r="AB48" s="323" t="s">
        <v>133</v>
      </c>
      <c r="AC48" s="295" t="s">
        <v>139</v>
      </c>
    </row>
    <row r="49" spans="1:29" s="3" customFormat="1" ht="11.45" customHeight="1" x14ac:dyDescent="0.2">
      <c r="B49" s="80" t="s">
        <v>67</v>
      </c>
      <c r="C49" s="475">
        <v>8</v>
      </c>
      <c r="D49" s="511">
        <v>1151207</v>
      </c>
      <c r="E49" s="108">
        <v>14</v>
      </c>
      <c r="F49" s="522">
        <v>733435</v>
      </c>
      <c r="G49" s="476">
        <v>13</v>
      </c>
      <c r="H49" s="439">
        <v>524451</v>
      </c>
      <c r="I49" s="477">
        <v>11</v>
      </c>
      <c r="J49" s="525">
        <v>2804531</v>
      </c>
      <c r="K49" s="532">
        <v>12</v>
      </c>
      <c r="L49" s="252">
        <v>2093101</v>
      </c>
      <c r="M49" s="532">
        <v>14</v>
      </c>
      <c r="N49" s="510">
        <v>2351657</v>
      </c>
      <c r="O49" s="532">
        <v>11</v>
      </c>
      <c r="P49" s="510">
        <v>2236063</v>
      </c>
      <c r="Q49" s="532">
        <v>15</v>
      </c>
      <c r="R49" s="510">
        <v>3003509</v>
      </c>
      <c r="S49" s="532">
        <v>13</v>
      </c>
      <c r="T49" s="510">
        <v>2426737</v>
      </c>
      <c r="U49" s="532">
        <v>9</v>
      </c>
      <c r="V49" s="510">
        <v>1448870</v>
      </c>
      <c r="W49" s="532">
        <v>14</v>
      </c>
      <c r="X49" s="510">
        <v>3643070</v>
      </c>
      <c r="Y49" s="1445"/>
      <c r="Z49" s="1482"/>
      <c r="AA49" s="955"/>
      <c r="AB49" s="108">
        <f>AVERAGE(W49,U49,Q49,S49,O49)</f>
        <v>12.4</v>
      </c>
      <c r="AC49" s="951">
        <f>AVERAGE(X49,V49,R49,T49,P49)</f>
        <v>2551649.7999999998</v>
      </c>
    </row>
    <row r="50" spans="1:29" s="3" customFormat="1" ht="11.45" customHeight="1" x14ac:dyDescent="0.2">
      <c r="B50" s="80"/>
      <c r="C50" s="916"/>
      <c r="D50" s="197"/>
      <c r="E50" s="838"/>
      <c r="F50" s="306"/>
      <c r="G50" s="551"/>
      <c r="H50" s="418"/>
      <c r="I50" s="255"/>
      <c r="J50" s="452"/>
      <c r="K50" s="530"/>
      <c r="L50" s="528"/>
      <c r="M50" s="530"/>
      <c r="N50" s="545"/>
      <c r="O50" s="530"/>
      <c r="P50" s="545"/>
      <c r="Q50" s="530"/>
      <c r="R50" s="545"/>
      <c r="S50" s="530"/>
      <c r="T50" s="545"/>
      <c r="U50" s="530"/>
      <c r="V50" s="545"/>
      <c r="W50" s="530"/>
      <c r="X50" s="545"/>
      <c r="Y50" s="1446"/>
      <c r="Z50" s="1483"/>
      <c r="AA50" s="955"/>
      <c r="AB50" s="1013"/>
      <c r="AC50" s="949"/>
    </row>
    <row r="51" spans="1:29" s="3" customFormat="1" thickBot="1" x14ac:dyDescent="0.25">
      <c r="B51" s="167" t="s">
        <v>16</v>
      </c>
      <c r="C51" s="913">
        <v>4</v>
      </c>
      <c r="D51" s="523">
        <v>461603</v>
      </c>
      <c r="E51" s="839">
        <v>10</v>
      </c>
      <c r="F51" s="69">
        <v>672592.85</v>
      </c>
      <c r="G51" s="552">
        <v>5</v>
      </c>
      <c r="H51" s="524">
        <v>490001</v>
      </c>
      <c r="I51" s="550">
        <v>5</v>
      </c>
      <c r="J51" s="526">
        <v>341712</v>
      </c>
      <c r="K51" s="552">
        <v>3</v>
      </c>
      <c r="L51" s="253">
        <v>428399</v>
      </c>
      <c r="M51" s="552">
        <v>3</v>
      </c>
      <c r="N51" s="509">
        <v>196473</v>
      </c>
      <c r="O51" s="552">
        <v>4</v>
      </c>
      <c r="P51" s="509">
        <v>625142</v>
      </c>
      <c r="Q51" s="552">
        <v>4</v>
      </c>
      <c r="R51" s="509">
        <v>648914</v>
      </c>
      <c r="S51" s="552">
        <v>4</v>
      </c>
      <c r="T51" s="509">
        <v>1181142</v>
      </c>
      <c r="U51" s="552">
        <v>4</v>
      </c>
      <c r="V51" s="509">
        <v>841284</v>
      </c>
      <c r="W51" s="552">
        <v>3</v>
      </c>
      <c r="X51" s="509">
        <v>934052</v>
      </c>
      <c r="Y51" s="1447"/>
      <c r="Z51" s="1484"/>
      <c r="AA51" s="955"/>
      <c r="AB51" s="839">
        <f>AVERAGE(W51,U51,Q51,S51,O51)</f>
        <v>3.8</v>
      </c>
      <c r="AC51" s="1009">
        <f>AVERAGE(X51,V51,R51,T51,P51)</f>
        <v>846106.8</v>
      </c>
    </row>
    <row r="52" spans="1:29" s="3" customFormat="1" thickTop="1" x14ac:dyDescent="0.2">
      <c r="B52" s="81" t="s">
        <v>84</v>
      </c>
      <c r="C52" s="199"/>
      <c r="D52" s="209"/>
      <c r="E52" s="45"/>
      <c r="F52" s="323"/>
      <c r="G52" s="386"/>
      <c r="H52" s="419"/>
      <c r="I52" s="156"/>
      <c r="J52" s="307"/>
      <c r="K52" s="269"/>
      <c r="L52" s="307"/>
      <c r="M52" s="269"/>
      <c r="N52" s="419"/>
      <c r="O52" s="156"/>
      <c r="P52" s="419"/>
      <c r="Q52" s="156"/>
      <c r="R52" s="419"/>
      <c r="S52" s="156"/>
      <c r="T52" s="419"/>
      <c r="U52" s="156"/>
      <c r="V52" s="419"/>
      <c r="W52" s="156"/>
      <c r="X52" s="419"/>
      <c r="Y52" s="156"/>
      <c r="Z52" s="158"/>
      <c r="AA52" s="955"/>
      <c r="AB52" s="109"/>
      <c r="AC52" s="1030"/>
    </row>
    <row r="53" spans="1:29" s="3" customFormat="1" ht="12" x14ac:dyDescent="0.2">
      <c r="B53" s="337" t="s">
        <v>35</v>
      </c>
      <c r="C53" s="201"/>
      <c r="D53" s="210"/>
      <c r="E53" s="97"/>
      <c r="F53" s="34"/>
      <c r="G53" s="271"/>
      <c r="H53" s="420"/>
      <c r="I53" s="157"/>
      <c r="J53" s="135"/>
      <c r="K53" s="271"/>
      <c r="L53" s="135"/>
      <c r="M53" s="271"/>
      <c r="N53" s="420"/>
      <c r="O53" s="157"/>
      <c r="P53" s="420"/>
      <c r="Q53" s="157"/>
      <c r="R53" s="420"/>
      <c r="S53" s="157"/>
      <c r="T53" s="420"/>
      <c r="U53" s="157"/>
      <c r="V53" s="420"/>
      <c r="W53" s="157"/>
      <c r="X53" s="420"/>
      <c r="Y53" s="157"/>
      <c r="Z53" s="287"/>
      <c r="AA53" s="955"/>
      <c r="AB53" s="720"/>
      <c r="AC53" s="1011"/>
    </row>
    <row r="54" spans="1:29" s="3" customFormat="1" ht="12" x14ac:dyDescent="0.2">
      <c r="B54" s="338" t="s">
        <v>85</v>
      </c>
      <c r="C54" s="202"/>
      <c r="D54" s="232">
        <v>5567.86</v>
      </c>
      <c r="E54" s="35"/>
      <c r="F54" s="345">
        <v>4257.8599999999997</v>
      </c>
      <c r="G54" s="272"/>
      <c r="H54" s="534">
        <v>7163.37</v>
      </c>
      <c r="I54" s="254"/>
      <c r="J54" s="542">
        <v>10514.21</v>
      </c>
      <c r="K54" s="559"/>
      <c r="L54" s="555">
        <v>39298.75</v>
      </c>
      <c r="M54" s="559"/>
      <c r="N54" s="546">
        <v>34366</v>
      </c>
      <c r="O54" s="553"/>
      <c r="P54" s="546">
        <v>36837</v>
      </c>
      <c r="Q54" s="553"/>
      <c r="R54" s="546">
        <v>42938</v>
      </c>
      <c r="S54" s="553"/>
      <c r="T54" s="546">
        <v>36376.400000000001</v>
      </c>
      <c r="U54" s="553"/>
      <c r="V54" s="546">
        <v>19991.54</v>
      </c>
      <c r="W54" s="553"/>
      <c r="X54" s="546">
        <v>73507.850000000006</v>
      </c>
      <c r="Y54" s="553"/>
      <c r="Z54" s="1577"/>
      <c r="AB54" s="1038"/>
      <c r="AC54" s="949">
        <f>AVERAGE(X54,V54,R54,T54,P54)</f>
        <v>41930.158000000003</v>
      </c>
    </row>
    <row r="55" spans="1:29" s="3" customFormat="1" thickBot="1" x14ac:dyDescent="0.25">
      <c r="B55" s="339" t="s">
        <v>86</v>
      </c>
      <c r="C55" s="204"/>
      <c r="D55" s="211">
        <v>0</v>
      </c>
      <c r="E55" s="37"/>
      <c r="F55" s="324">
        <v>0</v>
      </c>
      <c r="G55" s="274"/>
      <c r="H55" s="485">
        <v>0</v>
      </c>
      <c r="I55" s="260"/>
      <c r="J55" s="455">
        <v>0</v>
      </c>
      <c r="K55" s="274"/>
      <c r="L55" s="455">
        <v>0</v>
      </c>
      <c r="M55" s="274"/>
      <c r="N55" s="485">
        <v>0</v>
      </c>
      <c r="O55" s="260"/>
      <c r="P55" s="485">
        <v>0</v>
      </c>
      <c r="Q55" s="260"/>
      <c r="R55" s="485">
        <v>0</v>
      </c>
      <c r="S55" s="260"/>
      <c r="T55" s="485">
        <v>0</v>
      </c>
      <c r="U55" s="260"/>
      <c r="V55" s="485">
        <v>0</v>
      </c>
      <c r="W55" s="260"/>
      <c r="X55" s="485">
        <v>0</v>
      </c>
      <c r="Y55" s="260"/>
      <c r="Z55" s="1578"/>
      <c r="AB55" s="1015"/>
      <c r="AC55" s="1024">
        <f t="shared" ref="AC55" si="5">AVERAGE(X55,V55,R55,T55,P55)</f>
        <v>0</v>
      </c>
    </row>
    <row r="56" spans="1:29" ht="13.5" thickTop="1" x14ac:dyDescent="0.2">
      <c r="A56" s="3"/>
      <c r="B56" s="96"/>
      <c r="C56" s="97"/>
      <c r="D56" s="98"/>
      <c r="E56" s="97"/>
      <c r="F56" s="34"/>
      <c r="G56" s="157"/>
      <c r="H56" s="135"/>
      <c r="I56" s="157"/>
      <c r="J56" s="135"/>
      <c r="K56" s="157"/>
      <c r="L56" s="135"/>
      <c r="M56" s="157"/>
      <c r="N56" s="135"/>
      <c r="O56" s="157"/>
      <c r="P56" s="135"/>
      <c r="Q56" s="157"/>
      <c r="R56" s="135"/>
      <c r="S56" s="157"/>
      <c r="T56" s="135"/>
      <c r="U56" s="157"/>
      <c r="V56" s="135"/>
      <c r="W56" s="157"/>
      <c r="X56" s="135"/>
      <c r="Y56" s="157"/>
      <c r="Z56" s="135"/>
    </row>
    <row r="57" spans="1:29" x14ac:dyDescent="0.2">
      <c r="A57" s="2" t="s">
        <v>76</v>
      </c>
      <c r="B57" s="96"/>
      <c r="C57" s="97"/>
      <c r="D57" s="98"/>
      <c r="E57" s="97"/>
      <c r="F57" s="34"/>
      <c r="G57" s="157"/>
      <c r="H57" s="135"/>
      <c r="I57" s="157"/>
      <c r="J57" s="135"/>
      <c r="K57" s="157"/>
      <c r="L57" s="135"/>
      <c r="M57" s="157"/>
      <c r="N57" s="135"/>
      <c r="O57" s="157"/>
      <c r="P57" s="135"/>
      <c r="Q57" s="157"/>
      <c r="R57" s="135"/>
      <c r="S57" s="157"/>
      <c r="T57" s="135"/>
      <c r="U57" s="157"/>
      <c r="V57" s="135"/>
      <c r="W57" s="157"/>
      <c r="X57" s="135"/>
      <c r="Y57" s="157"/>
      <c r="Z57" s="135"/>
    </row>
    <row r="58" spans="1:29" ht="13.5" thickBot="1" x14ac:dyDescent="0.25">
      <c r="A58" s="3"/>
      <c r="B58" s="96"/>
      <c r="C58" s="97"/>
      <c r="D58" s="98"/>
      <c r="E58" s="97"/>
      <c r="F58" s="34"/>
      <c r="G58" s="157"/>
      <c r="H58" s="135"/>
      <c r="I58" s="157"/>
      <c r="J58" s="135"/>
      <c r="K58" s="157"/>
      <c r="L58" s="135"/>
      <c r="M58" s="157"/>
      <c r="N58" s="135"/>
      <c r="O58" s="157"/>
      <c r="P58" s="135"/>
      <c r="Q58" s="157"/>
      <c r="R58" s="135"/>
      <c r="S58" s="157"/>
      <c r="T58" s="135"/>
      <c r="U58" s="157"/>
      <c r="V58" s="135"/>
      <c r="W58" s="157"/>
      <c r="X58" s="135"/>
      <c r="Y58" s="157"/>
      <c r="Z58" s="135"/>
    </row>
    <row r="59" spans="1:29" s="3" customFormat="1" ht="14.25" customHeight="1" thickTop="1" thickBot="1" x14ac:dyDescent="0.25">
      <c r="B59" s="19"/>
      <c r="C59" s="2013" t="s">
        <v>49</v>
      </c>
      <c r="D59" s="2014"/>
      <c r="E59" s="2015" t="s">
        <v>50</v>
      </c>
      <c r="F59" s="2015"/>
      <c r="G59" s="2002" t="s">
        <v>141</v>
      </c>
      <c r="H59" s="1982"/>
      <c r="I59" s="2002" t="s">
        <v>152</v>
      </c>
      <c r="J59" s="1974"/>
      <c r="K59" s="2002" t="s">
        <v>154</v>
      </c>
      <c r="L59" s="1974"/>
      <c r="M59" s="2002" t="s">
        <v>171</v>
      </c>
      <c r="N59" s="1982"/>
      <c r="O59" s="1974" t="s">
        <v>227</v>
      </c>
      <c r="P59" s="1982"/>
      <c r="Q59" s="1974" t="s">
        <v>237</v>
      </c>
      <c r="R59" s="1982"/>
      <c r="S59" s="1974" t="s">
        <v>272</v>
      </c>
      <c r="T59" s="1982"/>
      <c r="U59" s="1974" t="s">
        <v>274</v>
      </c>
      <c r="V59" s="1982"/>
      <c r="W59" s="1974" t="s">
        <v>280</v>
      </c>
      <c r="X59" s="1982"/>
      <c r="Y59" s="1974" t="s">
        <v>290</v>
      </c>
      <c r="Z59" s="1975"/>
      <c r="AB59" s="2003" t="s">
        <v>213</v>
      </c>
      <c r="AC59" s="2004"/>
    </row>
    <row r="60" spans="1:29" s="3" customFormat="1" ht="12" x14ac:dyDescent="0.2">
      <c r="B60" s="81" t="s">
        <v>53</v>
      </c>
      <c r="C60" s="54"/>
      <c r="D60" s="92"/>
      <c r="E60" s="30"/>
      <c r="F60" s="30"/>
      <c r="G60" s="243"/>
      <c r="H60" s="244"/>
      <c r="I60" s="138"/>
      <c r="J60" s="138"/>
      <c r="K60" s="243"/>
      <c r="L60" s="138"/>
      <c r="M60" s="243"/>
      <c r="N60" s="244"/>
      <c r="O60" s="138"/>
      <c r="P60" s="244"/>
      <c r="Q60" s="138"/>
      <c r="R60" s="244"/>
      <c r="S60" s="138"/>
      <c r="T60" s="244"/>
      <c r="U60" s="138"/>
      <c r="V60" s="244"/>
      <c r="W60" s="138"/>
      <c r="X60" s="244"/>
      <c r="Y60" s="138"/>
      <c r="Z60" s="140"/>
      <c r="AB60" s="831"/>
      <c r="AC60" s="930"/>
    </row>
    <row r="61" spans="1:29" s="3" customFormat="1" ht="12" x14ac:dyDescent="0.2">
      <c r="B61" s="74" t="s">
        <v>54</v>
      </c>
      <c r="C61" s="184"/>
      <c r="D61" s="165"/>
      <c r="E61" s="31"/>
      <c r="F61" s="171"/>
      <c r="G61" s="239"/>
      <c r="H61" s="261"/>
      <c r="I61" s="139"/>
      <c r="J61" s="183"/>
      <c r="K61" s="239"/>
      <c r="L61" s="183"/>
      <c r="M61" s="239"/>
      <c r="N61" s="261"/>
      <c r="O61" s="139"/>
      <c r="P61" s="261"/>
      <c r="Q61" s="139"/>
      <c r="R61" s="261"/>
      <c r="S61" s="139"/>
      <c r="T61" s="261"/>
      <c r="U61" s="139"/>
      <c r="V61" s="261"/>
      <c r="W61" s="139"/>
      <c r="X61" s="261"/>
      <c r="Y61" s="139"/>
      <c r="Z61" s="142"/>
      <c r="AB61" s="24"/>
      <c r="AC61" s="579"/>
    </row>
    <row r="62" spans="1:29" s="3" customFormat="1" ht="12" x14ac:dyDescent="0.2">
      <c r="B62" s="75" t="s">
        <v>55</v>
      </c>
      <c r="C62" s="184"/>
      <c r="D62" s="165">
        <f>8+3</f>
        <v>11</v>
      </c>
      <c r="E62" s="31"/>
      <c r="F62" s="171">
        <v>15</v>
      </c>
      <c r="G62" s="239"/>
      <c r="H62" s="261">
        <v>14</v>
      </c>
      <c r="I62" s="139"/>
      <c r="J62" s="183">
        <v>13</v>
      </c>
      <c r="K62" s="239"/>
      <c r="L62" s="183">
        <v>14</v>
      </c>
      <c r="M62" s="239"/>
      <c r="N62" s="261">
        <v>14</v>
      </c>
      <c r="O62" s="139"/>
      <c r="P62" s="261">
        <v>14</v>
      </c>
      <c r="Q62" s="139"/>
      <c r="R62" s="261">
        <v>14</v>
      </c>
      <c r="S62" s="139"/>
      <c r="T62" s="261">
        <v>14</v>
      </c>
      <c r="U62" s="139"/>
      <c r="V62" s="261">
        <v>14</v>
      </c>
      <c r="W62" s="139"/>
      <c r="X62" s="261">
        <v>16</v>
      </c>
      <c r="Y62" s="139"/>
      <c r="Z62" s="142">
        <v>14</v>
      </c>
      <c r="AB62" s="12"/>
      <c r="AC62" s="1113">
        <f>AVERAGE(X62,V62,R62,T62,Z62)</f>
        <v>14.4</v>
      </c>
    </row>
    <row r="63" spans="1:29" s="3" customFormat="1" ht="12" x14ac:dyDescent="0.2">
      <c r="B63" s="75" t="s">
        <v>181</v>
      </c>
      <c r="C63" s="184"/>
      <c r="D63" s="165">
        <v>0</v>
      </c>
      <c r="E63" s="31"/>
      <c r="F63" s="171">
        <v>1</v>
      </c>
      <c r="G63" s="239"/>
      <c r="H63" s="261">
        <v>1</v>
      </c>
      <c r="I63" s="139"/>
      <c r="J63" s="183">
        <v>1</v>
      </c>
      <c r="K63" s="239"/>
      <c r="L63" s="183">
        <v>1</v>
      </c>
      <c r="M63" s="239"/>
      <c r="N63" s="261">
        <v>2</v>
      </c>
      <c r="O63" s="139"/>
      <c r="P63" s="261">
        <v>3</v>
      </c>
      <c r="Q63" s="139"/>
      <c r="R63" s="261">
        <v>3</v>
      </c>
      <c r="S63" s="139"/>
      <c r="T63" s="261">
        <v>1</v>
      </c>
      <c r="U63" s="139"/>
      <c r="V63" s="261">
        <v>3</v>
      </c>
      <c r="W63" s="139"/>
      <c r="X63" s="261">
        <v>2</v>
      </c>
      <c r="Y63" s="139"/>
      <c r="Z63" s="142">
        <v>6</v>
      </c>
      <c r="AB63" s="12"/>
      <c r="AC63" s="1113">
        <f t="shared" ref="AC63:AC67" si="6">AVERAGE(X63,V63,R63,T63,Z63)</f>
        <v>3</v>
      </c>
    </row>
    <row r="64" spans="1:29" s="3" customFormat="1" ht="12" x14ac:dyDescent="0.2">
      <c r="B64" s="74" t="s">
        <v>57</v>
      </c>
      <c r="C64" s="184"/>
      <c r="D64" s="94"/>
      <c r="E64" s="31"/>
      <c r="F64" s="39"/>
      <c r="G64" s="239"/>
      <c r="H64" s="240"/>
      <c r="I64" s="139"/>
      <c r="J64" s="241"/>
      <c r="K64" s="239"/>
      <c r="L64" s="241"/>
      <c r="M64" s="239"/>
      <c r="N64" s="240"/>
      <c r="O64" s="139"/>
      <c r="P64" s="240"/>
      <c r="Q64" s="139"/>
      <c r="R64" s="240"/>
      <c r="S64" s="139"/>
      <c r="T64" s="240"/>
      <c r="U64" s="139"/>
      <c r="V64" s="240"/>
      <c r="W64" s="139"/>
      <c r="X64" s="240"/>
      <c r="Y64" s="139"/>
      <c r="Z64" s="143"/>
      <c r="AB64" s="12"/>
      <c r="AC64" s="1113"/>
    </row>
    <row r="65" spans="2:29" s="3" customFormat="1" ht="12" x14ac:dyDescent="0.2">
      <c r="B65" s="75" t="s">
        <v>55</v>
      </c>
      <c r="C65" s="184"/>
      <c r="D65" s="94">
        <v>0</v>
      </c>
      <c r="E65" s="31"/>
      <c r="F65" s="39">
        <v>1</v>
      </c>
      <c r="G65" s="239"/>
      <c r="H65" s="240">
        <v>2</v>
      </c>
      <c r="I65" s="139"/>
      <c r="J65" s="241">
        <v>1</v>
      </c>
      <c r="K65" s="239"/>
      <c r="L65" s="241">
        <v>1</v>
      </c>
      <c r="M65" s="239"/>
      <c r="N65" s="240">
        <v>1</v>
      </c>
      <c r="O65" s="139"/>
      <c r="P65" s="240">
        <v>1</v>
      </c>
      <c r="Q65" s="139"/>
      <c r="R65" s="240">
        <v>1</v>
      </c>
      <c r="S65" s="139"/>
      <c r="T65" s="240">
        <v>3</v>
      </c>
      <c r="U65" s="139"/>
      <c r="V65" s="240">
        <v>2</v>
      </c>
      <c r="W65" s="139"/>
      <c r="X65" s="240">
        <v>1</v>
      </c>
      <c r="Y65" s="139"/>
      <c r="Z65" s="143">
        <v>2</v>
      </c>
      <c r="AB65" s="12"/>
      <c r="AC65" s="1113">
        <f t="shared" si="6"/>
        <v>1.8</v>
      </c>
    </row>
    <row r="66" spans="2:29" s="3" customFormat="1" ht="12" x14ac:dyDescent="0.2">
      <c r="B66" s="341" t="s">
        <v>181</v>
      </c>
      <c r="C66" s="184"/>
      <c r="D66" s="94">
        <v>0</v>
      </c>
      <c r="E66" s="31"/>
      <c r="F66" s="39">
        <v>0</v>
      </c>
      <c r="G66" s="239"/>
      <c r="H66" s="240">
        <v>0</v>
      </c>
      <c r="I66" s="139"/>
      <c r="J66" s="241">
        <v>0</v>
      </c>
      <c r="K66" s="239"/>
      <c r="L66" s="241">
        <v>0</v>
      </c>
      <c r="M66" s="239"/>
      <c r="N66" s="240">
        <v>0</v>
      </c>
      <c r="O66" s="139"/>
      <c r="P66" s="240">
        <v>0</v>
      </c>
      <c r="Q66" s="139"/>
      <c r="R66" s="240">
        <v>0</v>
      </c>
      <c r="S66" s="139"/>
      <c r="T66" s="240">
        <v>0</v>
      </c>
      <c r="U66" s="139"/>
      <c r="V66" s="240">
        <v>0</v>
      </c>
      <c r="W66" s="139"/>
      <c r="X66" s="240">
        <v>0</v>
      </c>
      <c r="Y66" s="139"/>
      <c r="Z66" s="143">
        <v>0</v>
      </c>
      <c r="AB66" s="12"/>
      <c r="AC66" s="1113">
        <f t="shared" si="6"/>
        <v>0</v>
      </c>
    </row>
    <row r="67" spans="2:29" s="3" customFormat="1" thickBot="1" x14ac:dyDescent="0.25">
      <c r="B67" s="79" t="s">
        <v>13</v>
      </c>
      <c r="C67" s="233"/>
      <c r="D67" s="234">
        <f>SUM(D62:D66)</f>
        <v>11</v>
      </c>
      <c r="E67" s="107"/>
      <c r="F67" s="106">
        <f>SUM(F62:F66)</f>
        <v>17</v>
      </c>
      <c r="G67" s="297"/>
      <c r="H67" s="427">
        <v>17</v>
      </c>
      <c r="I67" s="426"/>
      <c r="J67" s="454">
        <f>SUM(J62:J66)</f>
        <v>15</v>
      </c>
      <c r="K67" s="297"/>
      <c r="L67" s="454">
        <f>SUM(L62:L66)</f>
        <v>16</v>
      </c>
      <c r="M67" s="297"/>
      <c r="N67" s="427">
        <f>SUM(N62:N66)</f>
        <v>17</v>
      </c>
      <c r="O67" s="426"/>
      <c r="P67" s="427">
        <f>SUM(P62:P66)</f>
        <v>18</v>
      </c>
      <c r="Q67" s="426"/>
      <c r="R67" s="427">
        <f>SUM(R62:R66)</f>
        <v>18</v>
      </c>
      <c r="S67" s="426"/>
      <c r="T67" s="427">
        <f>SUM(T62:T66)</f>
        <v>18</v>
      </c>
      <c r="U67" s="426"/>
      <c r="V67" s="427">
        <f>SUM(V62:V66)</f>
        <v>19</v>
      </c>
      <c r="W67" s="426"/>
      <c r="X67" s="427">
        <f>SUM(X62:X66)</f>
        <v>19</v>
      </c>
      <c r="Y67" s="426"/>
      <c r="Z67" s="374">
        <f>SUM(Z62:Z66)</f>
        <v>22</v>
      </c>
      <c r="AB67" s="831"/>
      <c r="AC67" s="1114">
        <f t="shared" si="6"/>
        <v>19.2</v>
      </c>
    </row>
    <row r="68" spans="2:29" s="3" customFormat="1" thickTop="1" x14ac:dyDescent="0.2">
      <c r="B68" s="342" t="s">
        <v>135</v>
      </c>
      <c r="C68" s="392"/>
      <c r="D68" s="393"/>
      <c r="E68" s="43" t="s">
        <v>133</v>
      </c>
      <c r="F68" s="41" t="s">
        <v>134</v>
      </c>
      <c r="G68" s="317" t="s">
        <v>133</v>
      </c>
      <c r="H68" s="412" t="s">
        <v>134</v>
      </c>
      <c r="I68" s="411" t="s">
        <v>133</v>
      </c>
      <c r="J68" s="449" t="s">
        <v>134</v>
      </c>
      <c r="K68" s="317" t="s">
        <v>133</v>
      </c>
      <c r="L68" s="449" t="s">
        <v>134</v>
      </c>
      <c r="M68" s="317" t="s">
        <v>133</v>
      </c>
      <c r="N68" s="441" t="s">
        <v>134</v>
      </c>
      <c r="O68" s="411" t="s">
        <v>133</v>
      </c>
      <c r="P68" s="412" t="s">
        <v>134</v>
      </c>
      <c r="Q68" s="411" t="s">
        <v>133</v>
      </c>
      <c r="R68" s="412" t="s">
        <v>134</v>
      </c>
      <c r="S68" s="411" t="s">
        <v>133</v>
      </c>
      <c r="T68" s="412" t="s">
        <v>134</v>
      </c>
      <c r="U68" s="411" t="s">
        <v>133</v>
      </c>
      <c r="V68" s="412" t="s">
        <v>134</v>
      </c>
      <c r="W68" s="411" t="s">
        <v>133</v>
      </c>
      <c r="X68" s="412" t="s">
        <v>134</v>
      </c>
      <c r="Y68" s="411" t="s">
        <v>133</v>
      </c>
      <c r="Z68" s="289" t="s">
        <v>134</v>
      </c>
      <c r="AA68" s="955"/>
      <c r="AB68" s="952" t="s">
        <v>133</v>
      </c>
      <c r="AC68" s="862" t="s">
        <v>134</v>
      </c>
    </row>
    <row r="69" spans="2:29" s="3" customFormat="1" ht="12" x14ac:dyDescent="0.2">
      <c r="B69" s="75" t="s">
        <v>87</v>
      </c>
      <c r="C69" s="319">
        <v>11</v>
      </c>
      <c r="D69" s="216">
        <f>C69/D$67</f>
        <v>1</v>
      </c>
      <c r="E69" s="173">
        <v>14</v>
      </c>
      <c r="F69" s="221">
        <f t="shared" ref="F69:H76" si="7">E69/F$67</f>
        <v>0.82352941176470584</v>
      </c>
      <c r="G69" s="215">
        <v>17</v>
      </c>
      <c r="H69" s="216">
        <f t="shared" si="7"/>
        <v>1</v>
      </c>
      <c r="I69" s="173">
        <v>15</v>
      </c>
      <c r="J69" s="221">
        <f t="shared" ref="J69:L76" si="8">I69/J$67</f>
        <v>1</v>
      </c>
      <c r="K69" s="215">
        <v>15</v>
      </c>
      <c r="L69" s="221">
        <f t="shared" si="8"/>
        <v>0.9375</v>
      </c>
      <c r="M69" s="215">
        <f>14+2</f>
        <v>16</v>
      </c>
      <c r="N69" s="216">
        <f t="shared" ref="N69:T76" si="9">M69/N$67</f>
        <v>0.94117647058823528</v>
      </c>
      <c r="O69" s="173">
        <v>17</v>
      </c>
      <c r="P69" s="216">
        <f t="shared" si="9"/>
        <v>0.94444444444444442</v>
      </c>
      <c r="Q69" s="173">
        <v>17</v>
      </c>
      <c r="R69" s="216">
        <f t="shared" si="9"/>
        <v>0.94444444444444442</v>
      </c>
      <c r="S69" s="173">
        <f>3+14</f>
        <v>17</v>
      </c>
      <c r="T69" s="216">
        <f t="shared" si="9"/>
        <v>0.94444444444444442</v>
      </c>
      <c r="U69" s="173">
        <v>17</v>
      </c>
      <c r="V69" s="216">
        <f t="shared" ref="V69:V76" si="10">U69/V$67</f>
        <v>0.89473684210526316</v>
      </c>
      <c r="W69" s="173">
        <f>2+15</f>
        <v>17</v>
      </c>
      <c r="X69" s="216">
        <f t="shared" ref="X69:Z76" si="11">W69/X$67</f>
        <v>0.89473684210526316</v>
      </c>
      <c r="Y69" s="173">
        <v>20</v>
      </c>
      <c r="Z69" s="1494">
        <f t="shared" si="11"/>
        <v>0.90909090909090906</v>
      </c>
      <c r="AA69" s="955"/>
      <c r="AB69" s="1016">
        <f t="shared" ref="AB69:AB88" si="12">AVERAGE(W69,U69,Q69,S69,Y69)</f>
        <v>17.600000000000001</v>
      </c>
      <c r="AC69" s="863">
        <f t="shared" ref="AC69:AC88" si="13">AVERAGE(X69,V69,R69,T69,Z69)</f>
        <v>0.9174906964380648</v>
      </c>
    </row>
    <row r="70" spans="2:29" s="3" customFormat="1" ht="12" x14ac:dyDescent="0.2">
      <c r="B70" s="85" t="s">
        <v>88</v>
      </c>
      <c r="C70" s="319">
        <v>0</v>
      </c>
      <c r="D70" s="216">
        <f t="shared" ref="D70:D88" si="14">C70/$D$67</f>
        <v>0</v>
      </c>
      <c r="E70" s="173">
        <v>0</v>
      </c>
      <c r="F70" s="221">
        <f t="shared" si="7"/>
        <v>0</v>
      </c>
      <c r="G70" s="215">
        <v>0</v>
      </c>
      <c r="H70" s="216">
        <f t="shared" si="7"/>
        <v>0</v>
      </c>
      <c r="I70" s="173">
        <v>0</v>
      </c>
      <c r="J70" s="221">
        <f t="shared" si="8"/>
        <v>0</v>
      </c>
      <c r="K70" s="215">
        <v>0</v>
      </c>
      <c r="L70" s="221">
        <f t="shared" si="8"/>
        <v>0</v>
      </c>
      <c r="M70" s="215">
        <v>0</v>
      </c>
      <c r="N70" s="216">
        <f t="shared" si="9"/>
        <v>0</v>
      </c>
      <c r="O70" s="173">
        <v>0</v>
      </c>
      <c r="P70" s="216">
        <f t="shared" si="9"/>
        <v>0</v>
      </c>
      <c r="Q70" s="173">
        <v>0</v>
      </c>
      <c r="R70" s="216">
        <f t="shared" si="9"/>
        <v>0</v>
      </c>
      <c r="S70" s="173">
        <f>0</f>
        <v>0</v>
      </c>
      <c r="T70" s="216">
        <f t="shared" si="9"/>
        <v>0</v>
      </c>
      <c r="U70" s="173">
        <v>0</v>
      </c>
      <c r="V70" s="216">
        <f t="shared" si="10"/>
        <v>0</v>
      </c>
      <c r="W70" s="173">
        <v>2</v>
      </c>
      <c r="X70" s="216">
        <f t="shared" si="11"/>
        <v>0.10526315789473684</v>
      </c>
      <c r="Y70" s="173">
        <v>0</v>
      </c>
      <c r="Z70" s="1494">
        <f t="shared" si="11"/>
        <v>0</v>
      </c>
      <c r="AA70" s="955"/>
      <c r="AB70" s="1016">
        <f t="shared" si="12"/>
        <v>0.4</v>
      </c>
      <c r="AC70" s="863">
        <f t="shared" si="13"/>
        <v>2.1052631578947368E-2</v>
      </c>
    </row>
    <row r="71" spans="2:29" s="3" customFormat="1" ht="12" x14ac:dyDescent="0.2">
      <c r="B71" s="85" t="s">
        <v>89</v>
      </c>
      <c r="C71" s="319">
        <v>0</v>
      </c>
      <c r="D71" s="216">
        <f t="shared" si="14"/>
        <v>0</v>
      </c>
      <c r="E71" s="173">
        <v>0</v>
      </c>
      <c r="F71" s="221">
        <f t="shared" si="7"/>
        <v>0</v>
      </c>
      <c r="G71" s="215">
        <v>0</v>
      </c>
      <c r="H71" s="216">
        <f t="shared" si="7"/>
        <v>0</v>
      </c>
      <c r="I71" s="173">
        <v>0</v>
      </c>
      <c r="J71" s="221">
        <f t="shared" si="8"/>
        <v>0</v>
      </c>
      <c r="K71" s="215">
        <v>0</v>
      </c>
      <c r="L71" s="221">
        <f t="shared" si="8"/>
        <v>0</v>
      </c>
      <c r="M71" s="215">
        <v>1</v>
      </c>
      <c r="N71" s="216">
        <f t="shared" si="9"/>
        <v>5.8823529411764705E-2</v>
      </c>
      <c r="O71" s="173">
        <v>1</v>
      </c>
      <c r="P71" s="216">
        <f t="shared" si="9"/>
        <v>5.5555555555555552E-2</v>
      </c>
      <c r="Q71" s="173">
        <v>1</v>
      </c>
      <c r="R71" s="216">
        <f t="shared" si="9"/>
        <v>5.5555555555555552E-2</v>
      </c>
      <c r="S71" s="173">
        <f>1</f>
        <v>1</v>
      </c>
      <c r="T71" s="216">
        <f t="shared" si="9"/>
        <v>5.5555555555555552E-2</v>
      </c>
      <c r="U71" s="173">
        <v>0</v>
      </c>
      <c r="V71" s="216">
        <f t="shared" si="10"/>
        <v>0</v>
      </c>
      <c r="W71" s="173">
        <v>0</v>
      </c>
      <c r="X71" s="216">
        <f t="shared" si="11"/>
        <v>0</v>
      </c>
      <c r="Y71" s="173">
        <v>0</v>
      </c>
      <c r="Z71" s="1494">
        <f t="shared" si="11"/>
        <v>0</v>
      </c>
      <c r="AA71" s="955"/>
      <c r="AB71" s="1016">
        <f t="shared" si="12"/>
        <v>0.4</v>
      </c>
      <c r="AC71" s="863">
        <f t="shared" si="13"/>
        <v>2.222222222222222E-2</v>
      </c>
    </row>
    <row r="72" spans="2:29" s="3" customFormat="1" ht="12" x14ac:dyDescent="0.2">
      <c r="B72" s="85" t="s">
        <v>90</v>
      </c>
      <c r="C72" s="319">
        <v>0</v>
      </c>
      <c r="D72" s="216">
        <f t="shared" si="14"/>
        <v>0</v>
      </c>
      <c r="E72" s="173">
        <v>0</v>
      </c>
      <c r="F72" s="221">
        <f t="shared" si="7"/>
        <v>0</v>
      </c>
      <c r="G72" s="215">
        <v>0</v>
      </c>
      <c r="H72" s="216">
        <f t="shared" si="7"/>
        <v>0</v>
      </c>
      <c r="I72" s="173">
        <v>0</v>
      </c>
      <c r="J72" s="221">
        <f t="shared" si="8"/>
        <v>0</v>
      </c>
      <c r="K72" s="215">
        <v>0</v>
      </c>
      <c r="L72" s="221">
        <f t="shared" si="8"/>
        <v>0</v>
      </c>
      <c r="M72" s="215">
        <v>0</v>
      </c>
      <c r="N72" s="216">
        <f t="shared" si="9"/>
        <v>0</v>
      </c>
      <c r="O72" s="173">
        <v>0</v>
      </c>
      <c r="P72" s="216">
        <f t="shared" si="9"/>
        <v>0</v>
      </c>
      <c r="Q72" s="173">
        <v>0</v>
      </c>
      <c r="R72" s="216">
        <f t="shared" si="9"/>
        <v>0</v>
      </c>
      <c r="S72" s="173">
        <f>0</f>
        <v>0</v>
      </c>
      <c r="T72" s="216">
        <f t="shared" si="9"/>
        <v>0</v>
      </c>
      <c r="U72" s="173">
        <v>0</v>
      </c>
      <c r="V72" s="216">
        <f t="shared" si="10"/>
        <v>0</v>
      </c>
      <c r="W72" s="173">
        <v>0</v>
      </c>
      <c r="X72" s="216">
        <f t="shared" si="11"/>
        <v>0</v>
      </c>
      <c r="Y72" s="173">
        <v>0</v>
      </c>
      <c r="Z72" s="1494">
        <f t="shared" si="11"/>
        <v>0</v>
      </c>
      <c r="AA72" s="955"/>
      <c r="AB72" s="1016">
        <f t="shared" si="12"/>
        <v>0</v>
      </c>
      <c r="AC72" s="863">
        <f t="shared" si="13"/>
        <v>0</v>
      </c>
    </row>
    <row r="73" spans="2:29" s="3" customFormat="1" ht="12" x14ac:dyDescent="0.2">
      <c r="B73" s="85" t="s">
        <v>91</v>
      </c>
      <c r="C73" s="319">
        <v>0</v>
      </c>
      <c r="D73" s="216">
        <f t="shared" si="14"/>
        <v>0</v>
      </c>
      <c r="E73" s="173">
        <v>0</v>
      </c>
      <c r="F73" s="221">
        <f t="shared" si="7"/>
        <v>0</v>
      </c>
      <c r="G73" s="215">
        <v>0</v>
      </c>
      <c r="H73" s="216">
        <f t="shared" si="7"/>
        <v>0</v>
      </c>
      <c r="I73" s="173">
        <v>0</v>
      </c>
      <c r="J73" s="221">
        <f t="shared" si="8"/>
        <v>0</v>
      </c>
      <c r="K73" s="215">
        <v>1</v>
      </c>
      <c r="L73" s="221">
        <f t="shared" si="8"/>
        <v>6.25E-2</v>
      </c>
      <c r="M73" s="215">
        <v>0</v>
      </c>
      <c r="N73" s="216">
        <f t="shared" si="9"/>
        <v>0</v>
      </c>
      <c r="O73" s="173">
        <v>0</v>
      </c>
      <c r="P73" s="216">
        <f t="shared" si="9"/>
        <v>0</v>
      </c>
      <c r="Q73" s="173">
        <v>0</v>
      </c>
      <c r="R73" s="216">
        <f t="shared" si="9"/>
        <v>0</v>
      </c>
      <c r="S73" s="173">
        <f>0</f>
        <v>0</v>
      </c>
      <c r="T73" s="216">
        <f t="shared" si="9"/>
        <v>0</v>
      </c>
      <c r="U73" s="173">
        <v>0</v>
      </c>
      <c r="V73" s="216">
        <f t="shared" si="10"/>
        <v>0</v>
      </c>
      <c r="W73" s="173">
        <v>0</v>
      </c>
      <c r="X73" s="216">
        <f t="shared" si="11"/>
        <v>0</v>
      </c>
      <c r="Y73" s="173">
        <v>1</v>
      </c>
      <c r="Z73" s="1494">
        <f t="shared" si="11"/>
        <v>4.5454545454545456E-2</v>
      </c>
      <c r="AA73" s="955"/>
      <c r="AB73" s="1016">
        <f t="shared" si="12"/>
        <v>0.2</v>
      </c>
      <c r="AC73" s="863">
        <f t="shared" si="13"/>
        <v>9.0909090909090905E-3</v>
      </c>
    </row>
    <row r="74" spans="2:29" s="3" customFormat="1" ht="12" x14ac:dyDescent="0.2">
      <c r="B74" s="85" t="s">
        <v>92</v>
      </c>
      <c r="C74" s="319">
        <v>0</v>
      </c>
      <c r="D74" s="216">
        <f t="shared" si="14"/>
        <v>0</v>
      </c>
      <c r="E74" s="173">
        <v>0</v>
      </c>
      <c r="F74" s="221">
        <f t="shared" si="7"/>
        <v>0</v>
      </c>
      <c r="G74" s="215">
        <v>0</v>
      </c>
      <c r="H74" s="216">
        <f t="shared" si="7"/>
        <v>0</v>
      </c>
      <c r="I74" s="173">
        <v>0</v>
      </c>
      <c r="J74" s="221">
        <f t="shared" si="8"/>
        <v>0</v>
      </c>
      <c r="K74" s="215">
        <v>0</v>
      </c>
      <c r="L74" s="221">
        <f t="shared" si="8"/>
        <v>0</v>
      </c>
      <c r="M74" s="215">
        <v>0</v>
      </c>
      <c r="N74" s="216">
        <f t="shared" si="9"/>
        <v>0</v>
      </c>
      <c r="O74" s="173">
        <v>0</v>
      </c>
      <c r="P74" s="216">
        <f t="shared" si="9"/>
        <v>0</v>
      </c>
      <c r="Q74" s="173">
        <v>0</v>
      </c>
      <c r="R74" s="216">
        <f t="shared" si="9"/>
        <v>0</v>
      </c>
      <c r="S74" s="173">
        <f>0</f>
        <v>0</v>
      </c>
      <c r="T74" s="216">
        <f t="shared" si="9"/>
        <v>0</v>
      </c>
      <c r="U74" s="173">
        <v>2</v>
      </c>
      <c r="V74" s="216">
        <f t="shared" si="10"/>
        <v>0.10526315789473684</v>
      </c>
      <c r="W74" s="173">
        <v>0</v>
      </c>
      <c r="X74" s="216">
        <f t="shared" si="11"/>
        <v>0</v>
      </c>
      <c r="Y74" s="173">
        <v>1</v>
      </c>
      <c r="Z74" s="1494">
        <f t="shared" si="11"/>
        <v>4.5454545454545456E-2</v>
      </c>
      <c r="AA74" s="955"/>
      <c r="AB74" s="1016">
        <f t="shared" si="12"/>
        <v>0.6</v>
      </c>
      <c r="AC74" s="863">
        <f t="shared" si="13"/>
        <v>3.0143540669856462E-2</v>
      </c>
    </row>
    <row r="75" spans="2:29" s="3" customFormat="1" ht="12" x14ac:dyDescent="0.2">
      <c r="B75" s="85" t="s">
        <v>256</v>
      </c>
      <c r="C75" s="346"/>
      <c r="D75" s="216"/>
      <c r="E75" s="174"/>
      <c r="F75" s="221"/>
      <c r="G75" s="1510"/>
      <c r="H75" s="1511"/>
      <c r="I75" s="1512"/>
      <c r="J75" s="1513"/>
      <c r="K75" s="1510"/>
      <c r="L75" s="1513"/>
      <c r="M75" s="1510"/>
      <c r="N75" s="1511"/>
      <c r="O75" s="1512"/>
      <c r="P75" s="1511"/>
      <c r="Q75" s="174">
        <v>0</v>
      </c>
      <c r="R75" s="216">
        <f t="shared" si="9"/>
        <v>0</v>
      </c>
      <c r="S75" s="174">
        <f>0</f>
        <v>0</v>
      </c>
      <c r="T75" s="216">
        <f t="shared" si="9"/>
        <v>0</v>
      </c>
      <c r="U75" s="174">
        <v>0</v>
      </c>
      <c r="V75" s="216">
        <f t="shared" si="10"/>
        <v>0</v>
      </c>
      <c r="W75" s="174">
        <v>0</v>
      </c>
      <c r="X75" s="216">
        <f t="shared" si="11"/>
        <v>0</v>
      </c>
      <c r="Y75" s="174">
        <v>0</v>
      </c>
      <c r="Z75" s="1494">
        <f t="shared" si="11"/>
        <v>0</v>
      </c>
      <c r="AA75" s="955"/>
      <c r="AB75" s="1016">
        <f t="shared" si="12"/>
        <v>0</v>
      </c>
      <c r="AC75" s="863">
        <f t="shared" si="13"/>
        <v>0</v>
      </c>
    </row>
    <row r="76" spans="2:29" s="3" customFormat="1" ht="12" x14ac:dyDescent="0.2">
      <c r="B76" s="85" t="s">
        <v>93</v>
      </c>
      <c r="C76" s="346">
        <v>0</v>
      </c>
      <c r="D76" s="216">
        <f t="shared" si="14"/>
        <v>0</v>
      </c>
      <c r="E76" s="174">
        <v>0</v>
      </c>
      <c r="F76" s="221">
        <f t="shared" si="7"/>
        <v>0</v>
      </c>
      <c r="G76" s="217">
        <v>0</v>
      </c>
      <c r="H76" s="216">
        <f t="shared" si="7"/>
        <v>0</v>
      </c>
      <c r="I76" s="174">
        <v>0</v>
      </c>
      <c r="J76" s="221">
        <f t="shared" si="8"/>
        <v>0</v>
      </c>
      <c r="K76" s="217">
        <v>0</v>
      </c>
      <c r="L76" s="221">
        <f t="shared" si="8"/>
        <v>0</v>
      </c>
      <c r="M76" s="217">
        <v>0</v>
      </c>
      <c r="N76" s="216">
        <f t="shared" si="9"/>
        <v>0</v>
      </c>
      <c r="O76" s="174">
        <v>0</v>
      </c>
      <c r="P76" s="216">
        <f t="shared" si="9"/>
        <v>0</v>
      </c>
      <c r="Q76" s="174">
        <v>0</v>
      </c>
      <c r="R76" s="216">
        <f t="shared" si="9"/>
        <v>0</v>
      </c>
      <c r="S76" s="174">
        <f>0</f>
        <v>0</v>
      </c>
      <c r="T76" s="216">
        <f t="shared" si="9"/>
        <v>0</v>
      </c>
      <c r="U76" s="174">
        <v>0</v>
      </c>
      <c r="V76" s="216">
        <f t="shared" si="10"/>
        <v>0</v>
      </c>
      <c r="W76" s="174">
        <v>0</v>
      </c>
      <c r="X76" s="216">
        <f t="shared" si="11"/>
        <v>0</v>
      </c>
      <c r="Y76" s="174">
        <v>0</v>
      </c>
      <c r="Z76" s="1494">
        <f t="shared" si="11"/>
        <v>0</v>
      </c>
      <c r="AA76" s="955"/>
      <c r="AB76" s="1016">
        <f t="shared" si="12"/>
        <v>0</v>
      </c>
      <c r="AC76" s="863">
        <f t="shared" si="13"/>
        <v>0</v>
      </c>
    </row>
    <row r="77" spans="2:29" s="3" customFormat="1" ht="12" x14ac:dyDescent="0.2">
      <c r="B77" s="343" t="s">
        <v>136</v>
      </c>
      <c r="C77" s="218"/>
      <c r="D77" s="216"/>
      <c r="E77" s="226"/>
      <c r="F77" s="310"/>
      <c r="G77" s="326"/>
      <c r="H77" s="394"/>
      <c r="I77" s="226"/>
      <c r="J77" s="310"/>
      <c r="K77" s="326"/>
      <c r="L77" s="310"/>
      <c r="M77" s="326"/>
      <c r="N77" s="394"/>
      <c r="O77" s="226"/>
      <c r="P77" s="394"/>
      <c r="Q77" s="226"/>
      <c r="R77" s="394"/>
      <c r="S77" s="226"/>
      <c r="T77" s="394"/>
      <c r="U77" s="226"/>
      <c r="V77" s="394"/>
      <c r="W77" s="226"/>
      <c r="X77" s="394"/>
      <c r="Y77" s="226"/>
      <c r="Z77" s="1500"/>
      <c r="AA77" s="955"/>
      <c r="AB77" s="1016"/>
      <c r="AC77" s="863"/>
    </row>
    <row r="78" spans="2:29" s="3" customFormat="1" ht="12" x14ac:dyDescent="0.2">
      <c r="B78" s="75" t="s">
        <v>124</v>
      </c>
      <c r="C78" s="230">
        <v>9</v>
      </c>
      <c r="D78" s="216">
        <f t="shared" si="14"/>
        <v>0.81818181818181823</v>
      </c>
      <c r="E78" s="183">
        <v>12</v>
      </c>
      <c r="F78" s="311">
        <f>E78/F$67</f>
        <v>0.70588235294117652</v>
      </c>
      <c r="G78" s="229">
        <v>13</v>
      </c>
      <c r="H78" s="395">
        <f>G78/H$67</f>
        <v>0.76470588235294112</v>
      </c>
      <c r="I78" s="183">
        <v>12</v>
      </c>
      <c r="J78" s="221">
        <f>I78/J$67</f>
        <v>0.8</v>
      </c>
      <c r="K78" s="229">
        <v>12</v>
      </c>
      <c r="L78" s="221">
        <f>K78/L$67</f>
        <v>0.75</v>
      </c>
      <c r="M78" s="229">
        <f>11+1</f>
        <v>12</v>
      </c>
      <c r="N78" s="216">
        <f>M78/N$67</f>
        <v>0.70588235294117652</v>
      </c>
      <c r="O78" s="183">
        <v>12</v>
      </c>
      <c r="P78" s="216">
        <f>O78/P$67</f>
        <v>0.66666666666666663</v>
      </c>
      <c r="Q78" s="183">
        <v>12</v>
      </c>
      <c r="R78" s="216">
        <f>Q78/R$67</f>
        <v>0.66666666666666663</v>
      </c>
      <c r="S78" s="183">
        <f>2+10</f>
        <v>12</v>
      </c>
      <c r="T78" s="216">
        <f>S78/T$67</f>
        <v>0.66666666666666663</v>
      </c>
      <c r="U78" s="183">
        <v>11</v>
      </c>
      <c r="V78" s="216">
        <f>U78/V$67</f>
        <v>0.57894736842105265</v>
      </c>
      <c r="W78" s="183">
        <f>1+12</f>
        <v>13</v>
      </c>
      <c r="X78" s="216">
        <f>W78/X$67</f>
        <v>0.68421052631578949</v>
      </c>
      <c r="Y78" s="183">
        <v>14</v>
      </c>
      <c r="Z78" s="1494">
        <f>Y78/Z$67</f>
        <v>0.63636363636363635</v>
      </c>
      <c r="AA78" s="955"/>
      <c r="AB78" s="1016">
        <f t="shared" si="12"/>
        <v>12.4</v>
      </c>
      <c r="AC78" s="863">
        <f t="shared" si="13"/>
        <v>0.64657097288676224</v>
      </c>
    </row>
    <row r="79" spans="2:29" s="3" customFormat="1" ht="12" x14ac:dyDescent="0.2">
      <c r="B79" s="75" t="s">
        <v>125</v>
      </c>
      <c r="C79" s="230">
        <v>2</v>
      </c>
      <c r="D79" s="216">
        <f t="shared" si="14"/>
        <v>0.18181818181818182</v>
      </c>
      <c r="E79" s="283">
        <v>2</v>
      </c>
      <c r="F79" s="311">
        <f>E79/F$67</f>
        <v>0.11764705882352941</v>
      </c>
      <c r="G79" s="230">
        <v>4</v>
      </c>
      <c r="H79" s="395">
        <f>G79/H$67</f>
        <v>0.23529411764705882</v>
      </c>
      <c r="I79" s="283">
        <v>3</v>
      </c>
      <c r="J79" s="221">
        <f>I79/J$67</f>
        <v>0.2</v>
      </c>
      <c r="K79" s="230">
        <v>4</v>
      </c>
      <c r="L79" s="221">
        <f>K79/L$67</f>
        <v>0.25</v>
      </c>
      <c r="M79" s="230">
        <f>4+1</f>
        <v>5</v>
      </c>
      <c r="N79" s="216">
        <f>M79/N$67</f>
        <v>0.29411764705882354</v>
      </c>
      <c r="O79" s="283">
        <v>6</v>
      </c>
      <c r="P79" s="216">
        <f>O79/P$67</f>
        <v>0.33333333333333331</v>
      </c>
      <c r="Q79" s="283">
        <v>6</v>
      </c>
      <c r="R79" s="216">
        <f>Q79/R$67</f>
        <v>0.33333333333333331</v>
      </c>
      <c r="S79" s="283">
        <f>1+5</f>
        <v>6</v>
      </c>
      <c r="T79" s="216">
        <f>S79/T$67</f>
        <v>0.33333333333333331</v>
      </c>
      <c r="U79" s="283">
        <v>8</v>
      </c>
      <c r="V79" s="216">
        <f>U79/V$67</f>
        <v>0.42105263157894735</v>
      </c>
      <c r="W79" s="283">
        <f>1+5</f>
        <v>6</v>
      </c>
      <c r="X79" s="216">
        <f>W79/X$67</f>
        <v>0.31578947368421051</v>
      </c>
      <c r="Y79" s="283">
        <v>8</v>
      </c>
      <c r="Z79" s="1494">
        <f>Y79/Z$67</f>
        <v>0.36363636363636365</v>
      </c>
      <c r="AA79" s="955"/>
      <c r="AB79" s="1016">
        <f t="shared" si="12"/>
        <v>6.8</v>
      </c>
      <c r="AC79" s="863">
        <f t="shared" si="13"/>
        <v>0.35342902711323765</v>
      </c>
    </row>
    <row r="80" spans="2:29" s="3" customFormat="1" ht="12" x14ac:dyDescent="0.2">
      <c r="B80" s="343" t="s">
        <v>137</v>
      </c>
      <c r="C80" s="219"/>
      <c r="D80" s="216"/>
      <c r="E80" s="285"/>
      <c r="F80" s="311"/>
      <c r="G80" s="315"/>
      <c r="H80" s="395"/>
      <c r="I80" s="285"/>
      <c r="J80" s="221"/>
      <c r="K80" s="315"/>
      <c r="L80" s="221"/>
      <c r="M80" s="315"/>
      <c r="N80" s="216"/>
      <c r="O80" s="285"/>
      <c r="P80" s="216"/>
      <c r="Q80" s="285"/>
      <c r="R80" s="216"/>
      <c r="S80" s="285"/>
      <c r="T80" s="216"/>
      <c r="U80" s="285"/>
      <c r="V80" s="216"/>
      <c r="W80" s="285"/>
      <c r="X80" s="216"/>
      <c r="Y80" s="285"/>
      <c r="Z80" s="1494"/>
      <c r="AA80" s="955"/>
      <c r="AB80" s="1016"/>
      <c r="AC80" s="863"/>
    </row>
    <row r="81" spans="1:31" s="3" customFormat="1" ht="12" x14ac:dyDescent="0.2">
      <c r="B81" s="75" t="s">
        <v>126</v>
      </c>
      <c r="C81" s="224">
        <v>8</v>
      </c>
      <c r="D81" s="216">
        <f t="shared" si="14"/>
        <v>0.72727272727272729</v>
      </c>
      <c r="E81" s="283">
        <v>9</v>
      </c>
      <c r="F81" s="311">
        <f>E81/F$67</f>
        <v>0.52941176470588236</v>
      </c>
      <c r="G81" s="230">
        <v>10</v>
      </c>
      <c r="H81" s="395">
        <f>G81/H$67</f>
        <v>0.58823529411764708</v>
      </c>
      <c r="I81" s="283">
        <v>9</v>
      </c>
      <c r="J81" s="221">
        <f>I81/J$67</f>
        <v>0.6</v>
      </c>
      <c r="K81" s="230">
        <v>8</v>
      </c>
      <c r="L81" s="221">
        <f>K81/L$67</f>
        <v>0.5</v>
      </c>
      <c r="M81" s="230">
        <f>8+1</f>
        <v>9</v>
      </c>
      <c r="N81" s="216">
        <f>M81/N$67</f>
        <v>0.52941176470588236</v>
      </c>
      <c r="O81" s="283">
        <v>10</v>
      </c>
      <c r="P81" s="216">
        <f>O81/P$67</f>
        <v>0.55555555555555558</v>
      </c>
      <c r="Q81" s="283">
        <v>12</v>
      </c>
      <c r="R81" s="216">
        <f>Q81/R$67</f>
        <v>0.66666666666666663</v>
      </c>
      <c r="S81" s="283">
        <f>2+11</f>
        <v>13</v>
      </c>
      <c r="T81" s="216">
        <f>S81/T$67</f>
        <v>0.72222222222222221</v>
      </c>
      <c r="U81" s="283">
        <v>14</v>
      </c>
      <c r="V81" s="216">
        <f>U81/V$67</f>
        <v>0.73684210526315785</v>
      </c>
      <c r="W81" s="283">
        <f>1+12</f>
        <v>13</v>
      </c>
      <c r="X81" s="216">
        <f>W81/X$67</f>
        <v>0.68421052631578949</v>
      </c>
      <c r="Y81" s="283">
        <v>13</v>
      </c>
      <c r="Z81" s="1494">
        <f>Y81/Z$67</f>
        <v>0.59090909090909094</v>
      </c>
      <c r="AA81" s="955"/>
      <c r="AB81" s="1016">
        <f t="shared" si="12"/>
        <v>13</v>
      </c>
      <c r="AC81" s="863">
        <f t="shared" si="13"/>
        <v>0.68017012227538542</v>
      </c>
    </row>
    <row r="82" spans="1:31" s="3" customFormat="1" ht="12" x14ac:dyDescent="0.2">
      <c r="B82" s="75" t="s">
        <v>127</v>
      </c>
      <c r="C82" s="224">
        <v>3</v>
      </c>
      <c r="D82" s="216">
        <f t="shared" si="14"/>
        <v>0.27272727272727271</v>
      </c>
      <c r="E82" s="283">
        <v>4</v>
      </c>
      <c r="F82" s="311">
        <f>E82/F$67</f>
        <v>0.23529411764705882</v>
      </c>
      <c r="G82" s="230">
        <v>5</v>
      </c>
      <c r="H82" s="395">
        <f>G82/H$67</f>
        <v>0.29411764705882354</v>
      </c>
      <c r="I82" s="283">
        <v>4</v>
      </c>
      <c r="J82" s="221">
        <f>I82/J$67</f>
        <v>0.26666666666666666</v>
      </c>
      <c r="K82" s="230">
        <v>6</v>
      </c>
      <c r="L82" s="221">
        <f>K82/L$67</f>
        <v>0.375</v>
      </c>
      <c r="M82" s="230">
        <v>6</v>
      </c>
      <c r="N82" s="216">
        <f>M82/N$67</f>
        <v>0.35294117647058826</v>
      </c>
      <c r="O82" s="283">
        <v>6</v>
      </c>
      <c r="P82" s="216">
        <f>O82/P$67</f>
        <v>0.33333333333333331</v>
      </c>
      <c r="Q82" s="283">
        <v>4</v>
      </c>
      <c r="R82" s="216">
        <f>Q82/R$67</f>
        <v>0.22222222222222221</v>
      </c>
      <c r="S82" s="283">
        <f>3+0</f>
        <v>3</v>
      </c>
      <c r="T82" s="216">
        <f>S82/T$67</f>
        <v>0.16666666666666666</v>
      </c>
      <c r="U82" s="283">
        <v>2</v>
      </c>
      <c r="V82" s="216">
        <f>U82/V$67</f>
        <v>0.10526315789473684</v>
      </c>
      <c r="W82" s="283">
        <v>4</v>
      </c>
      <c r="X82" s="216">
        <f>W82/X$67</f>
        <v>0.21052631578947367</v>
      </c>
      <c r="Y82" s="283">
        <v>4</v>
      </c>
      <c r="Z82" s="1494">
        <f>Y82/Z$67</f>
        <v>0.18181818181818182</v>
      </c>
      <c r="AA82" s="955"/>
      <c r="AB82" s="1016">
        <f t="shared" si="12"/>
        <v>3.4</v>
      </c>
      <c r="AC82" s="863">
        <f t="shared" si="13"/>
        <v>0.17729930887825623</v>
      </c>
    </row>
    <row r="83" spans="1:31" s="3" customFormat="1" ht="12" x14ac:dyDescent="0.2">
      <c r="B83" s="75" t="s">
        <v>128</v>
      </c>
      <c r="C83" s="224">
        <v>0</v>
      </c>
      <c r="D83" s="216">
        <f t="shared" si="14"/>
        <v>0</v>
      </c>
      <c r="E83" s="283">
        <v>1</v>
      </c>
      <c r="F83" s="311">
        <f>E83/F$67</f>
        <v>5.8823529411764705E-2</v>
      </c>
      <c r="G83" s="230">
        <v>2</v>
      </c>
      <c r="H83" s="395">
        <f>G83/H$67</f>
        <v>0.11764705882352941</v>
      </c>
      <c r="I83" s="283">
        <v>2</v>
      </c>
      <c r="J83" s="221">
        <f>I83/J$67</f>
        <v>0.13333333333333333</v>
      </c>
      <c r="K83" s="230">
        <v>2</v>
      </c>
      <c r="L83" s="221">
        <f>K83/L$67</f>
        <v>0.125</v>
      </c>
      <c r="M83" s="230">
        <f>1+1</f>
        <v>2</v>
      </c>
      <c r="N83" s="216">
        <f>M83/N$67</f>
        <v>0.11764705882352941</v>
      </c>
      <c r="O83" s="283">
        <v>2</v>
      </c>
      <c r="P83" s="216">
        <f>O83/P$67</f>
        <v>0.1111111111111111</v>
      </c>
      <c r="Q83" s="283">
        <v>2</v>
      </c>
      <c r="R83" s="216">
        <f>Q83/R$67</f>
        <v>0.1111111111111111</v>
      </c>
      <c r="S83" s="283">
        <f>1+1</f>
        <v>2</v>
      </c>
      <c r="T83" s="216">
        <f>S83/T$67</f>
        <v>0.1111111111111111</v>
      </c>
      <c r="U83" s="283">
        <v>3</v>
      </c>
      <c r="V83" s="216">
        <f>U83/V$67</f>
        <v>0.15789473684210525</v>
      </c>
      <c r="W83" s="283">
        <f>1+1</f>
        <v>2</v>
      </c>
      <c r="X83" s="216">
        <f>W83/X$67</f>
        <v>0.10526315789473684</v>
      </c>
      <c r="Y83" s="283">
        <v>5</v>
      </c>
      <c r="Z83" s="1494">
        <f>Y83/Z$67</f>
        <v>0.22727272727272727</v>
      </c>
      <c r="AA83" s="955"/>
      <c r="AB83" s="1016">
        <f t="shared" si="12"/>
        <v>2.8</v>
      </c>
      <c r="AC83" s="863">
        <f t="shared" si="13"/>
        <v>0.14253056884635831</v>
      </c>
    </row>
    <row r="84" spans="1:31" s="3" customFormat="1" ht="12" x14ac:dyDescent="0.2">
      <c r="B84" s="343" t="s">
        <v>138</v>
      </c>
      <c r="C84" s="219"/>
      <c r="D84" s="216"/>
      <c r="E84" s="285"/>
      <c r="F84" s="311"/>
      <c r="G84" s="315"/>
      <c r="H84" s="395"/>
      <c r="I84" s="285"/>
      <c r="J84" s="221"/>
      <c r="K84" s="315"/>
      <c r="L84" s="221"/>
      <c r="M84" s="315"/>
      <c r="N84" s="216"/>
      <c r="O84" s="285"/>
      <c r="P84" s="216"/>
      <c r="Q84" s="285"/>
      <c r="R84" s="216"/>
      <c r="S84" s="285"/>
      <c r="T84" s="216"/>
      <c r="U84" s="285"/>
      <c r="V84" s="216"/>
      <c r="W84" s="285"/>
      <c r="X84" s="216"/>
      <c r="Y84" s="285"/>
      <c r="Z84" s="1494"/>
      <c r="AA84" s="955"/>
      <c r="AB84" s="1016"/>
      <c r="AC84" s="863"/>
    </row>
    <row r="85" spans="1:31" s="3" customFormat="1" ht="12" x14ac:dyDescent="0.2">
      <c r="B85" s="75" t="s">
        <v>129</v>
      </c>
      <c r="C85" s="224">
        <v>11</v>
      </c>
      <c r="D85" s="216">
        <f t="shared" si="14"/>
        <v>1</v>
      </c>
      <c r="E85" s="283">
        <v>14</v>
      </c>
      <c r="F85" s="311">
        <f>E85/F$67</f>
        <v>0.82352941176470584</v>
      </c>
      <c r="G85" s="230">
        <v>17</v>
      </c>
      <c r="H85" s="395">
        <f>G85/H$67</f>
        <v>1</v>
      </c>
      <c r="I85" s="283">
        <v>15</v>
      </c>
      <c r="J85" s="221">
        <f>I85/J$67</f>
        <v>1</v>
      </c>
      <c r="K85" s="230">
        <v>16</v>
      </c>
      <c r="L85" s="221">
        <f>K85/L$67</f>
        <v>1</v>
      </c>
      <c r="M85" s="230">
        <f>15+2</f>
        <v>17</v>
      </c>
      <c r="N85" s="216">
        <f>M85/N$67</f>
        <v>1</v>
      </c>
      <c r="O85" s="283">
        <v>18</v>
      </c>
      <c r="P85" s="216">
        <f>O85/P$67</f>
        <v>1</v>
      </c>
      <c r="Q85" s="283">
        <v>18</v>
      </c>
      <c r="R85" s="216">
        <f>Q85/R$67</f>
        <v>1</v>
      </c>
      <c r="S85" s="283">
        <f>15+3</f>
        <v>18</v>
      </c>
      <c r="T85" s="216">
        <f>S85/T$67</f>
        <v>1</v>
      </c>
      <c r="U85" s="283">
        <v>19</v>
      </c>
      <c r="V85" s="216">
        <f>U85/V$67</f>
        <v>1</v>
      </c>
      <c r="W85" s="283">
        <f>2+17</f>
        <v>19</v>
      </c>
      <c r="X85" s="216">
        <f>W85/X$67</f>
        <v>1</v>
      </c>
      <c r="Y85" s="283">
        <v>21</v>
      </c>
      <c r="Z85" s="1494">
        <f>Y85/Z$67</f>
        <v>0.95454545454545459</v>
      </c>
      <c r="AA85" s="955"/>
      <c r="AB85" s="1016">
        <f t="shared" si="12"/>
        <v>19</v>
      </c>
      <c r="AC85" s="863">
        <f t="shared" si="13"/>
        <v>0.99090909090909096</v>
      </c>
    </row>
    <row r="86" spans="1:31" s="3" customFormat="1" ht="12" x14ac:dyDescent="0.2">
      <c r="B86" s="75" t="s">
        <v>130</v>
      </c>
      <c r="C86" s="224">
        <v>0</v>
      </c>
      <c r="D86" s="216">
        <f t="shared" si="14"/>
        <v>0</v>
      </c>
      <c r="E86" s="283">
        <v>0</v>
      </c>
      <c r="F86" s="311">
        <f>E86/F$67</f>
        <v>0</v>
      </c>
      <c r="G86" s="230">
        <v>0</v>
      </c>
      <c r="H86" s="395">
        <f>G86/H$67</f>
        <v>0</v>
      </c>
      <c r="I86" s="283">
        <v>0</v>
      </c>
      <c r="J86" s="221">
        <f>I86/J$67</f>
        <v>0</v>
      </c>
      <c r="K86" s="230">
        <v>0</v>
      </c>
      <c r="L86" s="221">
        <f>K86/L$67</f>
        <v>0</v>
      </c>
      <c r="M86" s="230">
        <v>0</v>
      </c>
      <c r="N86" s="216">
        <f>M86/N$67</f>
        <v>0</v>
      </c>
      <c r="O86" s="283">
        <v>0</v>
      </c>
      <c r="P86" s="216">
        <f>O86/P$67</f>
        <v>0</v>
      </c>
      <c r="Q86" s="283">
        <v>0</v>
      </c>
      <c r="R86" s="216">
        <f>Q86/R$67</f>
        <v>0</v>
      </c>
      <c r="S86" s="283">
        <f>0+0</f>
        <v>0</v>
      </c>
      <c r="T86" s="216">
        <f>S86/T$67</f>
        <v>0</v>
      </c>
      <c r="U86" s="283">
        <v>0</v>
      </c>
      <c r="V86" s="216">
        <f>U86/V$67</f>
        <v>0</v>
      </c>
      <c r="W86" s="283">
        <v>0</v>
      </c>
      <c r="X86" s="216">
        <f>W86/X$67</f>
        <v>0</v>
      </c>
      <c r="Y86" s="283">
        <v>1</v>
      </c>
      <c r="Z86" s="1494">
        <f>Y86/Z$67</f>
        <v>4.5454545454545456E-2</v>
      </c>
      <c r="AA86" s="955"/>
      <c r="AB86" s="1016">
        <f t="shared" si="12"/>
        <v>0.2</v>
      </c>
      <c r="AC86" s="863">
        <f t="shared" si="13"/>
        <v>9.0909090909090905E-3</v>
      </c>
    </row>
    <row r="87" spans="1:31" s="3" customFormat="1" ht="12" x14ac:dyDescent="0.2">
      <c r="B87" s="75" t="s">
        <v>131</v>
      </c>
      <c r="C87" s="224">
        <v>0</v>
      </c>
      <c r="D87" s="216">
        <f t="shared" si="14"/>
        <v>0</v>
      </c>
      <c r="E87" s="283">
        <v>0</v>
      </c>
      <c r="F87" s="311">
        <f>E87/F$67</f>
        <v>0</v>
      </c>
      <c r="G87" s="230">
        <v>0</v>
      </c>
      <c r="H87" s="395">
        <f>G87/H$67</f>
        <v>0</v>
      </c>
      <c r="I87" s="283">
        <v>0</v>
      </c>
      <c r="J87" s="221">
        <f>I87/J$67</f>
        <v>0</v>
      </c>
      <c r="K87" s="230">
        <v>0</v>
      </c>
      <c r="L87" s="221">
        <f>K87/L$67</f>
        <v>0</v>
      </c>
      <c r="M87" s="230">
        <v>0</v>
      </c>
      <c r="N87" s="216">
        <f>M87/N$67</f>
        <v>0</v>
      </c>
      <c r="O87" s="283">
        <v>0</v>
      </c>
      <c r="P87" s="216">
        <f>O87/P$67</f>
        <v>0</v>
      </c>
      <c r="Q87" s="283">
        <v>0</v>
      </c>
      <c r="R87" s="216">
        <f>Q87/R$67</f>
        <v>0</v>
      </c>
      <c r="S87" s="283">
        <v>0</v>
      </c>
      <c r="T87" s="216">
        <f>S87/T$67</f>
        <v>0</v>
      </c>
      <c r="U87" s="283">
        <v>0</v>
      </c>
      <c r="V87" s="216">
        <f>U87/V$67</f>
        <v>0</v>
      </c>
      <c r="W87" s="283">
        <v>0</v>
      </c>
      <c r="X87" s="216">
        <f>W87/X$67</f>
        <v>0</v>
      </c>
      <c r="Y87" s="283">
        <v>0</v>
      </c>
      <c r="Z87" s="1494">
        <f>Y87/Z$67</f>
        <v>0</v>
      </c>
      <c r="AA87" s="955"/>
      <c r="AB87" s="1016">
        <f t="shared" si="12"/>
        <v>0</v>
      </c>
      <c r="AC87" s="863">
        <f t="shared" si="13"/>
        <v>0</v>
      </c>
    </row>
    <row r="88" spans="1:31" s="3" customFormat="1" thickBot="1" x14ac:dyDescent="0.25">
      <c r="B88" s="344" t="s">
        <v>132</v>
      </c>
      <c r="C88" s="61">
        <v>0</v>
      </c>
      <c r="D88" s="220">
        <f t="shared" si="14"/>
        <v>0</v>
      </c>
      <c r="E88" s="284">
        <v>0</v>
      </c>
      <c r="F88" s="312">
        <f>E88/F$67</f>
        <v>0</v>
      </c>
      <c r="G88" s="375">
        <v>0</v>
      </c>
      <c r="H88" s="397">
        <f>G88/H$67</f>
        <v>0</v>
      </c>
      <c r="I88" s="284">
        <v>0</v>
      </c>
      <c r="J88" s="222">
        <f>I88/J$67</f>
        <v>0</v>
      </c>
      <c r="K88" s="375">
        <v>0</v>
      </c>
      <c r="L88" s="222">
        <f>K88/L$67</f>
        <v>0</v>
      </c>
      <c r="M88" s="375">
        <v>0</v>
      </c>
      <c r="N88" s="220">
        <f>M88/N$67</f>
        <v>0</v>
      </c>
      <c r="O88" s="284">
        <v>0</v>
      </c>
      <c r="P88" s="220">
        <f>O88/P$67</f>
        <v>0</v>
      </c>
      <c r="Q88" s="284">
        <v>0</v>
      </c>
      <c r="R88" s="220">
        <f>Q88/R$67</f>
        <v>0</v>
      </c>
      <c r="S88" s="284">
        <v>0</v>
      </c>
      <c r="T88" s="220">
        <f>S88/T$67</f>
        <v>0</v>
      </c>
      <c r="U88" s="284">
        <v>0</v>
      </c>
      <c r="V88" s="220">
        <f>U88/V$67</f>
        <v>0</v>
      </c>
      <c r="W88" s="284">
        <v>0</v>
      </c>
      <c r="X88" s="220">
        <f>W88/X$67</f>
        <v>0</v>
      </c>
      <c r="Y88" s="284">
        <v>0</v>
      </c>
      <c r="Z88" s="1495">
        <f>Y88/Z$67</f>
        <v>0</v>
      </c>
      <c r="AB88" s="1016">
        <f t="shared" si="12"/>
        <v>0</v>
      </c>
      <c r="AC88" s="863">
        <f t="shared" si="13"/>
        <v>0</v>
      </c>
    </row>
    <row r="89" spans="1:31" ht="14.25" thickTop="1" thickBot="1" x14ac:dyDescent="0.25">
      <c r="A89" s="1"/>
      <c r="B89" s="956" t="s">
        <v>186</v>
      </c>
      <c r="C89" s="1992" t="s">
        <v>51</v>
      </c>
      <c r="D89" s="1993"/>
      <c r="E89" s="1992" t="s">
        <v>52</v>
      </c>
      <c r="F89" s="1993"/>
      <c r="G89" s="1989" t="s">
        <v>184</v>
      </c>
      <c r="H89" s="1990"/>
      <c r="I89" s="1989" t="s">
        <v>185</v>
      </c>
      <c r="J89" s="1990"/>
      <c r="K89" s="1989" t="s">
        <v>202</v>
      </c>
      <c r="L89" s="1990"/>
      <c r="M89" s="1991" t="s">
        <v>203</v>
      </c>
      <c r="N89" s="1979"/>
      <c r="O89" s="1970" t="s">
        <v>228</v>
      </c>
      <c r="P89" s="1979"/>
      <c r="Q89" s="1970" t="s">
        <v>238</v>
      </c>
      <c r="R89" s="1979"/>
      <c r="S89" s="1970" t="s">
        <v>273</v>
      </c>
      <c r="T89" s="1979"/>
      <c r="U89" s="1970" t="s">
        <v>275</v>
      </c>
      <c r="V89" s="1979"/>
      <c r="W89" s="1970" t="s">
        <v>281</v>
      </c>
      <c r="X89" s="1979"/>
      <c r="Y89" s="1970" t="s">
        <v>291</v>
      </c>
      <c r="Z89" s="1976"/>
      <c r="AB89" s="2003" t="s">
        <v>213</v>
      </c>
      <c r="AC89" s="2004"/>
    </row>
    <row r="90" spans="1:31" x14ac:dyDescent="0.2">
      <c r="A90" s="1"/>
      <c r="B90" s="957"/>
      <c r="C90" s="958"/>
      <c r="D90" s="959"/>
      <c r="E90" s="1273" t="s">
        <v>133</v>
      </c>
      <c r="F90" s="1180" t="s">
        <v>17</v>
      </c>
      <c r="G90" s="958" t="s">
        <v>133</v>
      </c>
      <c r="H90" s="1242" t="s">
        <v>17</v>
      </c>
      <c r="I90" s="1273" t="s">
        <v>133</v>
      </c>
      <c r="J90" s="1242" t="s">
        <v>17</v>
      </c>
      <c r="K90" s="1273" t="s">
        <v>133</v>
      </c>
      <c r="L90" s="1242" t="s">
        <v>17</v>
      </c>
      <c r="M90" s="1273" t="s">
        <v>133</v>
      </c>
      <c r="N90" s="1242" t="s">
        <v>17</v>
      </c>
      <c r="O90" s="1448" t="s">
        <v>133</v>
      </c>
      <c r="P90" s="1450" t="s">
        <v>17</v>
      </c>
      <c r="Q90" s="1451" t="s">
        <v>133</v>
      </c>
      <c r="R90" s="1450" t="s">
        <v>17</v>
      </c>
      <c r="S90" s="1451" t="s">
        <v>133</v>
      </c>
      <c r="T90" s="1450" t="s">
        <v>17</v>
      </c>
      <c r="U90" s="1768" t="s">
        <v>133</v>
      </c>
      <c r="V90" s="1450" t="s">
        <v>17</v>
      </c>
      <c r="W90" s="1768" t="s">
        <v>133</v>
      </c>
      <c r="X90" s="1450" t="s">
        <v>17</v>
      </c>
      <c r="Y90" s="1768" t="s">
        <v>133</v>
      </c>
      <c r="Z90" s="1452" t="s">
        <v>17</v>
      </c>
      <c r="AB90" s="953" t="s">
        <v>133</v>
      </c>
      <c r="AC90" s="954" t="s">
        <v>17</v>
      </c>
    </row>
    <row r="91" spans="1:31" x14ac:dyDescent="0.2">
      <c r="A91" s="1"/>
      <c r="B91" s="341" t="s">
        <v>187</v>
      </c>
      <c r="C91" s="960">
        <v>3</v>
      </c>
      <c r="D91" s="961">
        <v>1.5</v>
      </c>
      <c r="E91" s="960">
        <v>5</v>
      </c>
      <c r="F91" s="961">
        <v>2.5</v>
      </c>
      <c r="G91" s="960">
        <v>9</v>
      </c>
      <c r="H91" s="961">
        <v>4</v>
      </c>
      <c r="I91" s="960">
        <v>10</v>
      </c>
      <c r="J91" s="961">
        <v>4.3499999999999996</v>
      </c>
      <c r="K91" s="960">
        <v>5</v>
      </c>
      <c r="L91" s="961">
        <v>2.5</v>
      </c>
      <c r="M91" s="960">
        <v>2</v>
      </c>
      <c r="N91" s="961">
        <v>1</v>
      </c>
      <c r="O91" s="960">
        <v>4</v>
      </c>
      <c r="P91" s="961">
        <v>2</v>
      </c>
      <c r="Q91" s="960">
        <v>3</v>
      </c>
      <c r="R91" s="961">
        <v>1.5</v>
      </c>
      <c r="S91" s="960">
        <v>6</v>
      </c>
      <c r="T91" s="961">
        <v>2.9</v>
      </c>
      <c r="U91" s="960">
        <v>7</v>
      </c>
      <c r="V91" s="961">
        <v>3.3</v>
      </c>
      <c r="W91" s="960">
        <v>5</v>
      </c>
      <c r="X91" s="961">
        <v>2.5</v>
      </c>
      <c r="Y91" s="960">
        <v>8</v>
      </c>
      <c r="Z91" s="1517">
        <v>4</v>
      </c>
      <c r="AB91" s="1115">
        <f t="shared" ref="AB91:AB93" si="15">AVERAGE(W91,U91,Q91,S91,Y91)</f>
        <v>5.8</v>
      </c>
      <c r="AC91" s="1116">
        <f t="shared" ref="AC91:AC93" si="16">AVERAGE(X91,V91,R91,T91,Z91)</f>
        <v>2.84</v>
      </c>
    </row>
    <row r="92" spans="1:31" x14ac:dyDescent="0.2">
      <c r="A92" s="1"/>
      <c r="B92" s="341" t="s">
        <v>188</v>
      </c>
      <c r="C92" s="960">
        <v>17</v>
      </c>
      <c r="D92" s="961">
        <v>9</v>
      </c>
      <c r="E92" s="960">
        <v>19</v>
      </c>
      <c r="F92" s="961">
        <v>9.5</v>
      </c>
      <c r="G92" s="960">
        <v>21</v>
      </c>
      <c r="H92" s="961">
        <v>9.9</v>
      </c>
      <c r="I92" s="960">
        <v>20</v>
      </c>
      <c r="J92" s="961">
        <v>9.65</v>
      </c>
      <c r="K92" s="960">
        <v>18</v>
      </c>
      <c r="L92" s="961">
        <v>8.75</v>
      </c>
      <c r="M92" s="960">
        <v>17</v>
      </c>
      <c r="N92" s="961">
        <v>8.5</v>
      </c>
      <c r="O92" s="960">
        <v>17</v>
      </c>
      <c r="P92" s="961">
        <v>8.4</v>
      </c>
      <c r="Q92" s="960">
        <v>20</v>
      </c>
      <c r="R92" s="961">
        <v>10</v>
      </c>
      <c r="S92" s="960">
        <v>18</v>
      </c>
      <c r="T92" s="961">
        <v>9</v>
      </c>
      <c r="U92" s="960">
        <v>21</v>
      </c>
      <c r="V92" s="961">
        <v>10.5</v>
      </c>
      <c r="W92" s="960">
        <v>20</v>
      </c>
      <c r="X92" s="961">
        <v>10</v>
      </c>
      <c r="Y92" s="960">
        <v>22</v>
      </c>
      <c r="Z92" s="1517">
        <v>10.6</v>
      </c>
      <c r="AB92" s="1115">
        <f t="shared" si="15"/>
        <v>20.2</v>
      </c>
      <c r="AC92" s="1116">
        <f t="shared" si="16"/>
        <v>10.02</v>
      </c>
    </row>
    <row r="93" spans="1:31" ht="13.5" thickBot="1" x14ac:dyDescent="0.25">
      <c r="A93" s="1"/>
      <c r="B93" s="344" t="s">
        <v>211</v>
      </c>
      <c r="C93" s="962">
        <v>0</v>
      </c>
      <c r="D93" s="963">
        <v>0</v>
      </c>
      <c r="E93" s="964">
        <v>0</v>
      </c>
      <c r="F93" s="963">
        <v>0</v>
      </c>
      <c r="G93" s="964">
        <v>0</v>
      </c>
      <c r="H93" s="963">
        <v>0</v>
      </c>
      <c r="I93" s="964">
        <v>0</v>
      </c>
      <c r="J93" s="963">
        <v>0</v>
      </c>
      <c r="K93" s="964">
        <v>0</v>
      </c>
      <c r="L93" s="963">
        <v>0</v>
      </c>
      <c r="M93" s="964">
        <v>0</v>
      </c>
      <c r="N93" s="963">
        <v>0</v>
      </c>
      <c r="O93" s="964">
        <v>0</v>
      </c>
      <c r="P93" s="963">
        <v>0</v>
      </c>
      <c r="Q93" s="964">
        <v>0</v>
      </c>
      <c r="R93" s="963">
        <v>0</v>
      </c>
      <c r="S93" s="964">
        <v>0</v>
      </c>
      <c r="T93" s="963">
        <v>0</v>
      </c>
      <c r="U93" s="964">
        <v>0</v>
      </c>
      <c r="V93" s="963">
        <v>0</v>
      </c>
      <c r="W93" s="964">
        <v>0</v>
      </c>
      <c r="X93" s="963">
        <v>0</v>
      </c>
      <c r="Y93" s="964">
        <v>0</v>
      </c>
      <c r="Z93" s="1518">
        <v>0</v>
      </c>
      <c r="AB93" s="1115">
        <f t="shared" si="15"/>
        <v>0</v>
      </c>
      <c r="AC93" s="1116">
        <f t="shared" si="16"/>
        <v>0</v>
      </c>
    </row>
    <row r="94" spans="1:31" ht="17.25" thickTop="1" thickBot="1" x14ac:dyDescent="0.3">
      <c r="A94" s="966"/>
      <c r="B94" s="967"/>
      <c r="C94" s="1992" t="s">
        <v>51</v>
      </c>
      <c r="D94" s="1993"/>
      <c r="E94" s="1992" t="s">
        <v>52</v>
      </c>
      <c r="F94" s="1993"/>
      <c r="G94" s="1989" t="s">
        <v>184</v>
      </c>
      <c r="H94" s="1990"/>
      <c r="I94" s="1989" t="s">
        <v>185</v>
      </c>
      <c r="J94" s="1990"/>
      <c r="K94" s="1989" t="s">
        <v>202</v>
      </c>
      <c r="L94" s="1990"/>
      <c r="M94" s="1991" t="s">
        <v>203</v>
      </c>
      <c r="N94" s="1979"/>
      <c r="O94" s="1970" t="s">
        <v>254</v>
      </c>
      <c r="P94" s="1979"/>
      <c r="Q94" s="1970" t="s">
        <v>238</v>
      </c>
      <c r="R94" s="1979"/>
      <c r="S94" s="1970" t="s">
        <v>273</v>
      </c>
      <c r="T94" s="1979"/>
      <c r="U94" s="1970" t="s">
        <v>275</v>
      </c>
      <c r="V94" s="1979"/>
      <c r="W94" s="1970" t="s">
        <v>281</v>
      </c>
      <c r="X94" s="1979"/>
      <c r="Y94" s="1970" t="s">
        <v>291</v>
      </c>
      <c r="Z94" s="1976"/>
      <c r="AA94" s="968"/>
      <c r="AB94" s="1987"/>
      <c r="AC94" s="1988"/>
      <c r="AD94" s="3"/>
      <c r="AE94" s="3"/>
    </row>
    <row r="95" spans="1:31" x14ac:dyDescent="0.2">
      <c r="A95" s="3"/>
      <c r="B95" s="342" t="s">
        <v>210</v>
      </c>
      <c r="C95" s="3"/>
      <c r="D95" s="969"/>
      <c r="E95" s="970"/>
      <c r="F95" s="971"/>
      <c r="G95" s="972"/>
      <c r="H95" s="973"/>
      <c r="I95" s="974"/>
      <c r="J95" s="593"/>
      <c r="K95" s="975"/>
      <c r="L95" s="976"/>
      <c r="M95" s="975"/>
      <c r="N95" s="991"/>
      <c r="O95" s="974"/>
      <c r="P95" s="593"/>
      <c r="Q95" s="975"/>
      <c r="R95" s="991"/>
      <c r="S95" s="975"/>
      <c r="T95" s="991"/>
      <c r="U95" s="117"/>
      <c r="V95" s="1422"/>
      <c r="W95" s="975"/>
      <c r="X95" s="991"/>
      <c r="Y95" s="975"/>
      <c r="Z95" s="977"/>
      <c r="AA95" s="28"/>
      <c r="AB95" s="28"/>
      <c r="AC95" s="28"/>
      <c r="AD95" s="3"/>
      <c r="AE95" s="3"/>
    </row>
    <row r="96" spans="1:31" x14ac:dyDescent="0.2">
      <c r="A96" s="930"/>
      <c r="B96" s="979" t="s">
        <v>192</v>
      </c>
      <c r="C96" s="1983">
        <v>5.7</v>
      </c>
      <c r="D96" s="1984"/>
      <c r="E96" s="980"/>
      <c r="F96" s="981"/>
      <c r="G96" s="982"/>
      <c r="H96" s="983"/>
      <c r="I96" s="1983">
        <v>5.75</v>
      </c>
      <c r="J96" s="1984"/>
      <c r="K96" s="984"/>
      <c r="L96" s="985"/>
      <c r="M96" s="984"/>
      <c r="N96" s="991"/>
      <c r="O96" s="1898"/>
      <c r="P96" s="1899">
        <v>15</v>
      </c>
      <c r="Q96" s="984"/>
      <c r="R96" s="991"/>
      <c r="S96" s="984"/>
      <c r="T96" s="991"/>
      <c r="U96" s="136"/>
      <c r="V96" s="1899">
        <v>14.6</v>
      </c>
      <c r="W96" s="984"/>
      <c r="X96" s="991"/>
      <c r="Y96" s="984"/>
      <c r="Z96" s="977"/>
      <c r="AA96" s="28"/>
      <c r="AB96" s="28"/>
      <c r="AC96" s="1106"/>
      <c r="AD96" s="3"/>
      <c r="AE96" s="3"/>
    </row>
    <row r="97" spans="1:31" x14ac:dyDescent="0.2">
      <c r="A97" s="930"/>
      <c r="B97" s="986" t="s">
        <v>193</v>
      </c>
      <c r="C97" s="1983"/>
      <c r="D97" s="1984"/>
      <c r="E97" s="980"/>
      <c r="F97" s="981"/>
      <c r="G97" s="982"/>
      <c r="H97" s="983"/>
      <c r="I97" s="1983"/>
      <c r="J97" s="1984"/>
      <c r="K97" s="984"/>
      <c r="L97" s="985"/>
      <c r="M97" s="984"/>
      <c r="N97" s="991"/>
      <c r="O97" s="1898"/>
      <c r="P97" s="1899"/>
      <c r="Q97" s="984"/>
      <c r="R97" s="991"/>
      <c r="S97" s="984"/>
      <c r="T97" s="991"/>
      <c r="U97" s="136"/>
      <c r="V97" s="1899"/>
      <c r="W97" s="984"/>
      <c r="X97" s="991"/>
      <c r="Y97" s="984"/>
      <c r="Z97" s="977"/>
      <c r="AA97" s="28"/>
      <c r="AB97" s="28"/>
      <c r="AC97" s="1106"/>
      <c r="AD97" s="3"/>
      <c r="AE97" s="3"/>
    </row>
    <row r="98" spans="1:31" x14ac:dyDescent="0.2">
      <c r="A98" s="930"/>
      <c r="B98" s="986" t="s">
        <v>194</v>
      </c>
      <c r="C98" s="1983">
        <v>1</v>
      </c>
      <c r="D98" s="1984"/>
      <c r="E98" s="980"/>
      <c r="F98" s="981"/>
      <c r="G98" s="982"/>
      <c r="H98" s="983"/>
      <c r="I98" s="1983">
        <v>4</v>
      </c>
      <c r="J98" s="1984"/>
      <c r="K98" s="984"/>
      <c r="L98" s="985"/>
      <c r="M98" s="984"/>
      <c r="N98" s="991"/>
      <c r="O98" s="1898"/>
      <c r="P98" s="1899">
        <v>4</v>
      </c>
      <c r="Q98" s="984"/>
      <c r="R98" s="991"/>
      <c r="S98" s="984"/>
      <c r="T98" s="991"/>
      <c r="U98" s="136"/>
      <c r="V98" s="1899">
        <v>5.5</v>
      </c>
      <c r="W98" s="984"/>
      <c r="X98" s="991"/>
      <c r="Y98" s="984"/>
      <c r="Z98" s="977"/>
      <c r="AA98" s="28"/>
      <c r="AB98" s="28"/>
      <c r="AC98" s="1106"/>
      <c r="AD98" s="3"/>
      <c r="AE98" s="3"/>
    </row>
    <row r="99" spans="1:31" x14ac:dyDescent="0.2">
      <c r="A99" s="930"/>
      <c r="B99" s="979" t="s">
        <v>195</v>
      </c>
      <c r="C99" s="1983">
        <v>8</v>
      </c>
      <c r="D99" s="1984"/>
      <c r="E99" s="980"/>
      <c r="F99" s="981"/>
      <c r="G99" s="982"/>
      <c r="H99" s="983"/>
      <c r="I99" s="1983">
        <v>7.65</v>
      </c>
      <c r="J99" s="1984"/>
      <c r="K99" s="984"/>
      <c r="L99" s="985"/>
      <c r="M99" s="984"/>
      <c r="N99" s="991"/>
      <c r="O99" s="1898"/>
      <c r="P99" s="1899">
        <v>4.5</v>
      </c>
      <c r="Q99" s="984"/>
      <c r="R99" s="991"/>
      <c r="S99" s="984"/>
      <c r="T99" s="991"/>
      <c r="U99" s="136"/>
      <c r="V99" s="1899">
        <v>6.5</v>
      </c>
      <c r="W99" s="984"/>
      <c r="X99" s="991"/>
      <c r="Y99" s="984"/>
      <c r="Z99" s="977"/>
      <c r="AA99" s="28"/>
      <c r="AB99" s="28"/>
      <c r="AC99" s="1106"/>
      <c r="AD99" s="3"/>
      <c r="AE99" s="3"/>
    </row>
    <row r="100" spans="1:31" x14ac:dyDescent="0.2">
      <c r="A100" s="930"/>
      <c r="B100" s="987" t="s">
        <v>196</v>
      </c>
      <c r="C100" s="1983">
        <v>1.6</v>
      </c>
      <c r="D100" s="1984"/>
      <c r="E100" s="980"/>
      <c r="F100" s="981"/>
      <c r="G100" s="982"/>
      <c r="H100" s="983"/>
      <c r="I100" s="1983">
        <v>1.8</v>
      </c>
      <c r="J100" s="1984"/>
      <c r="K100" s="984"/>
      <c r="L100" s="985"/>
      <c r="M100" s="984"/>
      <c r="N100" s="991"/>
      <c r="O100" s="1898"/>
      <c r="P100" s="1899">
        <v>0.3</v>
      </c>
      <c r="Q100" s="984"/>
      <c r="R100" s="991"/>
      <c r="S100" s="984"/>
      <c r="T100" s="991"/>
      <c r="U100" s="136"/>
      <c r="V100" s="1899">
        <f>0.35</f>
        <v>0.35</v>
      </c>
      <c r="W100" s="984"/>
      <c r="X100" s="991"/>
      <c r="Y100" s="984"/>
      <c r="Z100" s="977"/>
      <c r="AA100" s="28"/>
      <c r="AB100" s="28"/>
      <c r="AC100" s="1106"/>
      <c r="AD100" s="3"/>
      <c r="AE100" s="3"/>
    </row>
    <row r="101" spans="1:31" x14ac:dyDescent="0.2">
      <c r="A101" s="930"/>
      <c r="B101" s="987" t="s">
        <v>197</v>
      </c>
      <c r="C101" s="1983">
        <f>SUM(C96:D100)</f>
        <v>16.3</v>
      </c>
      <c r="D101" s="1984"/>
      <c r="E101" s="980"/>
      <c r="F101" s="981"/>
      <c r="G101" s="982"/>
      <c r="H101" s="983"/>
      <c r="I101" s="1983">
        <f>SUM(I96:J100)</f>
        <v>19.2</v>
      </c>
      <c r="J101" s="1984"/>
      <c r="K101" s="984"/>
      <c r="L101" s="985"/>
      <c r="M101" s="984"/>
      <c r="N101" s="991"/>
      <c r="O101" s="1898"/>
      <c r="P101" s="1899">
        <v>23.8</v>
      </c>
      <c r="Q101" s="984"/>
      <c r="R101" s="991"/>
      <c r="S101" s="984"/>
      <c r="T101" s="991"/>
      <c r="U101" s="136"/>
      <c r="V101" s="1899">
        <f>SUM(V96:V100)</f>
        <v>26.950000000000003</v>
      </c>
      <c r="W101" s="984"/>
      <c r="X101" s="991"/>
      <c r="Y101" s="984"/>
      <c r="Z101" s="977"/>
      <c r="AA101" s="28"/>
      <c r="AB101" s="28"/>
      <c r="AC101" s="1106"/>
      <c r="AD101" s="3"/>
      <c r="AE101" s="3"/>
    </row>
    <row r="102" spans="1:31" ht="13.5" thickBot="1" x14ac:dyDescent="0.25">
      <c r="A102" s="930"/>
      <c r="B102" s="988" t="s">
        <v>204</v>
      </c>
      <c r="C102" s="2056"/>
      <c r="D102" s="2055"/>
      <c r="E102" s="989"/>
      <c r="F102" s="990"/>
      <c r="G102" s="975"/>
      <c r="H102" s="991"/>
      <c r="I102" s="2056"/>
      <c r="J102" s="2055"/>
      <c r="K102" s="984"/>
      <c r="L102" s="985"/>
      <c r="M102" s="984"/>
      <c r="N102" s="991"/>
      <c r="O102" s="1900"/>
      <c r="P102" s="1901"/>
      <c r="Q102" s="984"/>
      <c r="R102" s="991"/>
      <c r="S102" s="984"/>
      <c r="T102" s="991"/>
      <c r="U102" s="136"/>
      <c r="V102" s="1901"/>
      <c r="W102" s="984"/>
      <c r="X102" s="991"/>
      <c r="Y102" s="984"/>
      <c r="Z102" s="977"/>
      <c r="AA102" s="28"/>
      <c r="AB102" s="28"/>
      <c r="AC102" s="1106"/>
      <c r="AD102" s="3"/>
      <c r="AE102" s="3"/>
    </row>
    <row r="103" spans="1:31" x14ac:dyDescent="0.2">
      <c r="A103" s="930"/>
      <c r="B103" s="979" t="s">
        <v>198</v>
      </c>
      <c r="C103" s="2043">
        <v>4643</v>
      </c>
      <c r="D103" s="2044"/>
      <c r="E103" s="992"/>
      <c r="F103" s="993"/>
      <c r="G103" s="994"/>
      <c r="H103" s="995"/>
      <c r="I103" s="2043">
        <v>4204</v>
      </c>
      <c r="J103" s="2044"/>
      <c r="K103" s="984"/>
      <c r="L103" s="985"/>
      <c r="M103" s="984"/>
      <c r="N103" s="991"/>
      <c r="O103" s="1902"/>
      <c r="P103" s="1903">
        <v>4404</v>
      </c>
      <c r="Q103" s="984"/>
      <c r="R103" s="991"/>
      <c r="S103" s="984"/>
      <c r="T103" s="991"/>
      <c r="U103" s="136"/>
      <c r="V103" s="1903">
        <v>4597</v>
      </c>
      <c r="W103" s="984"/>
      <c r="X103" s="991"/>
      <c r="Y103" s="984"/>
      <c r="Z103" s="977"/>
      <c r="AA103" s="28"/>
      <c r="AB103" s="28"/>
      <c r="AC103" s="1473"/>
      <c r="AD103" s="3"/>
      <c r="AE103" s="3"/>
    </row>
    <row r="104" spans="1:31" x14ac:dyDescent="0.2">
      <c r="A104" s="930"/>
      <c r="B104" s="987" t="s">
        <v>199</v>
      </c>
      <c r="C104" s="2043">
        <v>909</v>
      </c>
      <c r="D104" s="2044"/>
      <c r="E104" s="992"/>
      <c r="F104" s="993"/>
      <c r="G104" s="994"/>
      <c r="H104" s="995"/>
      <c r="I104" s="2043">
        <v>2283</v>
      </c>
      <c r="J104" s="2044"/>
      <c r="K104" s="984"/>
      <c r="L104" s="985"/>
      <c r="M104" s="984"/>
      <c r="N104" s="991"/>
      <c r="O104" s="1902"/>
      <c r="P104" s="1903">
        <v>837</v>
      </c>
      <c r="Q104" s="984"/>
      <c r="R104" s="991"/>
      <c r="S104" s="984"/>
      <c r="T104" s="991"/>
      <c r="U104" s="136"/>
      <c r="V104" s="1903">
        <v>2065</v>
      </c>
      <c r="W104" s="984"/>
      <c r="X104" s="991"/>
      <c r="Y104" s="984"/>
      <c r="Z104" s="977"/>
      <c r="AA104" s="28"/>
      <c r="AB104" s="28"/>
      <c r="AC104" s="1473"/>
      <c r="AD104" s="3"/>
      <c r="AE104" s="3"/>
    </row>
    <row r="105" spans="1:31" x14ac:dyDescent="0.2">
      <c r="A105" s="930"/>
      <c r="B105" s="987" t="s">
        <v>200</v>
      </c>
      <c r="C105" s="2043">
        <v>1612</v>
      </c>
      <c r="D105" s="2044"/>
      <c r="E105" s="992"/>
      <c r="F105" s="993"/>
      <c r="G105" s="994"/>
      <c r="H105" s="995"/>
      <c r="I105" s="2043">
        <v>729</v>
      </c>
      <c r="J105" s="2044"/>
      <c r="K105" s="984"/>
      <c r="L105" s="985"/>
      <c r="M105" s="984"/>
      <c r="N105" s="991"/>
      <c r="O105" s="1902"/>
      <c r="P105" s="1903">
        <v>14</v>
      </c>
      <c r="Q105" s="984"/>
      <c r="R105" s="991"/>
      <c r="S105" s="984"/>
      <c r="T105" s="991"/>
      <c r="U105" s="136"/>
      <c r="V105" s="1903">
        <v>224</v>
      </c>
      <c r="W105" s="984"/>
      <c r="X105" s="991"/>
      <c r="Y105" s="984"/>
      <c r="Z105" s="977"/>
      <c r="AA105" s="28"/>
      <c r="AB105" s="28"/>
      <c r="AC105" s="1473"/>
      <c r="AD105" s="3"/>
      <c r="AE105" s="3"/>
    </row>
    <row r="106" spans="1:31" x14ac:dyDescent="0.2">
      <c r="A106" s="930"/>
      <c r="B106" s="987" t="s">
        <v>209</v>
      </c>
      <c r="C106" s="2043">
        <f>SUM(C103:D105)</f>
        <v>7164</v>
      </c>
      <c r="D106" s="2044"/>
      <c r="E106" s="992"/>
      <c r="F106" s="993"/>
      <c r="G106" s="994"/>
      <c r="H106" s="995"/>
      <c r="I106" s="2043">
        <f>SUM(I103:J105)</f>
        <v>7216</v>
      </c>
      <c r="J106" s="2044"/>
      <c r="K106" s="984"/>
      <c r="L106" s="985"/>
      <c r="M106" s="984"/>
      <c r="N106" s="991"/>
      <c r="O106" s="1902"/>
      <c r="P106" s="1903">
        <v>5255</v>
      </c>
      <c r="Q106" s="984"/>
      <c r="R106" s="991"/>
      <c r="S106" s="984"/>
      <c r="T106" s="991"/>
      <c r="U106" s="136"/>
      <c r="V106" s="1903">
        <f>SUM(V103:V105)</f>
        <v>6886</v>
      </c>
      <c r="W106" s="984"/>
      <c r="X106" s="991"/>
      <c r="Y106" s="984"/>
      <c r="Z106" s="977"/>
      <c r="AA106" s="28"/>
      <c r="AB106" s="28"/>
      <c r="AC106" s="1473"/>
      <c r="AD106" s="3"/>
      <c r="AE106" s="3"/>
    </row>
    <row r="107" spans="1:31" ht="13.5" thickBot="1" x14ac:dyDescent="0.25">
      <c r="A107" s="930"/>
      <c r="B107" s="988" t="s">
        <v>205</v>
      </c>
      <c r="C107" s="2056"/>
      <c r="D107" s="2055"/>
      <c r="E107" s="989"/>
      <c r="F107" s="990"/>
      <c r="G107" s="975"/>
      <c r="H107" s="991"/>
      <c r="I107" s="2056"/>
      <c r="J107" s="2055"/>
      <c r="K107" s="984"/>
      <c r="L107" s="985"/>
      <c r="M107" s="984"/>
      <c r="N107" s="991"/>
      <c r="O107" s="1900"/>
      <c r="P107" s="1901"/>
      <c r="Q107" s="984"/>
      <c r="R107" s="991"/>
      <c r="S107" s="984"/>
      <c r="T107" s="991"/>
      <c r="U107" s="136"/>
      <c r="V107" s="1901"/>
      <c r="W107" s="984"/>
      <c r="X107" s="991"/>
      <c r="Y107" s="984"/>
      <c r="Z107" s="977"/>
      <c r="AA107" s="28"/>
      <c r="AB107" s="28"/>
      <c r="AC107" s="1106"/>
      <c r="AD107" s="28"/>
      <c r="AE107" s="28"/>
    </row>
    <row r="108" spans="1:31" x14ac:dyDescent="0.2">
      <c r="A108" s="930"/>
      <c r="B108" s="979" t="s">
        <v>206</v>
      </c>
      <c r="C108" s="1985">
        <f>C103/C96</f>
        <v>814.56140350877195</v>
      </c>
      <c r="D108" s="1986"/>
      <c r="E108" s="996"/>
      <c r="F108" s="997"/>
      <c r="G108" s="998"/>
      <c r="H108" s="999"/>
      <c r="I108" s="1985">
        <f>I103/I96</f>
        <v>731.13043478260875</v>
      </c>
      <c r="J108" s="1986"/>
      <c r="K108" s="1000"/>
      <c r="L108" s="1001"/>
      <c r="M108" s="1000"/>
      <c r="N108" s="999"/>
      <c r="O108" s="1904"/>
      <c r="P108" s="1905">
        <v>293.60000000000002</v>
      </c>
      <c r="Q108" s="1000"/>
      <c r="R108" s="999"/>
      <c r="S108" s="1000"/>
      <c r="T108" s="999"/>
      <c r="U108" s="494"/>
      <c r="V108" s="1905">
        <f>V103/V96</f>
        <v>314.86301369863014</v>
      </c>
      <c r="W108" s="1000"/>
      <c r="X108" s="999"/>
      <c r="Y108" s="1000"/>
      <c r="Z108" s="1460"/>
      <c r="AA108" s="668"/>
      <c r="AB108" s="668"/>
      <c r="AC108" s="1106"/>
      <c r="AD108" s="21"/>
      <c r="AE108" s="21"/>
    </row>
    <row r="109" spans="1:31" x14ac:dyDescent="0.2">
      <c r="A109" s="930"/>
      <c r="B109" s="987" t="s">
        <v>207</v>
      </c>
      <c r="C109" s="1985">
        <f>C104/C98</f>
        <v>909</v>
      </c>
      <c r="D109" s="1986"/>
      <c r="E109" s="996"/>
      <c r="F109" s="997"/>
      <c r="G109" s="998"/>
      <c r="H109" s="999"/>
      <c r="I109" s="1985">
        <f>I104/I98</f>
        <v>570.75</v>
      </c>
      <c r="J109" s="1986"/>
      <c r="K109" s="1000"/>
      <c r="L109" s="1001"/>
      <c r="M109" s="1000"/>
      <c r="N109" s="999"/>
      <c r="O109" s="1904"/>
      <c r="P109" s="1905">
        <v>209.25</v>
      </c>
      <c r="Q109" s="1000"/>
      <c r="R109" s="999"/>
      <c r="S109" s="1000"/>
      <c r="T109" s="999"/>
      <c r="U109" s="494"/>
      <c r="V109" s="1905">
        <f>V104/(V98+V99)</f>
        <v>172.08333333333334</v>
      </c>
      <c r="W109" s="1000"/>
      <c r="X109" s="999"/>
      <c r="Y109" s="1000"/>
      <c r="Z109" s="1460"/>
      <c r="AA109" s="668"/>
      <c r="AB109" s="668"/>
      <c r="AC109" s="1106"/>
      <c r="AD109" s="21"/>
      <c r="AE109" s="21"/>
    </row>
    <row r="110" spans="1:31" x14ac:dyDescent="0.2">
      <c r="A110" s="930"/>
      <c r="B110" s="987" t="s">
        <v>208</v>
      </c>
      <c r="C110" s="2043">
        <f>C105/C100</f>
        <v>1007.5</v>
      </c>
      <c r="D110" s="2044"/>
      <c r="E110" s="996"/>
      <c r="F110" s="997"/>
      <c r="G110" s="998"/>
      <c r="H110" s="999"/>
      <c r="I110" s="1985">
        <f>I105/I100</f>
        <v>405</v>
      </c>
      <c r="J110" s="1986"/>
      <c r="K110" s="1000"/>
      <c r="L110" s="1001"/>
      <c r="M110" s="1000"/>
      <c r="N110" s="999"/>
      <c r="O110" s="1904"/>
      <c r="P110" s="1905">
        <v>46.666666666666671</v>
      </c>
      <c r="Q110" s="1000"/>
      <c r="R110" s="999"/>
      <c r="S110" s="1000"/>
      <c r="T110" s="999"/>
      <c r="U110" s="494"/>
      <c r="V110" s="1905">
        <f>V105/V100</f>
        <v>640</v>
      </c>
      <c r="W110" s="1000"/>
      <c r="X110" s="999"/>
      <c r="Y110" s="1000"/>
      <c r="Z110" s="1460"/>
      <c r="AA110" s="668"/>
      <c r="AB110" s="668"/>
      <c r="AC110" s="1106"/>
      <c r="AD110" s="21"/>
      <c r="AE110" s="21"/>
    </row>
    <row r="111" spans="1:31" ht="13.5" thickBot="1" x14ac:dyDescent="0.25">
      <c r="A111" s="930"/>
      <c r="B111" s="1002" t="s">
        <v>201</v>
      </c>
      <c r="C111" s="2045">
        <f>C106/C101</f>
        <v>439.50920245398771</v>
      </c>
      <c r="D111" s="2046"/>
      <c r="E111" s="1003"/>
      <c r="F111" s="1004"/>
      <c r="G111" s="1005"/>
      <c r="H111" s="1006"/>
      <c r="I111" s="2045">
        <f>I106/I101</f>
        <v>375.83333333333337</v>
      </c>
      <c r="J111" s="2046"/>
      <c r="K111" s="1005"/>
      <c r="L111" s="1006"/>
      <c r="M111" s="1005"/>
      <c r="N111" s="1006"/>
      <c r="O111" s="1906"/>
      <c r="P111" s="1907">
        <v>220.79831932773109</v>
      </c>
      <c r="Q111" s="1005"/>
      <c r="R111" s="1006"/>
      <c r="S111" s="1005"/>
      <c r="T111" s="1006"/>
      <c r="U111" s="1233"/>
      <c r="V111" s="1907">
        <f>V106/V101</f>
        <v>255.51020408163262</v>
      </c>
      <c r="W111" s="1005"/>
      <c r="X111" s="1006"/>
      <c r="Y111" s="1005"/>
      <c r="Z111" s="1461"/>
      <c r="AA111" s="668"/>
      <c r="AB111" s="668"/>
      <c r="AC111" s="1106"/>
      <c r="AD111" s="21"/>
      <c r="AE111" s="21"/>
    </row>
    <row r="112" spans="1:31" ht="13.5" thickTop="1" x14ac:dyDescent="0.2">
      <c r="A112" s="3"/>
      <c r="B112" s="3" t="str">
        <f>Dean_AS!B169</f>
        <v>*Note: Beginning with the 2009 collection cycle, Instructional FTE was defined according to the national Delaware Study of Instructional Costs and Productivity</v>
      </c>
    </row>
    <row r="113" spans="1:2" x14ac:dyDescent="0.2">
      <c r="A113" s="3"/>
      <c r="B113" s="3"/>
    </row>
    <row r="114" spans="1:2" x14ac:dyDescent="0.2">
      <c r="A114" s="3"/>
      <c r="B114" s="3"/>
    </row>
    <row r="115" spans="1:2" x14ac:dyDescent="0.2">
      <c r="A115" s="3"/>
      <c r="B115" s="3"/>
    </row>
    <row r="116" spans="1:2" x14ac:dyDescent="0.2">
      <c r="A116" s="3"/>
      <c r="B116" s="3"/>
    </row>
    <row r="117" spans="1:2" x14ac:dyDescent="0.2">
      <c r="A117" s="3"/>
      <c r="B117" s="3"/>
    </row>
    <row r="118" spans="1:2" x14ac:dyDescent="0.2">
      <c r="A118" s="3"/>
      <c r="B118" s="3"/>
    </row>
    <row r="119" spans="1:2" x14ac:dyDescent="0.2">
      <c r="A119" s="3"/>
      <c r="B119" s="3"/>
    </row>
    <row r="120" spans="1:2" x14ac:dyDescent="0.2">
      <c r="A120" s="3"/>
      <c r="B120" s="3"/>
    </row>
    <row r="121" spans="1:2" x14ac:dyDescent="0.2">
      <c r="A121" s="3"/>
      <c r="B121" s="3"/>
    </row>
    <row r="122" spans="1:2" x14ac:dyDescent="0.2">
      <c r="A122" s="3"/>
      <c r="B122" s="3"/>
    </row>
    <row r="123" spans="1:2" x14ac:dyDescent="0.2">
      <c r="A123" s="3"/>
      <c r="B123" s="3"/>
    </row>
    <row r="124" spans="1:2" x14ac:dyDescent="0.2">
      <c r="A124" s="3"/>
      <c r="B124" s="3"/>
    </row>
    <row r="125" spans="1:2" x14ac:dyDescent="0.2">
      <c r="A125" s="3"/>
      <c r="B125" s="3"/>
    </row>
    <row r="126" spans="1:2" x14ac:dyDescent="0.2">
      <c r="A126" s="3"/>
      <c r="B126" s="3"/>
    </row>
    <row r="127" spans="1:2" x14ac:dyDescent="0.2">
      <c r="A127" s="3"/>
      <c r="B127" s="3"/>
    </row>
    <row r="128" spans="1:2" x14ac:dyDescent="0.2">
      <c r="A128" s="3"/>
      <c r="B128" s="3"/>
    </row>
    <row r="129" spans="1:2" x14ac:dyDescent="0.2">
      <c r="A129" s="3"/>
      <c r="B129" s="3"/>
    </row>
    <row r="130" spans="1:2" x14ac:dyDescent="0.2">
      <c r="A130" s="3"/>
      <c r="B130" s="3"/>
    </row>
    <row r="131" spans="1:2" x14ac:dyDescent="0.2">
      <c r="A131" s="3"/>
      <c r="B131" s="3"/>
    </row>
    <row r="132" spans="1:2" x14ac:dyDescent="0.2">
      <c r="A132" s="3"/>
      <c r="B132" s="3"/>
    </row>
    <row r="133" spans="1:2" x14ac:dyDescent="0.2">
      <c r="A133" s="3"/>
      <c r="B133" s="3"/>
    </row>
    <row r="134" spans="1:2" x14ac:dyDescent="0.2">
      <c r="A134" s="3"/>
      <c r="B134" s="3"/>
    </row>
    <row r="135" spans="1:2" x14ac:dyDescent="0.2">
      <c r="A135" s="3"/>
      <c r="B135" s="3"/>
    </row>
    <row r="136" spans="1:2" x14ac:dyDescent="0.2">
      <c r="A136" s="3"/>
      <c r="B136" s="3"/>
    </row>
    <row r="137" spans="1:2" x14ac:dyDescent="0.2">
      <c r="A137" s="3"/>
      <c r="B137" s="3"/>
    </row>
    <row r="138" spans="1:2" x14ac:dyDescent="0.2">
      <c r="A138" s="3"/>
      <c r="B138" s="3"/>
    </row>
    <row r="139" spans="1:2" x14ac:dyDescent="0.2">
      <c r="A139" s="3"/>
      <c r="B139" s="3"/>
    </row>
    <row r="140" spans="1:2" x14ac:dyDescent="0.2">
      <c r="A140" s="3"/>
      <c r="B140" s="3"/>
    </row>
    <row r="141" spans="1:2" x14ac:dyDescent="0.2">
      <c r="A141" s="3"/>
      <c r="B141" s="3"/>
    </row>
    <row r="142" spans="1:2" x14ac:dyDescent="0.2">
      <c r="A142" s="3"/>
      <c r="B142" s="3"/>
    </row>
    <row r="143" spans="1:2" x14ac:dyDescent="0.2">
      <c r="A143" s="3"/>
      <c r="B143" s="3"/>
    </row>
    <row r="144" spans="1:2" x14ac:dyDescent="0.2">
      <c r="A144" s="3"/>
      <c r="B144" s="3"/>
    </row>
    <row r="145" spans="1:2" x14ac:dyDescent="0.2">
      <c r="A145" s="3"/>
      <c r="B145" s="3"/>
    </row>
    <row r="146" spans="1:2" x14ac:dyDescent="0.2">
      <c r="A146" s="3"/>
      <c r="B146" s="3"/>
    </row>
    <row r="147" spans="1:2" x14ac:dyDescent="0.2">
      <c r="A147" s="3"/>
      <c r="B147" s="3"/>
    </row>
    <row r="148" spans="1:2" x14ac:dyDescent="0.2">
      <c r="A148" s="3"/>
      <c r="B148" s="3"/>
    </row>
    <row r="149" spans="1:2" x14ac:dyDescent="0.2">
      <c r="A149" s="3"/>
      <c r="B149" s="3"/>
    </row>
    <row r="150" spans="1:2" x14ac:dyDescent="0.2">
      <c r="A150" s="3"/>
      <c r="B150" s="3"/>
    </row>
    <row r="151" spans="1:2" x14ac:dyDescent="0.2">
      <c r="A151" s="3"/>
      <c r="B151" s="3"/>
    </row>
    <row r="152" spans="1:2" x14ac:dyDescent="0.2">
      <c r="A152" s="3"/>
      <c r="B152" s="3"/>
    </row>
    <row r="153" spans="1:2" x14ac:dyDescent="0.2">
      <c r="A153" s="3"/>
      <c r="B153" s="3"/>
    </row>
    <row r="154" spans="1:2" x14ac:dyDescent="0.2">
      <c r="A154" s="3"/>
      <c r="B154" s="3"/>
    </row>
    <row r="155" spans="1:2" x14ac:dyDescent="0.2">
      <c r="A155" s="3"/>
      <c r="B155" s="3"/>
    </row>
    <row r="156" spans="1:2" x14ac:dyDescent="0.2">
      <c r="A156" s="3"/>
      <c r="B156" s="3"/>
    </row>
    <row r="157" spans="1:2" x14ac:dyDescent="0.2">
      <c r="A157" s="3"/>
      <c r="B157" s="3"/>
    </row>
    <row r="158" spans="1:2" x14ac:dyDescent="0.2">
      <c r="A158" s="3"/>
      <c r="B158" s="3"/>
    </row>
    <row r="159" spans="1:2" x14ac:dyDescent="0.2">
      <c r="A159" s="3"/>
      <c r="B159" s="3"/>
    </row>
    <row r="160" spans="1:2" x14ac:dyDescent="0.2">
      <c r="A160" s="3"/>
      <c r="B160" s="3"/>
    </row>
    <row r="161" spans="1:2" x14ac:dyDescent="0.2">
      <c r="A161" s="3"/>
      <c r="B161" s="3"/>
    </row>
    <row r="162" spans="1:2" x14ac:dyDescent="0.2">
      <c r="A162" s="3"/>
      <c r="B162" s="3"/>
    </row>
    <row r="163" spans="1:2" x14ac:dyDescent="0.2">
      <c r="A163" s="3"/>
      <c r="B163" s="3"/>
    </row>
    <row r="164" spans="1:2" x14ac:dyDescent="0.2">
      <c r="A164" s="3"/>
      <c r="B164" s="3"/>
    </row>
    <row r="165" spans="1:2" x14ac:dyDescent="0.2">
      <c r="A165" s="3"/>
      <c r="B165" s="3"/>
    </row>
    <row r="166" spans="1:2" x14ac:dyDescent="0.2">
      <c r="A166" s="3"/>
      <c r="B166" s="3"/>
    </row>
    <row r="167" spans="1:2" x14ac:dyDescent="0.2">
      <c r="A167" s="3"/>
      <c r="B167" s="3"/>
    </row>
    <row r="168" spans="1:2" x14ac:dyDescent="0.2">
      <c r="A168" s="3"/>
      <c r="B168" s="3"/>
    </row>
    <row r="169" spans="1:2" x14ac:dyDescent="0.2">
      <c r="A169" s="3"/>
      <c r="B169" s="3"/>
    </row>
    <row r="170" spans="1:2" x14ac:dyDescent="0.2">
      <c r="A170" s="3"/>
      <c r="B170" s="3"/>
    </row>
    <row r="171" spans="1:2" x14ac:dyDescent="0.2">
      <c r="A171" s="3"/>
      <c r="B171" s="3"/>
    </row>
    <row r="172" spans="1:2" x14ac:dyDescent="0.2">
      <c r="A172" s="3"/>
      <c r="B172" s="3"/>
    </row>
    <row r="173" spans="1:2" x14ac:dyDescent="0.2">
      <c r="A173" s="3"/>
      <c r="B173" s="3"/>
    </row>
    <row r="174" spans="1:2" x14ac:dyDescent="0.2">
      <c r="A174" s="3"/>
      <c r="B174" s="3"/>
    </row>
    <row r="175" spans="1:2" x14ac:dyDescent="0.2">
      <c r="A175" s="3"/>
      <c r="B175" s="3"/>
    </row>
    <row r="176" spans="1:2" x14ac:dyDescent="0.2">
      <c r="A176" s="3"/>
      <c r="B176" s="3"/>
    </row>
    <row r="177" spans="1:2" x14ac:dyDescent="0.2">
      <c r="A177" s="3"/>
      <c r="B177" s="3"/>
    </row>
    <row r="178" spans="1:2" x14ac:dyDescent="0.2">
      <c r="A178" s="3"/>
      <c r="B178" s="3"/>
    </row>
    <row r="179" spans="1:2" x14ac:dyDescent="0.2">
      <c r="A179" s="3"/>
      <c r="B179" s="3"/>
    </row>
    <row r="180" spans="1:2" x14ac:dyDescent="0.2">
      <c r="A180" s="3"/>
      <c r="B180" s="3"/>
    </row>
    <row r="181" spans="1:2" x14ac:dyDescent="0.2">
      <c r="A181" s="3"/>
      <c r="B181" s="3"/>
    </row>
    <row r="182" spans="1:2" x14ac:dyDescent="0.2">
      <c r="A182" s="3"/>
      <c r="B182" s="3"/>
    </row>
    <row r="183" spans="1:2" x14ac:dyDescent="0.2">
      <c r="A183" s="3"/>
      <c r="B183" s="3"/>
    </row>
    <row r="184" spans="1:2" x14ac:dyDescent="0.2">
      <c r="A184" s="3"/>
      <c r="B184" s="3"/>
    </row>
    <row r="185" spans="1:2" x14ac:dyDescent="0.2">
      <c r="A185" s="3"/>
      <c r="B185" s="3"/>
    </row>
    <row r="186" spans="1:2" x14ac:dyDescent="0.2">
      <c r="A186" s="3"/>
      <c r="B186" s="3"/>
    </row>
    <row r="187" spans="1:2" x14ac:dyDescent="0.2">
      <c r="A187" s="3"/>
      <c r="B187" s="3"/>
    </row>
    <row r="188" spans="1:2" x14ac:dyDescent="0.2">
      <c r="A188" s="3"/>
      <c r="B188" s="3"/>
    </row>
    <row r="189" spans="1:2" x14ac:dyDescent="0.2">
      <c r="A189" s="3"/>
      <c r="B189" s="3"/>
    </row>
    <row r="190" spans="1:2" x14ac:dyDescent="0.2">
      <c r="A190" s="3"/>
      <c r="B190" s="3"/>
    </row>
    <row r="191" spans="1:2" x14ac:dyDescent="0.2">
      <c r="A191" s="3"/>
      <c r="B191" s="3"/>
    </row>
    <row r="192" spans="1:2" x14ac:dyDescent="0.2">
      <c r="A192" s="3"/>
      <c r="B192" s="3"/>
    </row>
    <row r="193" spans="1:2" x14ac:dyDescent="0.2">
      <c r="A193" s="3"/>
      <c r="B193" s="3"/>
    </row>
    <row r="194" spans="1:2" x14ac:dyDescent="0.2">
      <c r="A194" s="3"/>
      <c r="B194" s="3"/>
    </row>
    <row r="195" spans="1:2" x14ac:dyDescent="0.2">
      <c r="A195" s="3"/>
      <c r="B195" s="3"/>
    </row>
    <row r="196" spans="1:2" x14ac:dyDescent="0.2">
      <c r="A196" s="3"/>
      <c r="B196" s="3"/>
    </row>
    <row r="197" spans="1:2" x14ac:dyDescent="0.2">
      <c r="A197" s="3"/>
      <c r="B197" s="3"/>
    </row>
    <row r="198" spans="1:2" x14ac:dyDescent="0.2">
      <c r="A198" s="3"/>
      <c r="B198" s="3"/>
    </row>
    <row r="199" spans="1:2" x14ac:dyDescent="0.2">
      <c r="A199" s="3"/>
      <c r="B199" s="3"/>
    </row>
    <row r="200" spans="1:2" x14ac:dyDescent="0.2">
      <c r="A200" s="3"/>
      <c r="B200" s="3"/>
    </row>
    <row r="201" spans="1:2" x14ac:dyDescent="0.2">
      <c r="A201" s="3"/>
      <c r="B201" s="3"/>
    </row>
    <row r="202" spans="1:2" x14ac:dyDescent="0.2">
      <c r="A202" s="3"/>
      <c r="B202" s="3"/>
    </row>
    <row r="203" spans="1:2" x14ac:dyDescent="0.2">
      <c r="A203" s="3"/>
      <c r="B203" s="3"/>
    </row>
    <row r="204" spans="1:2" x14ac:dyDescent="0.2">
      <c r="A204" s="3"/>
      <c r="B204" s="3"/>
    </row>
    <row r="205" spans="1:2" x14ac:dyDescent="0.2">
      <c r="A205" s="3"/>
      <c r="B205" s="3"/>
    </row>
    <row r="206" spans="1:2" x14ac:dyDescent="0.2">
      <c r="A206" s="3"/>
      <c r="B206" s="3"/>
    </row>
    <row r="207" spans="1:2" x14ac:dyDescent="0.2">
      <c r="A207" s="3"/>
      <c r="B207" s="3"/>
    </row>
  </sheetData>
  <mergeCells count="141">
    <mergeCell ref="AB7:AC7"/>
    <mergeCell ref="AB18:AC18"/>
    <mergeCell ref="AB33:AC33"/>
    <mergeCell ref="AB59:AC59"/>
    <mergeCell ref="AB29:AC29"/>
    <mergeCell ref="AB26:AC26"/>
    <mergeCell ref="S7:T7"/>
    <mergeCell ref="Q7:R7"/>
    <mergeCell ref="Q18:R18"/>
    <mergeCell ref="Q26:R26"/>
    <mergeCell ref="Q29:R29"/>
    <mergeCell ref="S18:T18"/>
    <mergeCell ref="S26:T26"/>
    <mergeCell ref="S29:T29"/>
    <mergeCell ref="S33:T33"/>
    <mergeCell ref="U7:V7"/>
    <mergeCell ref="U18:V18"/>
    <mergeCell ref="U26:V26"/>
    <mergeCell ref="U29:V29"/>
    <mergeCell ref="U33:V33"/>
    <mergeCell ref="U59:V59"/>
    <mergeCell ref="W7:X7"/>
    <mergeCell ref="W18:X18"/>
    <mergeCell ref="W26:X26"/>
    <mergeCell ref="C106:D106"/>
    <mergeCell ref="I106:J106"/>
    <mergeCell ref="C109:D109"/>
    <mergeCell ref="I109:J109"/>
    <mergeCell ref="C107:D107"/>
    <mergeCell ref="I107:J107"/>
    <mergeCell ref="C111:D111"/>
    <mergeCell ref="I111:J111"/>
    <mergeCell ref="C108:D108"/>
    <mergeCell ref="I108:J108"/>
    <mergeCell ref="C110:D110"/>
    <mergeCell ref="I110:J110"/>
    <mergeCell ref="C103:D103"/>
    <mergeCell ref="I103:J103"/>
    <mergeCell ref="C104:D104"/>
    <mergeCell ref="I104:J104"/>
    <mergeCell ref="C101:D101"/>
    <mergeCell ref="I101:J101"/>
    <mergeCell ref="C102:D102"/>
    <mergeCell ref="I102:J102"/>
    <mergeCell ref="C105:D105"/>
    <mergeCell ref="I105:J105"/>
    <mergeCell ref="G89:H89"/>
    <mergeCell ref="I89:J89"/>
    <mergeCell ref="O89:P89"/>
    <mergeCell ref="O94:P94"/>
    <mergeCell ref="C99:D99"/>
    <mergeCell ref="I99:J99"/>
    <mergeCell ref="C100:D100"/>
    <mergeCell ref="I100:J100"/>
    <mergeCell ref="C97:D97"/>
    <mergeCell ref="I97:J97"/>
    <mergeCell ref="C98:D98"/>
    <mergeCell ref="I98:J98"/>
    <mergeCell ref="I59:J59"/>
    <mergeCell ref="M59:N59"/>
    <mergeCell ref="K33:L33"/>
    <mergeCell ref="K59:L59"/>
    <mergeCell ref="C96:D96"/>
    <mergeCell ref="I96:J96"/>
    <mergeCell ref="K89:L89"/>
    <mergeCell ref="M89:N89"/>
    <mergeCell ref="AB89:AC89"/>
    <mergeCell ref="C94:D94"/>
    <mergeCell ref="E94:F94"/>
    <mergeCell ref="G94:H94"/>
    <mergeCell ref="I94:J94"/>
    <mergeCell ref="K94:L94"/>
    <mergeCell ref="Q89:R89"/>
    <mergeCell ref="Q94:R94"/>
    <mergeCell ref="W89:X89"/>
    <mergeCell ref="W94:X94"/>
    <mergeCell ref="U89:V89"/>
    <mergeCell ref="U94:V94"/>
    <mergeCell ref="M94:N94"/>
    <mergeCell ref="AB94:AC94"/>
    <mergeCell ref="C89:D89"/>
    <mergeCell ref="E89:F89"/>
    <mergeCell ref="S89:T89"/>
    <mergeCell ref="S94:T94"/>
    <mergeCell ref="E18:F18"/>
    <mergeCell ref="E27:F27"/>
    <mergeCell ref="G27:H27"/>
    <mergeCell ref="C29:D29"/>
    <mergeCell ref="C28:D28"/>
    <mergeCell ref="E28:F28"/>
    <mergeCell ref="G28:H28"/>
    <mergeCell ref="G29:H29"/>
    <mergeCell ref="C18:D18"/>
    <mergeCell ref="G18:H18"/>
    <mergeCell ref="C27:D27"/>
    <mergeCell ref="E29:F29"/>
    <mergeCell ref="C26:D26"/>
    <mergeCell ref="E26:F26"/>
    <mergeCell ref="G26:H26"/>
    <mergeCell ref="C59:D59"/>
    <mergeCell ref="E59:F59"/>
    <mergeCell ref="I33:J33"/>
    <mergeCell ref="E33:F33"/>
    <mergeCell ref="G33:H33"/>
    <mergeCell ref="G59:H59"/>
    <mergeCell ref="C33:D33"/>
    <mergeCell ref="I7:J7"/>
    <mergeCell ref="I18:J18"/>
    <mergeCell ref="I27:J27"/>
    <mergeCell ref="I28:J28"/>
    <mergeCell ref="M26:N26"/>
    <mergeCell ref="K7:L7"/>
    <mergeCell ref="K18:L18"/>
    <mergeCell ref="K26:L26"/>
    <mergeCell ref="I29:J29"/>
    <mergeCell ref="I26:J26"/>
    <mergeCell ref="S59:T59"/>
    <mergeCell ref="K29:L29"/>
    <mergeCell ref="M29:N29"/>
    <mergeCell ref="O59:P59"/>
    <mergeCell ref="Q33:R33"/>
    <mergeCell ref="Q59:R59"/>
    <mergeCell ref="M33:N33"/>
    <mergeCell ref="O7:P7"/>
    <mergeCell ref="O18:P18"/>
    <mergeCell ref="O26:P26"/>
    <mergeCell ref="O29:P29"/>
    <mergeCell ref="O33:P33"/>
    <mergeCell ref="M7:N7"/>
    <mergeCell ref="M18:N18"/>
    <mergeCell ref="Y7:Z7"/>
    <mergeCell ref="Y18:Z18"/>
    <mergeCell ref="Y26:Z26"/>
    <mergeCell ref="Y29:Z29"/>
    <mergeCell ref="Y33:Z33"/>
    <mergeCell ref="Y59:Z59"/>
    <mergeCell ref="Y89:Z89"/>
    <mergeCell ref="Y94:Z94"/>
    <mergeCell ref="W29:X29"/>
    <mergeCell ref="W33:X33"/>
    <mergeCell ref="W59:X59"/>
  </mergeCells>
  <phoneticPr fontId="3" type="noConversion"/>
  <printOptions horizontalCentered="1"/>
  <pageMargins left="0.5" right="0.5" top="0.5" bottom="0.25" header="0.5" footer="0.34"/>
  <pageSetup scale="73" orientation="landscape" r:id="rId1"/>
  <headerFooter alignWithMargins="0">
    <oddFooter>&amp;R&amp;P of &amp;N
&amp;D</oddFooter>
  </headerFooter>
  <rowBreaks count="1" manualBreakCount="1">
    <brk id="55" max="20" man="1"/>
  </rowBreaks>
  <ignoredErrors>
    <ignoredError sqref="S69:S88 W69:W86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6"/>
  <sheetViews>
    <sheetView view="pageBreakPreview" zoomScaleNormal="100" workbookViewId="0">
      <pane xSplit="2" ySplit="1" topLeftCell="O2" activePane="bottomRight" state="frozen"/>
      <selection activeCell="AF81" sqref="AF81"/>
      <selection pane="topRight" activeCell="AF81" sqref="AF81"/>
      <selection pane="bottomLeft" activeCell="AF81" sqref="AF81"/>
      <selection pane="bottomRight" activeCell="AF81" sqref="AF81"/>
    </sheetView>
  </sheetViews>
  <sheetFormatPr defaultColWidth="10.28515625" defaultRowHeight="12.75" x14ac:dyDescent="0.2"/>
  <cols>
    <col min="1" max="1" width="3.7109375" customWidth="1"/>
    <col min="2" max="2" width="29.7109375" customWidth="1"/>
    <col min="3" max="3" width="7.7109375" hidden="1" customWidth="1"/>
    <col min="4" max="4" width="10.7109375" hidden="1" customWidth="1"/>
    <col min="5" max="5" width="7.7109375" hidden="1" customWidth="1"/>
    <col min="6" max="6" width="10.7109375" hidden="1" customWidth="1"/>
    <col min="7" max="7" width="7.7109375" style="115" hidden="1" customWidth="1"/>
    <col min="8" max="8" width="10.7109375" style="115" hidden="1" customWidth="1"/>
    <col min="9" max="9" width="7.7109375" style="115" hidden="1" customWidth="1"/>
    <col min="10" max="10" width="10.7109375" style="115" hidden="1" customWidth="1"/>
    <col min="11" max="11" width="7.7109375" hidden="1" customWidth="1"/>
    <col min="12" max="12" width="10.7109375" hidden="1" customWidth="1"/>
    <col min="13" max="13" width="7.7109375" hidden="1" customWidth="1"/>
    <col min="14" max="14" width="10.7109375" hidden="1" customWidth="1"/>
    <col min="15" max="15" width="7.7109375" customWidth="1"/>
    <col min="16" max="16" width="10.7109375" customWidth="1"/>
    <col min="17" max="17" width="7.7109375" customWidth="1"/>
    <col min="18" max="18" width="10.7109375" customWidth="1"/>
    <col min="19" max="19" width="7.7109375" customWidth="1"/>
    <col min="20" max="20" width="10.7109375" customWidth="1"/>
    <col min="21" max="21" width="7.7109375" customWidth="1"/>
    <col min="22" max="22" width="10.7109375" customWidth="1"/>
    <col min="23" max="23" width="7.7109375" customWidth="1"/>
    <col min="24" max="24" width="10.7109375" customWidth="1"/>
    <col min="25" max="25" width="7.7109375" customWidth="1"/>
    <col min="26" max="26" width="10.7109375" customWidth="1"/>
    <col min="27" max="27" width="1.7109375" customWidth="1"/>
    <col min="28" max="28" width="7.7109375" customWidth="1"/>
    <col min="29" max="29" width="10.7109375" customWidth="1"/>
    <col min="30" max="30" width="1.28515625" customWidth="1"/>
  </cols>
  <sheetData>
    <row r="1" spans="1:29" ht="18.75" customHeight="1" x14ac:dyDescent="0.25">
      <c r="A1" s="1183" t="str">
        <f>Dean_AS!A1</f>
        <v>Department Profile Report - FY 2015</v>
      </c>
      <c r="B1" s="1183"/>
      <c r="C1" s="1183"/>
      <c r="D1" s="1183"/>
      <c r="E1" s="1183"/>
      <c r="F1" s="1183"/>
      <c r="G1" s="1183"/>
      <c r="H1" s="1183"/>
      <c r="I1" s="1239"/>
      <c r="J1" s="1239"/>
      <c r="K1" s="1228"/>
      <c r="L1" s="1182"/>
      <c r="M1" s="1182"/>
      <c r="N1" s="1182"/>
      <c r="O1" s="1182"/>
      <c r="P1" s="1182"/>
      <c r="Q1" s="1182"/>
      <c r="R1" s="1182"/>
      <c r="S1" s="1182"/>
      <c r="T1" s="1182"/>
      <c r="U1" s="1182"/>
      <c r="V1" s="1182"/>
      <c r="W1" s="1182"/>
      <c r="X1" s="1182"/>
      <c r="Y1" s="1182"/>
      <c r="Z1" s="1182"/>
      <c r="AA1" s="1182"/>
      <c r="AB1" s="1182"/>
      <c r="AC1" s="1182"/>
    </row>
    <row r="2" spans="1:29" ht="10.5" customHeight="1" x14ac:dyDescent="0.2">
      <c r="A2" s="3"/>
      <c r="B2" s="3"/>
      <c r="C2" s="3"/>
      <c r="D2" s="3"/>
      <c r="E2" s="117"/>
      <c r="F2" s="3"/>
      <c r="G2" s="117"/>
      <c r="H2" s="117"/>
      <c r="I2" s="117"/>
      <c r="J2" s="117"/>
      <c r="K2" s="3"/>
    </row>
    <row r="3" spans="1:29" x14ac:dyDescent="0.2">
      <c r="A3" s="2" t="s">
        <v>118</v>
      </c>
      <c r="B3" s="117"/>
      <c r="C3" s="3"/>
      <c r="D3" s="3"/>
      <c r="E3" s="3"/>
      <c r="F3" s="3"/>
      <c r="G3" s="117"/>
      <c r="H3" s="117"/>
      <c r="I3" s="117"/>
      <c r="J3" s="117"/>
      <c r="K3" s="3"/>
    </row>
    <row r="4" spans="1:29" ht="10.5" customHeight="1" x14ac:dyDescent="0.2">
      <c r="A4" s="3"/>
      <c r="B4" s="3"/>
      <c r="C4" s="3"/>
      <c r="D4" s="3"/>
      <c r="E4" s="3"/>
      <c r="F4" s="3"/>
      <c r="G4" s="117"/>
      <c r="H4" s="117"/>
      <c r="I4" s="117"/>
      <c r="J4" s="117"/>
      <c r="K4" s="3"/>
    </row>
    <row r="5" spans="1:29" x14ac:dyDescent="0.2">
      <c r="A5" s="2" t="s">
        <v>77</v>
      </c>
      <c r="B5" s="3"/>
      <c r="C5" s="3"/>
      <c r="D5" s="3"/>
      <c r="E5" s="3"/>
      <c r="F5" s="3"/>
      <c r="G5" s="117"/>
      <c r="H5" s="117"/>
      <c r="I5" s="117"/>
      <c r="J5" s="117"/>
      <c r="K5" s="3"/>
      <c r="T5" s="617"/>
      <c r="V5" s="617"/>
      <c r="X5" s="617"/>
      <c r="Z5" s="617"/>
    </row>
    <row r="6" spans="1:29" ht="9.75" customHeight="1" thickBot="1" x14ac:dyDescent="0.25">
      <c r="A6" s="4"/>
      <c r="B6" s="3"/>
      <c r="C6" s="3"/>
      <c r="D6" s="3"/>
      <c r="E6" s="3"/>
      <c r="F6" s="3"/>
      <c r="G6" s="117"/>
      <c r="H6" s="117"/>
      <c r="I6" s="117"/>
      <c r="J6" s="117"/>
      <c r="K6" s="3"/>
    </row>
    <row r="7" spans="1:29" ht="12" customHeight="1" thickTop="1" thickBot="1" x14ac:dyDescent="0.25">
      <c r="A7" s="3"/>
      <c r="B7" s="1349"/>
      <c r="C7" s="624" t="s">
        <v>49</v>
      </c>
      <c r="D7" s="623"/>
      <c r="E7" s="624" t="s">
        <v>50</v>
      </c>
      <c r="F7" s="625"/>
      <c r="G7" s="626" t="s">
        <v>141</v>
      </c>
      <c r="H7" s="627"/>
      <c r="I7" s="2093" t="s">
        <v>152</v>
      </c>
      <c r="J7" s="2093"/>
      <c r="K7" s="2096" t="s">
        <v>154</v>
      </c>
      <c r="L7" s="2093"/>
      <c r="M7" s="2096" t="s">
        <v>171</v>
      </c>
      <c r="N7" s="2095"/>
      <c r="O7" s="2093" t="s">
        <v>227</v>
      </c>
      <c r="P7" s="2095"/>
      <c r="Q7" s="2093" t="s">
        <v>237</v>
      </c>
      <c r="R7" s="2095"/>
      <c r="S7" s="2093" t="s">
        <v>272</v>
      </c>
      <c r="T7" s="2095"/>
      <c r="U7" s="2093" t="s">
        <v>274</v>
      </c>
      <c r="V7" s="2095"/>
      <c r="W7" s="2093" t="s">
        <v>280</v>
      </c>
      <c r="X7" s="2095"/>
      <c r="Y7" s="2093" t="s">
        <v>290</v>
      </c>
      <c r="Z7" s="2094"/>
      <c r="AB7" s="2003" t="s">
        <v>213</v>
      </c>
      <c r="AC7" s="2004"/>
    </row>
    <row r="8" spans="1:29" s="617" customFormat="1" x14ac:dyDescent="0.2">
      <c r="A8" s="618"/>
      <c r="B8" s="628"/>
      <c r="C8" s="677" t="s">
        <v>1</v>
      </c>
      <c r="D8" s="678" t="s">
        <v>2</v>
      </c>
      <c r="E8" s="677" t="s">
        <v>1</v>
      </c>
      <c r="F8" s="679" t="s">
        <v>2</v>
      </c>
      <c r="G8" s="673" t="s">
        <v>1</v>
      </c>
      <c r="H8" s="680" t="s">
        <v>2</v>
      </c>
      <c r="I8" s="681" t="s">
        <v>1</v>
      </c>
      <c r="J8" s="674" t="s">
        <v>2</v>
      </c>
      <c r="K8" s="673" t="s">
        <v>1</v>
      </c>
      <c r="L8" s="674" t="s">
        <v>2</v>
      </c>
      <c r="M8" s="673" t="s">
        <v>1</v>
      </c>
      <c r="N8" s="680" t="s">
        <v>2</v>
      </c>
      <c r="O8" s="681" t="s">
        <v>1</v>
      </c>
      <c r="P8" s="680" t="s">
        <v>2</v>
      </c>
      <c r="Q8" s="681" t="s">
        <v>1</v>
      </c>
      <c r="R8" s="680" t="s">
        <v>2</v>
      </c>
      <c r="S8" s="681" t="s">
        <v>1</v>
      </c>
      <c r="T8" s="680" t="s">
        <v>2</v>
      </c>
      <c r="U8" s="681" t="s">
        <v>1</v>
      </c>
      <c r="V8" s="680" t="s">
        <v>2</v>
      </c>
      <c r="W8" s="681" t="s">
        <v>1</v>
      </c>
      <c r="X8" s="680" t="s">
        <v>2</v>
      </c>
      <c r="Y8" s="681" t="s">
        <v>1</v>
      </c>
      <c r="Z8" s="675" t="s">
        <v>2</v>
      </c>
      <c r="AB8" s="921" t="s">
        <v>214</v>
      </c>
      <c r="AC8" s="922" t="s">
        <v>215</v>
      </c>
    </row>
    <row r="9" spans="1:29" s="617" customFormat="1" ht="13.5" thickBot="1" x14ac:dyDescent="0.25">
      <c r="A9" s="618"/>
      <c r="B9" s="637"/>
      <c r="C9" s="629" t="s">
        <v>3</v>
      </c>
      <c r="D9" s="630" t="s">
        <v>4</v>
      </c>
      <c r="E9" s="629" t="s">
        <v>3</v>
      </c>
      <c r="F9" s="631" t="s">
        <v>4</v>
      </c>
      <c r="G9" s="632" t="s">
        <v>3</v>
      </c>
      <c r="H9" s="633" t="s">
        <v>4</v>
      </c>
      <c r="I9" s="634" t="s">
        <v>3</v>
      </c>
      <c r="J9" s="635" t="s">
        <v>4</v>
      </c>
      <c r="K9" s="632" t="s">
        <v>3</v>
      </c>
      <c r="L9" s="635" t="s">
        <v>4</v>
      </c>
      <c r="M9" s="632" t="s">
        <v>3</v>
      </c>
      <c r="N9" s="633" t="s">
        <v>4</v>
      </c>
      <c r="O9" s="634" t="s">
        <v>3</v>
      </c>
      <c r="P9" s="633" t="s">
        <v>4</v>
      </c>
      <c r="Q9" s="634" t="s">
        <v>3</v>
      </c>
      <c r="R9" s="633" t="s">
        <v>4</v>
      </c>
      <c r="S9" s="634" t="s">
        <v>3</v>
      </c>
      <c r="T9" s="633" t="s">
        <v>4</v>
      </c>
      <c r="U9" s="634" t="s">
        <v>3</v>
      </c>
      <c r="V9" s="633" t="s">
        <v>4</v>
      </c>
      <c r="W9" s="634" t="s">
        <v>3</v>
      </c>
      <c r="X9" s="633" t="s">
        <v>4</v>
      </c>
      <c r="Y9" s="634" t="s">
        <v>3</v>
      </c>
      <c r="Z9" s="636" t="s">
        <v>4</v>
      </c>
      <c r="AB9" s="923" t="s">
        <v>3</v>
      </c>
      <c r="AC9" s="924" t="s">
        <v>4</v>
      </c>
    </row>
    <row r="10" spans="1:29" s="617" customFormat="1" x14ac:dyDescent="0.2">
      <c r="A10" s="618"/>
      <c r="B10" s="642" t="s">
        <v>5</v>
      </c>
      <c r="C10" s="686"/>
      <c r="D10" s="685"/>
      <c r="E10" s="686"/>
      <c r="F10" s="687"/>
      <c r="G10" s="688"/>
      <c r="H10" s="689"/>
      <c r="I10" s="690"/>
      <c r="J10" s="691"/>
      <c r="K10" s="688"/>
      <c r="L10" s="691"/>
      <c r="M10" s="688"/>
      <c r="N10" s="689"/>
      <c r="O10" s="690"/>
      <c r="P10" s="689"/>
      <c r="Q10" s="690"/>
      <c r="R10" s="689"/>
      <c r="S10" s="690"/>
      <c r="T10" s="689"/>
      <c r="U10" s="690"/>
      <c r="V10" s="689"/>
      <c r="W10" s="690"/>
      <c r="X10" s="689"/>
      <c r="Y10" s="690"/>
      <c r="Z10" s="692"/>
      <c r="AB10" s="925"/>
      <c r="AC10" s="581"/>
    </row>
    <row r="11" spans="1:29" s="617" customFormat="1" x14ac:dyDescent="0.2">
      <c r="A11" s="618"/>
      <c r="B11" s="1538" t="s">
        <v>119</v>
      </c>
      <c r="C11" s="682"/>
      <c r="D11" s="683"/>
      <c r="E11" s="682"/>
      <c r="F11" s="684"/>
      <c r="G11" s="676"/>
      <c r="H11" s="647"/>
      <c r="I11" s="646"/>
      <c r="J11" s="648"/>
      <c r="K11" s="676"/>
      <c r="L11" s="648"/>
      <c r="M11" s="676"/>
      <c r="N11" s="647"/>
      <c r="O11" s="646"/>
      <c r="P11" s="647"/>
      <c r="Q11" s="646"/>
      <c r="R11" s="647"/>
      <c r="S11" s="646"/>
      <c r="T11" s="647"/>
      <c r="U11" s="646"/>
      <c r="V11" s="647"/>
      <c r="W11" s="646"/>
      <c r="X11" s="647"/>
      <c r="Y11" s="646"/>
      <c r="Z11" s="721"/>
      <c r="AB11" s="926"/>
      <c r="AC11" s="927"/>
    </row>
    <row r="12" spans="1:29" s="617" customFormat="1" x14ac:dyDescent="0.2">
      <c r="A12" s="618"/>
      <c r="B12" s="654" t="s">
        <v>221</v>
      </c>
      <c r="C12" s="722">
        <v>354</v>
      </c>
      <c r="D12" s="723">
        <f>71+3</f>
        <v>74</v>
      </c>
      <c r="E12" s="722">
        <f>363+17</f>
        <v>380</v>
      </c>
      <c r="F12" s="701">
        <f>100+3</f>
        <v>103</v>
      </c>
      <c r="G12" s="724">
        <v>345</v>
      </c>
      <c r="H12" s="659">
        <f>103+1</f>
        <v>104</v>
      </c>
      <c r="I12" s="725">
        <v>320</v>
      </c>
      <c r="J12" s="726">
        <f>87+2</f>
        <v>89</v>
      </c>
      <c r="K12" s="727">
        <v>328</v>
      </c>
      <c r="L12" s="726">
        <f>74+11</f>
        <v>85</v>
      </c>
      <c r="M12" s="727">
        <f>306+22</f>
        <v>328</v>
      </c>
      <c r="N12" s="659">
        <v>91</v>
      </c>
      <c r="O12" s="725">
        <v>356</v>
      </c>
      <c r="P12" s="659">
        <f>71+5</f>
        <v>76</v>
      </c>
      <c r="Q12" s="725">
        <v>378</v>
      </c>
      <c r="R12" s="659">
        <v>80</v>
      </c>
      <c r="S12" s="725">
        <v>374</v>
      </c>
      <c r="T12" s="659">
        <v>110</v>
      </c>
      <c r="U12" s="725">
        <v>352</v>
      </c>
      <c r="V12" s="659">
        <v>77</v>
      </c>
      <c r="W12" s="725">
        <v>366</v>
      </c>
      <c r="X12" s="659">
        <v>80</v>
      </c>
      <c r="Y12" s="725">
        <v>346</v>
      </c>
      <c r="Z12" s="1671"/>
      <c r="AB12" s="926">
        <f>AVERAGE(W12,U12,Q12,S12,Y12)</f>
        <v>363.2</v>
      </c>
      <c r="AC12" s="928">
        <f>AVERAGE(X12,V12,R12,T12,P12)</f>
        <v>84.6</v>
      </c>
    </row>
    <row r="13" spans="1:29" s="617" customFormat="1" x14ac:dyDescent="0.2">
      <c r="A13" s="618"/>
      <c r="B13" s="669" t="s">
        <v>167</v>
      </c>
      <c r="C13" s="722">
        <v>14</v>
      </c>
      <c r="D13" s="723">
        <v>1</v>
      </c>
      <c r="E13" s="722">
        <v>20</v>
      </c>
      <c r="F13" s="728">
        <v>3</v>
      </c>
      <c r="G13" s="724">
        <v>22</v>
      </c>
      <c r="H13" s="659">
        <v>3</v>
      </c>
      <c r="I13" s="725">
        <v>19</v>
      </c>
      <c r="J13" s="726">
        <v>4</v>
      </c>
      <c r="K13" s="727">
        <v>18</v>
      </c>
      <c r="L13" s="726">
        <f>5+2</f>
        <v>7</v>
      </c>
      <c r="M13" s="727">
        <v>18</v>
      </c>
      <c r="N13" s="659">
        <v>4</v>
      </c>
      <c r="O13" s="725">
        <v>17</v>
      </c>
      <c r="P13" s="659">
        <v>5</v>
      </c>
      <c r="Q13" s="725">
        <v>16</v>
      </c>
      <c r="R13" s="659">
        <v>3</v>
      </c>
      <c r="S13" s="725">
        <v>18</v>
      </c>
      <c r="T13" s="659">
        <v>7</v>
      </c>
      <c r="U13" s="725">
        <v>14</v>
      </c>
      <c r="V13" s="659">
        <v>4</v>
      </c>
      <c r="W13" s="725">
        <v>14</v>
      </c>
      <c r="X13" s="659">
        <v>2</v>
      </c>
      <c r="Y13" s="725">
        <v>17</v>
      </c>
      <c r="Z13" s="1671"/>
      <c r="AB13" s="926">
        <f t="shared" ref="AB13:AB14" si="0">AVERAGE(W13,U13,Q13,S13,Y13)</f>
        <v>15.8</v>
      </c>
      <c r="AC13" s="928">
        <f t="shared" ref="AC13:AC18" si="1">AVERAGE(X13,V13,R13,T13,P13)</f>
        <v>4.2</v>
      </c>
    </row>
    <row r="14" spans="1:29" s="617" customFormat="1" x14ac:dyDescent="0.2">
      <c r="A14" s="618"/>
      <c r="B14" s="669" t="s">
        <v>6</v>
      </c>
      <c r="C14" s="722">
        <v>18</v>
      </c>
      <c r="D14" s="723">
        <v>1</v>
      </c>
      <c r="E14" s="722">
        <v>23</v>
      </c>
      <c r="F14" s="728">
        <v>1</v>
      </c>
      <c r="G14" s="724">
        <v>28</v>
      </c>
      <c r="H14" s="659">
        <v>0</v>
      </c>
      <c r="I14" s="725">
        <v>27</v>
      </c>
      <c r="J14" s="726">
        <v>6</v>
      </c>
      <c r="K14" s="727">
        <v>28</v>
      </c>
      <c r="L14" s="726">
        <v>1</v>
      </c>
      <c r="M14" s="727">
        <v>33</v>
      </c>
      <c r="N14" s="659">
        <v>0</v>
      </c>
      <c r="O14" s="725">
        <v>34</v>
      </c>
      <c r="P14" s="659">
        <v>3</v>
      </c>
      <c r="Q14" s="725">
        <v>31</v>
      </c>
      <c r="R14" s="659">
        <v>4</v>
      </c>
      <c r="S14" s="725">
        <v>28</v>
      </c>
      <c r="T14" s="659">
        <v>6</v>
      </c>
      <c r="U14" s="725">
        <v>30</v>
      </c>
      <c r="V14" s="659">
        <v>1</v>
      </c>
      <c r="W14" s="725">
        <v>30</v>
      </c>
      <c r="X14" s="659">
        <v>9</v>
      </c>
      <c r="Y14" s="725">
        <v>26</v>
      </c>
      <c r="Z14" s="1671"/>
      <c r="AA14" s="1020"/>
      <c r="AB14" s="926">
        <f t="shared" si="0"/>
        <v>29</v>
      </c>
      <c r="AC14" s="928">
        <f t="shared" si="1"/>
        <v>4.5999999999999996</v>
      </c>
    </row>
    <row r="15" spans="1:29" s="617" customFormat="1" x14ac:dyDescent="0.2">
      <c r="A15" s="618"/>
      <c r="B15" s="1538" t="s">
        <v>120</v>
      </c>
      <c r="C15" s="722"/>
      <c r="D15" s="723"/>
      <c r="E15" s="722"/>
      <c r="F15" s="728"/>
      <c r="G15" s="724"/>
      <c r="H15" s="659"/>
      <c r="I15" s="725"/>
      <c r="J15" s="726"/>
      <c r="K15" s="727"/>
      <c r="L15" s="726"/>
      <c r="M15" s="727"/>
      <c r="N15" s="659"/>
      <c r="O15" s="725"/>
      <c r="P15" s="659"/>
      <c r="Q15" s="725"/>
      <c r="R15" s="659"/>
      <c r="S15" s="725"/>
      <c r="T15" s="659"/>
      <c r="U15" s="725"/>
      <c r="V15" s="659"/>
      <c r="W15" s="725"/>
      <c r="X15" s="659"/>
      <c r="Y15" s="725"/>
      <c r="Z15" s="1671"/>
      <c r="AA15" s="1020"/>
      <c r="AB15" s="926"/>
      <c r="AC15" s="928"/>
    </row>
    <row r="16" spans="1:29" s="617" customFormat="1" x14ac:dyDescent="0.2">
      <c r="A16" s="618"/>
      <c r="B16" s="654" t="s">
        <v>221</v>
      </c>
      <c r="C16" s="672">
        <v>138</v>
      </c>
      <c r="D16" s="700">
        <f>28+1</f>
        <v>29</v>
      </c>
      <c r="E16" s="672">
        <f>123+45</f>
        <v>168</v>
      </c>
      <c r="F16" s="701">
        <f>24+1</f>
        <v>25</v>
      </c>
      <c r="G16" s="724">
        <v>155</v>
      </c>
      <c r="H16" s="663">
        <f>36+1</f>
        <v>37</v>
      </c>
      <c r="I16" s="725">
        <f>18+112</f>
        <v>130</v>
      </c>
      <c r="J16" s="665">
        <v>35</v>
      </c>
      <c r="K16" s="727">
        <v>118</v>
      </c>
      <c r="L16" s="665">
        <v>23</v>
      </c>
      <c r="M16" s="727">
        <f>110+5</f>
        <v>115</v>
      </c>
      <c r="N16" s="663">
        <v>22</v>
      </c>
      <c r="O16" s="725">
        <v>125</v>
      </c>
      <c r="P16" s="663">
        <v>24</v>
      </c>
      <c r="Q16" s="725">
        <v>164</v>
      </c>
      <c r="R16" s="663">
        <v>28</v>
      </c>
      <c r="S16" s="725">
        <v>172</v>
      </c>
      <c r="T16" s="663">
        <v>33</v>
      </c>
      <c r="U16" s="725">
        <v>210</v>
      </c>
      <c r="V16" s="663">
        <v>47</v>
      </c>
      <c r="W16" s="725">
        <v>224</v>
      </c>
      <c r="X16" s="663">
        <v>46</v>
      </c>
      <c r="Y16" s="725">
        <v>261</v>
      </c>
      <c r="Z16" s="1646"/>
      <c r="AA16" s="1020"/>
      <c r="AB16" s="926">
        <f t="shared" ref="AB16" si="2">AVERAGE(W16,U16,Q16,S16,Y16)</f>
        <v>206.2</v>
      </c>
      <c r="AC16" s="928">
        <f t="shared" si="1"/>
        <v>35.6</v>
      </c>
    </row>
    <row r="17" spans="1:32" s="617" customFormat="1" x14ac:dyDescent="0.2">
      <c r="A17" s="618"/>
      <c r="B17" s="1538" t="s">
        <v>121</v>
      </c>
      <c r="C17" s="672"/>
      <c r="D17" s="700"/>
      <c r="E17" s="672"/>
      <c r="F17" s="701"/>
      <c r="G17" s="724"/>
      <c r="H17" s="663"/>
      <c r="I17" s="725"/>
      <c r="J17" s="665"/>
      <c r="K17" s="727"/>
      <c r="L17" s="665"/>
      <c r="M17" s="727"/>
      <c r="N17" s="663"/>
      <c r="O17" s="725"/>
      <c r="P17" s="663"/>
      <c r="Q17" s="725"/>
      <c r="R17" s="663"/>
      <c r="S17" s="725"/>
      <c r="T17" s="663"/>
      <c r="U17" s="725"/>
      <c r="V17" s="663"/>
      <c r="W17" s="725"/>
      <c r="X17" s="663"/>
      <c r="Y17" s="725"/>
      <c r="Z17" s="1646"/>
      <c r="AA17" s="1020"/>
      <c r="AB17" s="926"/>
      <c r="AC17" s="928"/>
    </row>
    <row r="18" spans="1:32" s="617" customFormat="1" x14ac:dyDescent="0.2">
      <c r="A18" s="618"/>
      <c r="B18" s="781" t="s">
        <v>221</v>
      </c>
      <c r="C18" s="705">
        <v>88</v>
      </c>
      <c r="D18" s="703">
        <f>14+1</f>
        <v>15</v>
      </c>
      <c r="E18" s="705">
        <f>75+19</f>
        <v>94</v>
      </c>
      <c r="F18" s="704">
        <f>19+1</f>
        <v>20</v>
      </c>
      <c r="G18" s="724">
        <v>112</v>
      </c>
      <c r="H18" s="729">
        <f>19+4</f>
        <v>23</v>
      </c>
      <c r="I18" s="725">
        <f>83+9+17</f>
        <v>109</v>
      </c>
      <c r="J18" s="730">
        <f>16+6</f>
        <v>22</v>
      </c>
      <c r="K18" s="727">
        <v>118</v>
      </c>
      <c r="L18" s="730">
        <f>21+6</f>
        <v>27</v>
      </c>
      <c r="M18" s="727">
        <v>113</v>
      </c>
      <c r="N18" s="729">
        <v>25</v>
      </c>
      <c r="O18" s="725">
        <v>107</v>
      </c>
      <c r="P18" s="729">
        <f>22+1</f>
        <v>23</v>
      </c>
      <c r="Q18" s="725">
        <v>118</v>
      </c>
      <c r="R18" s="729">
        <v>22</v>
      </c>
      <c r="S18" s="725">
        <v>124</v>
      </c>
      <c r="T18" s="729">
        <v>31</v>
      </c>
      <c r="U18" s="725">
        <v>121</v>
      </c>
      <c r="V18" s="729">
        <v>31</v>
      </c>
      <c r="W18" s="725">
        <v>91</v>
      </c>
      <c r="X18" s="729">
        <v>16</v>
      </c>
      <c r="Y18" s="725">
        <v>91</v>
      </c>
      <c r="Z18" s="1647"/>
      <c r="AA18" s="1020"/>
      <c r="AB18" s="926">
        <f t="shared" ref="AB18:AB19" si="3">AVERAGE(W18,U18,Q18,S18,Y18)</f>
        <v>109</v>
      </c>
      <c r="AC18" s="928">
        <f t="shared" si="1"/>
        <v>24.6</v>
      </c>
    </row>
    <row r="19" spans="1:32" s="617" customFormat="1" ht="13.5" thickBot="1" x14ac:dyDescent="0.25">
      <c r="A19" s="618"/>
      <c r="B19" s="737" t="s">
        <v>80</v>
      </c>
      <c r="C19" s="717">
        <v>0</v>
      </c>
      <c r="D19" s="712">
        <v>1</v>
      </c>
      <c r="E19" s="714">
        <v>6</v>
      </c>
      <c r="F19" s="713">
        <v>10</v>
      </c>
      <c r="G19" s="731">
        <v>12</v>
      </c>
      <c r="H19" s="716">
        <v>3</v>
      </c>
      <c r="I19" s="732">
        <v>11</v>
      </c>
      <c r="J19" s="718">
        <v>3</v>
      </c>
      <c r="K19" s="733">
        <v>16</v>
      </c>
      <c r="L19" s="718">
        <v>5</v>
      </c>
      <c r="M19" s="733">
        <v>15</v>
      </c>
      <c r="N19" s="716">
        <v>8</v>
      </c>
      <c r="O19" s="732">
        <v>10</v>
      </c>
      <c r="P19" s="716">
        <v>4</v>
      </c>
      <c r="Q19" s="732">
        <v>14</v>
      </c>
      <c r="R19" s="716">
        <v>4</v>
      </c>
      <c r="S19" s="732">
        <v>16</v>
      </c>
      <c r="T19" s="716">
        <v>9</v>
      </c>
      <c r="U19" s="732">
        <v>15</v>
      </c>
      <c r="V19" s="716">
        <v>7</v>
      </c>
      <c r="W19" s="732">
        <v>19</v>
      </c>
      <c r="X19" s="716">
        <v>7</v>
      </c>
      <c r="Y19" s="732">
        <v>15</v>
      </c>
      <c r="Z19" s="1648"/>
      <c r="AA19" s="1020"/>
      <c r="AB19" s="926">
        <f t="shared" si="3"/>
        <v>15.8</v>
      </c>
      <c r="AC19" s="1021">
        <f>AVERAGE(X19,V19,R19,T19,P19)</f>
        <v>6.2</v>
      </c>
    </row>
    <row r="20" spans="1:32" ht="13.5" thickTop="1" x14ac:dyDescent="0.2">
      <c r="A20" s="3"/>
      <c r="B20" s="70" t="s">
        <v>170</v>
      </c>
      <c r="C20" s="33"/>
      <c r="D20" s="34"/>
      <c r="E20" s="33"/>
      <c r="F20" s="34"/>
      <c r="G20" s="133"/>
      <c r="H20" s="135"/>
      <c r="I20" s="133"/>
      <c r="J20" s="135"/>
      <c r="K20" s="133"/>
      <c r="L20" s="135"/>
      <c r="M20" s="133"/>
      <c r="N20" s="135"/>
      <c r="O20" s="133"/>
      <c r="P20" s="135"/>
      <c r="Q20" s="133"/>
      <c r="R20" s="135"/>
      <c r="S20" s="133"/>
      <c r="T20" s="135"/>
      <c r="U20" s="133"/>
      <c r="V20" s="495"/>
      <c r="W20" s="133"/>
      <c r="X20" s="135"/>
      <c r="Y20" s="133"/>
      <c r="Z20" s="135"/>
      <c r="AB20" s="1012"/>
    </row>
    <row r="21" spans="1:32" ht="10.5" customHeight="1" thickBot="1" x14ac:dyDescent="0.25">
      <c r="A21" s="3"/>
      <c r="B21" s="3"/>
      <c r="C21" s="3"/>
      <c r="D21" s="3"/>
      <c r="E21" s="3"/>
      <c r="F21" s="3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</row>
    <row r="22" spans="1:32" ht="14.25" thickTop="1" thickBot="1" x14ac:dyDescent="0.25">
      <c r="A22" s="3"/>
      <c r="B22" s="32"/>
      <c r="C22" s="2013" t="s">
        <v>49</v>
      </c>
      <c r="D22" s="2014"/>
      <c r="E22" s="2015" t="s">
        <v>50</v>
      </c>
      <c r="F22" s="2015"/>
      <c r="G22" s="2002" t="s">
        <v>141</v>
      </c>
      <c r="H22" s="1974"/>
      <c r="I22" s="2002" t="s">
        <v>152</v>
      </c>
      <c r="J22" s="1974"/>
      <c r="K22" s="2002" t="s">
        <v>154</v>
      </c>
      <c r="L22" s="1974"/>
      <c r="M22" s="2002" t="s">
        <v>171</v>
      </c>
      <c r="N22" s="1982"/>
      <c r="O22" s="1974" t="s">
        <v>227</v>
      </c>
      <c r="P22" s="1982"/>
      <c r="Q22" s="1974" t="s">
        <v>237</v>
      </c>
      <c r="R22" s="1982"/>
      <c r="S22" s="1974" t="s">
        <v>272</v>
      </c>
      <c r="T22" s="1982"/>
      <c r="U22" s="1974" t="s">
        <v>274</v>
      </c>
      <c r="V22" s="1982"/>
      <c r="W22" s="1974" t="s">
        <v>280</v>
      </c>
      <c r="X22" s="1982"/>
      <c r="Y22" s="1974" t="s">
        <v>290</v>
      </c>
      <c r="Z22" s="1975"/>
      <c r="AB22" s="2003" t="s">
        <v>213</v>
      </c>
      <c r="AC22" s="2004"/>
    </row>
    <row r="23" spans="1:32" x14ac:dyDescent="0.2">
      <c r="A23" s="3"/>
      <c r="B23" s="81" t="s">
        <v>7</v>
      </c>
      <c r="C23" s="54"/>
      <c r="D23" s="92"/>
      <c r="E23" s="30"/>
      <c r="F23" s="30"/>
      <c r="G23" s="243"/>
      <c r="H23" s="248"/>
      <c r="I23" s="138"/>
      <c r="J23" s="138"/>
      <c r="K23" s="243"/>
      <c r="L23" s="138"/>
      <c r="M23" s="243"/>
      <c r="N23" s="244"/>
      <c r="O23" s="138"/>
      <c r="P23" s="244"/>
      <c r="Q23" s="138"/>
      <c r="R23" s="244"/>
      <c r="S23" s="138"/>
      <c r="T23" s="244"/>
      <c r="U23" s="138"/>
      <c r="V23" s="244"/>
      <c r="W23" s="138"/>
      <c r="X23" s="244"/>
      <c r="Y23" s="138"/>
      <c r="Z23" s="140"/>
      <c r="AB23" s="831"/>
      <c r="AC23" s="930"/>
    </row>
    <row r="24" spans="1:32" x14ac:dyDescent="0.2">
      <c r="A24" s="3"/>
      <c r="B24" s="78" t="s">
        <v>8</v>
      </c>
      <c r="C24" s="184"/>
      <c r="D24" s="93"/>
      <c r="E24" s="31"/>
      <c r="F24" s="31"/>
      <c r="G24" s="239"/>
      <c r="H24" s="245"/>
      <c r="I24" s="139"/>
      <c r="J24" s="139"/>
      <c r="K24" s="239"/>
      <c r="L24" s="139"/>
      <c r="M24" s="239"/>
      <c r="N24" s="245"/>
      <c r="O24" s="139"/>
      <c r="P24" s="245"/>
      <c r="Q24" s="139"/>
      <c r="R24" s="245"/>
      <c r="S24" s="139"/>
      <c r="T24" s="245"/>
      <c r="U24" s="139"/>
      <c r="V24" s="245"/>
      <c r="W24" s="139"/>
      <c r="X24" s="245"/>
      <c r="Y24" s="139"/>
      <c r="Z24" s="141"/>
      <c r="AB24" s="831"/>
      <c r="AC24" s="930"/>
    </row>
    <row r="25" spans="1:32" x14ac:dyDescent="0.2">
      <c r="A25" s="3"/>
      <c r="B25" s="78" t="s">
        <v>9</v>
      </c>
      <c r="C25" s="184"/>
      <c r="D25" s="165">
        <f>7707+4659+399</f>
        <v>12765</v>
      </c>
      <c r="E25" s="31"/>
      <c r="F25" s="171">
        <f>7260+5157+309</f>
        <v>12726</v>
      </c>
      <c r="G25" s="239"/>
      <c r="H25" s="261">
        <f>6783+4649+336</f>
        <v>11768</v>
      </c>
      <c r="I25" s="139"/>
      <c r="J25" s="183">
        <v>10816</v>
      </c>
      <c r="K25" s="239"/>
      <c r="L25" s="183">
        <v>11016</v>
      </c>
      <c r="M25" s="239"/>
      <c r="N25" s="261">
        <f>4986+4452+672</f>
        <v>10110</v>
      </c>
      <c r="O25" s="139"/>
      <c r="P25" s="261">
        <v>10987</v>
      </c>
      <c r="Q25" s="139"/>
      <c r="R25" s="261">
        <v>11556</v>
      </c>
      <c r="S25" s="139"/>
      <c r="T25" s="261">
        <v>11852</v>
      </c>
      <c r="U25" s="139"/>
      <c r="V25" s="261">
        <v>11142</v>
      </c>
      <c r="W25" s="139"/>
      <c r="X25" s="261">
        <v>11502</v>
      </c>
      <c r="Y25" s="139"/>
      <c r="Z25" s="1649"/>
      <c r="AB25" s="24"/>
      <c r="AC25" s="947">
        <f t="shared" ref="AC25:AC29" si="4">AVERAGE(X25,V25,R25,T25,P25)</f>
        <v>11407.8</v>
      </c>
    </row>
    <row r="26" spans="1:32" x14ac:dyDescent="0.2">
      <c r="A26" s="3"/>
      <c r="B26" s="78" t="s">
        <v>10</v>
      </c>
      <c r="C26" s="184"/>
      <c r="D26" s="165">
        <f>7135+1078+1455</f>
        <v>9668</v>
      </c>
      <c r="E26" s="31"/>
      <c r="F26" s="171">
        <f>8302+996+1770</f>
        <v>11068</v>
      </c>
      <c r="G26" s="239"/>
      <c r="H26" s="261">
        <f>7965+1085+1872</f>
        <v>10922</v>
      </c>
      <c r="I26" s="139"/>
      <c r="J26" s="183">
        <v>10247</v>
      </c>
      <c r="K26" s="239"/>
      <c r="L26" s="183">
        <v>10508</v>
      </c>
      <c r="M26" s="239"/>
      <c r="N26" s="261">
        <f>7317+932+1388</f>
        <v>9637</v>
      </c>
      <c r="O26" s="139"/>
      <c r="P26" s="261">
        <v>10760</v>
      </c>
      <c r="Q26" s="139"/>
      <c r="R26" s="261">
        <v>10763</v>
      </c>
      <c r="S26" s="139"/>
      <c r="T26" s="261">
        <v>10888</v>
      </c>
      <c r="U26" s="139"/>
      <c r="V26" s="261">
        <v>10990</v>
      </c>
      <c r="W26" s="139"/>
      <c r="X26" s="261">
        <v>10654</v>
      </c>
      <c r="Y26" s="139"/>
      <c r="Z26" s="1649"/>
      <c r="AB26" s="12"/>
      <c r="AC26" s="947">
        <f t="shared" si="4"/>
        <v>10811</v>
      </c>
    </row>
    <row r="27" spans="1:32" x14ac:dyDescent="0.2">
      <c r="A27" s="3"/>
      <c r="B27" s="78" t="s">
        <v>11</v>
      </c>
      <c r="C27" s="184"/>
      <c r="D27" s="165">
        <f>248+33</f>
        <v>281</v>
      </c>
      <c r="E27" s="31"/>
      <c r="F27" s="171">
        <f>450+28</f>
        <v>478</v>
      </c>
      <c r="G27" s="239"/>
      <c r="H27" s="261">
        <f>496+39</f>
        <v>535</v>
      </c>
      <c r="I27" s="139"/>
      <c r="J27" s="183">
        <v>524</v>
      </c>
      <c r="K27" s="239"/>
      <c r="L27" s="183">
        <v>369</v>
      </c>
      <c r="M27" s="239"/>
      <c r="N27" s="261">
        <f>351+67</f>
        <v>418</v>
      </c>
      <c r="O27" s="139"/>
      <c r="P27" s="261">
        <v>362</v>
      </c>
      <c r="Q27" s="139"/>
      <c r="R27" s="261">
        <v>434</v>
      </c>
      <c r="S27" s="139"/>
      <c r="T27" s="261">
        <v>328</v>
      </c>
      <c r="U27" s="139"/>
      <c r="V27" s="261">
        <v>437</v>
      </c>
      <c r="W27" s="139"/>
      <c r="X27" s="261">
        <v>317</v>
      </c>
      <c r="Y27" s="139"/>
      <c r="Z27" s="1649"/>
      <c r="AA27" s="1031"/>
      <c r="AB27" s="31"/>
      <c r="AC27" s="947">
        <f t="shared" si="4"/>
        <v>375.6</v>
      </c>
    </row>
    <row r="28" spans="1:32" x14ac:dyDescent="0.2">
      <c r="A28" s="3"/>
      <c r="B28" s="78" t="s">
        <v>12</v>
      </c>
      <c r="C28" s="184"/>
      <c r="D28" s="94">
        <v>216</v>
      </c>
      <c r="E28" s="31"/>
      <c r="F28" s="39">
        <v>202</v>
      </c>
      <c r="G28" s="239"/>
      <c r="H28" s="240">
        <v>224</v>
      </c>
      <c r="I28" s="139"/>
      <c r="J28" s="241">
        <v>226</v>
      </c>
      <c r="K28" s="239"/>
      <c r="L28" s="241">
        <v>310</v>
      </c>
      <c r="M28" s="239"/>
      <c r="N28" s="240">
        <v>328</v>
      </c>
      <c r="O28" s="139"/>
      <c r="P28" s="240">
        <v>403</v>
      </c>
      <c r="Q28" s="139"/>
      <c r="R28" s="240">
        <v>367</v>
      </c>
      <c r="S28" s="139"/>
      <c r="T28" s="240">
        <v>323</v>
      </c>
      <c r="U28" s="139"/>
      <c r="V28" s="240">
        <v>245</v>
      </c>
      <c r="W28" s="139"/>
      <c r="X28" s="240">
        <v>312</v>
      </c>
      <c r="Y28" s="139"/>
      <c r="Z28" s="1650"/>
      <c r="AA28" s="1031"/>
      <c r="AB28" s="31"/>
      <c r="AC28" s="947">
        <f t="shared" si="4"/>
        <v>330</v>
      </c>
    </row>
    <row r="29" spans="1:32" ht="13.5" thickBot="1" x14ac:dyDescent="0.25">
      <c r="A29" s="3"/>
      <c r="B29" s="79" t="s">
        <v>13</v>
      </c>
      <c r="C29" s="185"/>
      <c r="D29" s="186">
        <f>SUM(D25:D28)</f>
        <v>22930</v>
      </c>
      <c r="E29" s="90"/>
      <c r="F29" s="58">
        <f>SUM(F25:F28)</f>
        <v>24474</v>
      </c>
      <c r="G29" s="246"/>
      <c r="H29" s="242">
        <f>SUM(H25:H28)</f>
        <v>23449</v>
      </c>
      <c r="I29" s="246"/>
      <c r="J29" s="242">
        <f>SUM(J25:J28)</f>
        <v>21813</v>
      </c>
      <c r="K29" s="246"/>
      <c r="L29" s="242">
        <f>SUM(L25:L28)</f>
        <v>22203</v>
      </c>
      <c r="M29" s="246"/>
      <c r="N29" s="247">
        <f>SUM(N25:N28)</f>
        <v>20493</v>
      </c>
      <c r="O29" s="164"/>
      <c r="P29" s="247">
        <f>SUM(P25:P28)</f>
        <v>22512</v>
      </c>
      <c r="Q29" s="164"/>
      <c r="R29" s="247">
        <f>SUM(R25:R28)</f>
        <v>23120</v>
      </c>
      <c r="S29" s="164"/>
      <c r="T29" s="247">
        <f>SUM(T25:T28)</f>
        <v>23391</v>
      </c>
      <c r="U29" s="164"/>
      <c r="V29" s="247">
        <f>SUM(V25:V28)</f>
        <v>22814</v>
      </c>
      <c r="W29" s="164"/>
      <c r="X29" s="247">
        <f>SUM(X25:X28)</f>
        <v>22785</v>
      </c>
      <c r="Y29" s="164"/>
      <c r="Z29" s="1651"/>
      <c r="AA29" s="1031"/>
      <c r="AB29" s="182"/>
      <c r="AC29" s="1008">
        <f t="shared" si="4"/>
        <v>22924.400000000001</v>
      </c>
    </row>
    <row r="30" spans="1:32" ht="12" customHeight="1" thickTop="1" thickBot="1" x14ac:dyDescent="0.25">
      <c r="A30" s="930"/>
      <c r="B30" s="1334" t="s">
        <v>212</v>
      </c>
      <c r="C30" s="1992" t="s">
        <v>51</v>
      </c>
      <c r="D30" s="1997"/>
      <c r="E30" s="1992" t="s">
        <v>52</v>
      </c>
      <c r="F30" s="1997"/>
      <c r="G30" s="1989" t="s">
        <v>184</v>
      </c>
      <c r="H30" s="1981"/>
      <c r="I30" s="1989" t="s">
        <v>185</v>
      </c>
      <c r="J30" s="2005"/>
      <c r="K30" s="1989" t="s">
        <v>202</v>
      </c>
      <c r="L30" s="2005"/>
      <c r="M30" s="1991" t="s">
        <v>203</v>
      </c>
      <c r="N30" s="1981"/>
      <c r="O30" s="1970" t="s">
        <v>228</v>
      </c>
      <c r="P30" s="1981"/>
      <c r="Q30" s="1970" t="s">
        <v>238</v>
      </c>
      <c r="R30" s="1981"/>
      <c r="S30" s="1970" t="s">
        <v>273</v>
      </c>
      <c r="T30" s="1981"/>
      <c r="U30" s="1970" t="s">
        <v>275</v>
      </c>
      <c r="V30" s="1981"/>
      <c r="W30" s="1970" t="s">
        <v>281</v>
      </c>
      <c r="X30" s="1981"/>
      <c r="Y30" s="1970" t="s">
        <v>291</v>
      </c>
      <c r="Z30" s="1971"/>
      <c r="AA30" s="932"/>
      <c r="AB30" s="2009"/>
      <c r="AC30" s="2010"/>
      <c r="AD30" s="293"/>
      <c r="AE30" s="293"/>
      <c r="AF30" s="21"/>
    </row>
    <row r="31" spans="1:32" ht="12" customHeight="1" x14ac:dyDescent="0.2">
      <c r="A31" s="930"/>
      <c r="B31" s="933" t="s">
        <v>189</v>
      </c>
      <c r="C31" s="2016">
        <v>0.253</v>
      </c>
      <c r="D31" s="2017"/>
      <c r="E31" s="1995">
        <v>0.25600000000000001</v>
      </c>
      <c r="F31" s="1996"/>
      <c r="G31" s="1995">
        <v>0.24099999999999999</v>
      </c>
      <c r="H31" s="1996"/>
      <c r="I31" s="1995">
        <v>0.251</v>
      </c>
      <c r="J31" s="2006"/>
      <c r="K31" s="934"/>
      <c r="L31" s="935">
        <v>0.249</v>
      </c>
      <c r="M31" s="936"/>
      <c r="N31" s="1178">
        <v>0.32900000000000001</v>
      </c>
      <c r="O31" s="1176"/>
      <c r="P31" s="1178">
        <v>0.27900000000000003</v>
      </c>
      <c r="Q31" s="1271"/>
      <c r="R31" s="1178">
        <v>0.307</v>
      </c>
      <c r="S31" s="1271"/>
      <c r="T31" s="1178">
        <v>0.29699999999999999</v>
      </c>
      <c r="U31" s="1271"/>
      <c r="V31" s="1178">
        <v>0.308</v>
      </c>
      <c r="W31" s="1271"/>
      <c r="X31" s="1178">
        <v>0.28899999999999998</v>
      </c>
      <c r="Y31" s="1271"/>
      <c r="Z31" s="1479">
        <v>0.29799999999999999</v>
      </c>
      <c r="AA31" s="937"/>
      <c r="AB31" s="938"/>
      <c r="AC31" s="1048">
        <f>AVERAGE(X31,V31,R31,T31,Z31)</f>
        <v>0.29979999999999996</v>
      </c>
      <c r="AD31" s="293"/>
      <c r="AE31" s="293"/>
      <c r="AF31" s="21"/>
    </row>
    <row r="32" spans="1:32" ht="12" customHeight="1" x14ac:dyDescent="0.2">
      <c r="A32" s="930"/>
      <c r="B32" s="940" t="s">
        <v>190</v>
      </c>
      <c r="C32" s="2018">
        <v>1.7000000000000001E-2</v>
      </c>
      <c r="D32" s="2019"/>
      <c r="E32" s="2000">
        <v>2.4E-2</v>
      </c>
      <c r="F32" s="2001"/>
      <c r="G32" s="2000">
        <v>0.03</v>
      </c>
      <c r="H32" s="2001"/>
      <c r="I32" s="2000">
        <v>0.03</v>
      </c>
      <c r="J32" s="2011"/>
      <c r="K32" s="941"/>
      <c r="L32" s="942">
        <v>2.9000000000000001E-2</v>
      </c>
      <c r="M32" s="941"/>
      <c r="N32" s="1179">
        <v>2.9000000000000001E-2</v>
      </c>
      <c r="O32" s="1177"/>
      <c r="P32" s="1179">
        <v>2.9000000000000001E-2</v>
      </c>
      <c r="Q32" s="1272"/>
      <c r="R32" s="1179">
        <v>2.5000000000000001E-2</v>
      </c>
      <c r="S32" s="1272"/>
      <c r="T32" s="1179">
        <v>2.4E-2</v>
      </c>
      <c r="U32" s="1272"/>
      <c r="V32" s="1179">
        <v>2.4E-2</v>
      </c>
      <c r="W32" s="1272"/>
      <c r="X32" s="1179">
        <v>2.3E-2</v>
      </c>
      <c r="Y32" s="1272"/>
      <c r="Z32" s="1480">
        <v>2.1000000000000001E-2</v>
      </c>
      <c r="AA32" s="937"/>
      <c r="AB32" s="938"/>
      <c r="AC32" s="1048">
        <f>AVERAGE(X32,V32,R32,T32,Z32)</f>
        <v>2.3400000000000001E-2</v>
      </c>
      <c r="AD32" s="293"/>
      <c r="AE32" s="293"/>
      <c r="AF32" s="21"/>
    </row>
    <row r="33" spans="1:32" ht="12.75" customHeight="1" thickBot="1" x14ac:dyDescent="0.25">
      <c r="A33" s="3"/>
      <c r="B33" s="943" t="s">
        <v>191</v>
      </c>
      <c r="C33" s="1998">
        <f>1-C31-C32</f>
        <v>0.73</v>
      </c>
      <c r="D33" s="1999"/>
      <c r="E33" s="1998">
        <f>1-E31-E32</f>
        <v>0.72</v>
      </c>
      <c r="F33" s="1999"/>
      <c r="G33" s="1998">
        <f>1-G31-G32</f>
        <v>0.72899999999999998</v>
      </c>
      <c r="H33" s="1999"/>
      <c r="I33" s="1998">
        <f>1-I31-I32</f>
        <v>0.71899999999999997</v>
      </c>
      <c r="J33" s="1999"/>
      <c r="K33" s="1998">
        <f>1-L31-L32</f>
        <v>0.72199999999999998</v>
      </c>
      <c r="L33" s="1999"/>
      <c r="M33" s="1998">
        <f>1-N31-N32</f>
        <v>0.64200000000000002</v>
      </c>
      <c r="N33" s="1999"/>
      <c r="O33" s="1998">
        <f>1-P31-P32</f>
        <v>0.69199999999999995</v>
      </c>
      <c r="P33" s="1999"/>
      <c r="Q33" s="1972">
        <f>1-R31-R32</f>
        <v>0.66800000000000004</v>
      </c>
      <c r="R33" s="1973"/>
      <c r="S33" s="1972">
        <f>1-T31-T32</f>
        <v>0.67900000000000005</v>
      </c>
      <c r="T33" s="1973"/>
      <c r="U33" s="1972">
        <f>1-V31-V32</f>
        <v>0.66799999999999993</v>
      </c>
      <c r="V33" s="1973"/>
      <c r="W33" s="1972">
        <f>1-X31-X32</f>
        <v>0.68800000000000006</v>
      </c>
      <c r="X33" s="1973"/>
      <c r="Y33" s="1972">
        <f>1-Z31-Z32</f>
        <v>0.68099999999999994</v>
      </c>
      <c r="Z33" s="1973"/>
      <c r="AA33" s="937"/>
      <c r="AB33" s="2007">
        <f t="shared" ref="AB33:AC33" si="5">AVERAGE(W33,U33,Q33,S33,Y33)</f>
        <v>0.67680000000000007</v>
      </c>
      <c r="AC33" s="2008" t="e">
        <f t="shared" si="5"/>
        <v>#DIV/0!</v>
      </c>
      <c r="AD33" s="1050"/>
      <c r="AE33" s="293"/>
      <c r="AF33" s="21"/>
    </row>
    <row r="34" spans="1:32" s="3" customFormat="1" ht="9" customHeight="1" thickTop="1" x14ac:dyDescent="0.2">
      <c r="B34" s="109"/>
      <c r="C34" s="110"/>
      <c r="D34" s="111"/>
      <c r="E34" s="110"/>
      <c r="F34" s="111"/>
      <c r="G34" s="146"/>
      <c r="H34" s="147"/>
      <c r="I34" s="146"/>
      <c r="J34" s="147"/>
      <c r="K34" s="146"/>
      <c r="L34" s="147"/>
      <c r="M34" s="146"/>
      <c r="N34" s="147"/>
      <c r="O34" s="146"/>
      <c r="P34" s="147"/>
      <c r="Q34" s="146"/>
      <c r="R34" s="147"/>
      <c r="S34" s="146"/>
      <c r="T34" s="147"/>
      <c r="U34" s="146"/>
      <c r="V34" s="147"/>
      <c r="W34" s="146"/>
      <c r="X34" s="147"/>
      <c r="Y34" s="146"/>
      <c r="Z34" s="147"/>
    </row>
    <row r="35" spans="1:32" s="3" customFormat="1" x14ac:dyDescent="0.2">
      <c r="A35" s="112" t="s">
        <v>68</v>
      </c>
      <c r="B35" s="96"/>
      <c r="C35" s="28"/>
      <c r="D35" s="28"/>
      <c r="E35" s="28"/>
      <c r="F35" s="28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</row>
    <row r="36" spans="1:32" s="3" customFormat="1" ht="8.25" customHeight="1" thickBot="1" x14ac:dyDescent="0.25">
      <c r="A36" s="112"/>
      <c r="B36" s="96"/>
      <c r="C36" s="28"/>
      <c r="D36" s="28"/>
      <c r="E36" s="28"/>
      <c r="F36" s="28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</row>
    <row r="37" spans="1:32" s="3" customFormat="1" ht="14.25" thickTop="1" thickBot="1" x14ac:dyDescent="0.25">
      <c r="A37" s="2"/>
      <c r="B37" s="329" t="s">
        <v>69</v>
      </c>
      <c r="C37" s="2013" t="s">
        <v>49</v>
      </c>
      <c r="D37" s="2014"/>
      <c r="E37" s="2015" t="s">
        <v>50</v>
      </c>
      <c r="F37" s="2015"/>
      <c r="G37" s="2002" t="s">
        <v>141</v>
      </c>
      <c r="H37" s="1982"/>
      <c r="I37" s="1974" t="s">
        <v>152</v>
      </c>
      <c r="J37" s="1974"/>
      <c r="K37" s="2002" t="s">
        <v>154</v>
      </c>
      <c r="L37" s="1974"/>
      <c r="M37" s="2002" t="s">
        <v>171</v>
      </c>
      <c r="N37" s="1982"/>
      <c r="O37" s="1974" t="s">
        <v>227</v>
      </c>
      <c r="P37" s="1982"/>
      <c r="Q37" s="1974" t="s">
        <v>237</v>
      </c>
      <c r="R37" s="1982"/>
      <c r="S37" s="1974" t="s">
        <v>272</v>
      </c>
      <c r="T37" s="1982"/>
      <c r="U37" s="1974" t="s">
        <v>274</v>
      </c>
      <c r="V37" s="1982"/>
      <c r="W37" s="1974" t="s">
        <v>280</v>
      </c>
      <c r="X37" s="1982"/>
      <c r="Y37" s="1974" t="s">
        <v>290</v>
      </c>
      <c r="Z37" s="1975"/>
      <c r="AA37" s="955"/>
      <c r="AB37" s="2015" t="s">
        <v>213</v>
      </c>
      <c r="AC37" s="2004"/>
    </row>
    <row r="38" spans="1:32" s="3" customFormat="1" x14ac:dyDescent="0.2">
      <c r="A38" s="2"/>
      <c r="B38" s="330" t="s">
        <v>70</v>
      </c>
      <c r="C38" s="184"/>
      <c r="D38" s="93"/>
      <c r="E38" s="31"/>
      <c r="F38" s="31"/>
      <c r="G38" s="239"/>
      <c r="H38" s="245"/>
      <c r="I38" s="138"/>
      <c r="J38" s="138"/>
      <c r="K38" s="243"/>
      <c r="L38" s="138"/>
      <c r="M38" s="243"/>
      <c r="N38" s="244"/>
      <c r="O38" s="138"/>
      <c r="P38" s="244"/>
      <c r="Q38" s="138"/>
      <c r="R38" s="244"/>
      <c r="S38" s="138"/>
      <c r="T38" s="244"/>
      <c r="U38" s="138"/>
      <c r="V38" s="244"/>
      <c r="W38" s="138"/>
      <c r="X38" s="244"/>
      <c r="Y38" s="138"/>
      <c r="Z38" s="140"/>
      <c r="AA38" s="955"/>
      <c r="AB38" s="28"/>
      <c r="AC38" s="930"/>
    </row>
    <row r="39" spans="1:32" s="3" customFormat="1" x14ac:dyDescent="0.2">
      <c r="A39" s="2"/>
      <c r="B39" s="331" t="s">
        <v>71</v>
      </c>
      <c r="C39" s="54"/>
      <c r="D39" s="188">
        <v>1442009</v>
      </c>
      <c r="E39" s="30"/>
      <c r="F39" s="205">
        <v>1615607</v>
      </c>
      <c r="G39" s="243"/>
      <c r="H39" s="416">
        <v>1558893</v>
      </c>
      <c r="I39" s="138"/>
      <c r="J39" s="451">
        <v>1638370</v>
      </c>
      <c r="K39" s="243"/>
      <c r="L39" s="451">
        <v>1822181</v>
      </c>
      <c r="M39" s="243"/>
      <c r="N39" s="416">
        <v>2046623</v>
      </c>
      <c r="O39" s="138"/>
      <c r="P39" s="416">
        <v>2172225</v>
      </c>
      <c r="Q39" s="138"/>
      <c r="R39" s="416">
        <v>2206663</v>
      </c>
      <c r="S39" s="138"/>
      <c r="T39" s="416">
        <v>2265019</v>
      </c>
      <c r="U39" s="138"/>
      <c r="V39" s="416">
        <v>2338311</v>
      </c>
      <c r="W39" s="138"/>
      <c r="X39" s="416">
        <v>2363110</v>
      </c>
      <c r="Y39" s="138"/>
      <c r="Z39" s="294">
        <v>2570840</v>
      </c>
      <c r="AA39" s="955"/>
      <c r="AB39" s="30"/>
      <c r="AC39" s="947">
        <f t="shared" ref="AC39:AC40" si="6">AVERAGE(X39,V39,R39,T39,Z39)</f>
        <v>2348788.6</v>
      </c>
    </row>
    <row r="40" spans="1:32" s="3" customFormat="1" x14ac:dyDescent="0.2">
      <c r="A40" s="2"/>
      <c r="B40" s="331" t="s">
        <v>247</v>
      </c>
      <c r="C40" s="54"/>
      <c r="D40" s="188"/>
      <c r="E40" s="30"/>
      <c r="F40" s="205"/>
      <c r="G40" s="243"/>
      <c r="H40" s="1439"/>
      <c r="I40" s="138"/>
      <c r="J40" s="451">
        <v>25436</v>
      </c>
      <c r="K40" s="243"/>
      <c r="L40" s="451">
        <v>26015</v>
      </c>
      <c r="M40" s="243"/>
      <c r="N40" s="416">
        <v>20447</v>
      </c>
      <c r="O40" s="138"/>
      <c r="P40" s="416">
        <v>26379</v>
      </c>
      <c r="Q40" s="138"/>
      <c r="R40" s="416">
        <v>26678</v>
      </c>
      <c r="S40" s="138"/>
      <c r="T40" s="416">
        <v>1012</v>
      </c>
      <c r="U40" s="138"/>
      <c r="V40" s="416">
        <v>1012</v>
      </c>
      <c r="W40" s="138"/>
      <c r="X40" s="416">
        <v>1010</v>
      </c>
      <c r="Y40" s="138"/>
      <c r="Z40" s="294">
        <v>1010</v>
      </c>
      <c r="AA40" s="955"/>
      <c r="AB40" s="30"/>
      <c r="AC40" s="947">
        <f t="shared" si="6"/>
        <v>6144.4</v>
      </c>
    </row>
    <row r="41" spans="1:32" s="3" customFormat="1" ht="36" x14ac:dyDescent="0.2">
      <c r="A41" s="2"/>
      <c r="B41" s="332" t="s">
        <v>248</v>
      </c>
      <c r="C41" s="184"/>
      <c r="D41" s="189">
        <v>111231</v>
      </c>
      <c r="E41" s="31"/>
      <c r="F41" s="206">
        <v>105931</v>
      </c>
      <c r="G41" s="239"/>
      <c r="H41" s="369">
        <v>199601</v>
      </c>
      <c r="I41" s="139"/>
      <c r="J41" s="347">
        <v>209010</v>
      </c>
      <c r="K41" s="239"/>
      <c r="L41" s="347">
        <v>143573</v>
      </c>
      <c r="M41" s="239"/>
      <c r="N41" s="369">
        <v>105024</v>
      </c>
      <c r="O41" s="139"/>
      <c r="P41" s="369">
        <v>104885</v>
      </c>
      <c r="Q41" s="139"/>
      <c r="R41" s="369">
        <v>105134</v>
      </c>
      <c r="S41" s="139"/>
      <c r="T41" s="369">
        <v>105077</v>
      </c>
      <c r="U41" s="139"/>
      <c r="V41" s="369">
        <v>105036</v>
      </c>
      <c r="W41" s="139"/>
      <c r="X41" s="369">
        <v>317990</v>
      </c>
      <c r="Y41" s="139"/>
      <c r="Z41" s="282">
        <v>233820</v>
      </c>
      <c r="AA41" s="955"/>
      <c r="AB41" s="31"/>
      <c r="AC41" s="947">
        <f>AVERAGE(X41,V41,R41,T41,Z41)</f>
        <v>173411.4</v>
      </c>
    </row>
    <row r="42" spans="1:32" s="3" customFormat="1" x14ac:dyDescent="0.2">
      <c r="A42" s="2"/>
      <c r="B42" s="333" t="s">
        <v>72</v>
      </c>
      <c r="C42" s="187"/>
      <c r="D42" s="190">
        <f>SUM(D39:D41)</f>
        <v>1553240</v>
      </c>
      <c r="E42" s="90"/>
      <c r="F42" s="207">
        <f>SUM(F39:F41)</f>
        <v>1721538</v>
      </c>
      <c r="G42" s="262"/>
      <c r="H42" s="263">
        <f>SUM(H39:H41)</f>
        <v>1758494</v>
      </c>
      <c r="I42" s="250"/>
      <c r="J42" s="249">
        <f>SUM(J39:J41)</f>
        <v>1872816</v>
      </c>
      <c r="K42" s="262"/>
      <c r="L42" s="249">
        <f>SUM(L39:L41)</f>
        <v>1991769</v>
      </c>
      <c r="M42" s="262"/>
      <c r="N42" s="263">
        <f>SUM(N39:N41)</f>
        <v>2172094</v>
      </c>
      <c r="O42" s="250"/>
      <c r="P42" s="263">
        <f>SUM(P39:P41)</f>
        <v>2303489</v>
      </c>
      <c r="Q42" s="250"/>
      <c r="R42" s="263">
        <f>SUM(R39:R41)</f>
        <v>2338475</v>
      </c>
      <c r="S42" s="250"/>
      <c r="T42" s="263">
        <f>SUM(T39:T41)</f>
        <v>2371108</v>
      </c>
      <c r="U42" s="250"/>
      <c r="V42" s="263">
        <f>SUM(V39:V41)</f>
        <v>2444359</v>
      </c>
      <c r="W42" s="250"/>
      <c r="X42" s="263">
        <f>SUM(X39:X41)</f>
        <v>2682110</v>
      </c>
      <c r="Y42" s="250"/>
      <c r="Z42" s="149">
        <f>SUM(Z39:Z41)</f>
        <v>2805670</v>
      </c>
      <c r="AA42" s="955"/>
      <c r="AB42" s="31"/>
      <c r="AC42" s="1008">
        <f>AVERAGE(X42,V42,R42,T42,Z42)</f>
        <v>2528344.4</v>
      </c>
    </row>
    <row r="43" spans="1:32" s="3" customFormat="1" x14ac:dyDescent="0.2">
      <c r="A43" s="2"/>
      <c r="B43" s="330" t="s">
        <v>73</v>
      </c>
      <c r="C43" s="184"/>
      <c r="D43" s="189"/>
      <c r="E43" s="31"/>
      <c r="F43" s="206"/>
      <c r="G43" s="239"/>
      <c r="H43" s="369"/>
      <c r="I43" s="139"/>
      <c r="J43" s="347"/>
      <c r="K43" s="239"/>
      <c r="L43" s="347"/>
      <c r="M43" s="239"/>
      <c r="N43" s="369"/>
      <c r="O43" s="139"/>
      <c r="P43" s="369"/>
      <c r="Q43" s="139"/>
      <c r="R43" s="369"/>
      <c r="S43" s="139"/>
      <c r="T43" s="369"/>
      <c r="U43" s="139"/>
      <c r="V43" s="369"/>
      <c r="W43" s="139"/>
      <c r="X43" s="369"/>
      <c r="Y43" s="139"/>
      <c r="Z43" s="282"/>
      <c r="AA43" s="955"/>
      <c r="AB43" s="31"/>
      <c r="AC43" s="947"/>
    </row>
    <row r="44" spans="1:32" s="3" customFormat="1" x14ac:dyDescent="0.2">
      <c r="A44" s="2"/>
      <c r="B44" s="331" t="s">
        <v>71</v>
      </c>
      <c r="C44" s="184"/>
      <c r="D44" s="189"/>
      <c r="E44" s="31"/>
      <c r="F44" s="206"/>
      <c r="G44" s="239"/>
      <c r="H44" s="369"/>
      <c r="I44" s="139"/>
      <c r="J44" s="347"/>
      <c r="K44" s="239"/>
      <c r="L44" s="347"/>
      <c r="M44" s="239"/>
      <c r="N44" s="369"/>
      <c r="O44" s="139"/>
      <c r="P44" s="369"/>
      <c r="Q44" s="139"/>
      <c r="R44" s="369"/>
      <c r="S44" s="139"/>
      <c r="T44" s="369"/>
      <c r="U44" s="139"/>
      <c r="V44" s="369"/>
      <c r="W44" s="139"/>
      <c r="X44" s="369"/>
      <c r="Y44" s="139"/>
      <c r="Z44" s="282"/>
      <c r="AA44" s="955"/>
      <c r="AB44" s="31"/>
      <c r="AC44" s="947"/>
    </row>
    <row r="45" spans="1:32" s="3" customFormat="1" x14ac:dyDescent="0.2">
      <c r="A45" s="2"/>
      <c r="B45" s="331" t="s">
        <v>247</v>
      </c>
      <c r="C45" s="184"/>
      <c r="D45" s="189"/>
      <c r="E45" s="31"/>
      <c r="F45" s="206"/>
      <c r="G45" s="239"/>
      <c r="H45" s="369"/>
      <c r="I45" s="139"/>
      <c r="J45" s="347"/>
      <c r="K45" s="239"/>
      <c r="L45" s="347"/>
      <c r="M45" s="239"/>
      <c r="N45" s="369"/>
      <c r="O45" s="139"/>
      <c r="P45" s="369"/>
      <c r="Q45" s="139"/>
      <c r="R45" s="369"/>
      <c r="S45" s="139"/>
      <c r="T45" s="369"/>
      <c r="U45" s="139"/>
      <c r="V45" s="369"/>
      <c r="W45" s="139"/>
      <c r="X45" s="369"/>
      <c r="Y45" s="139"/>
      <c r="Z45" s="282"/>
      <c r="AA45" s="955"/>
      <c r="AB45" s="31"/>
      <c r="AC45" s="947"/>
    </row>
    <row r="46" spans="1:32" s="3" customFormat="1" ht="36" x14ac:dyDescent="0.2">
      <c r="A46" s="2"/>
      <c r="B46" s="332" t="s">
        <v>248</v>
      </c>
      <c r="C46" s="184"/>
      <c r="D46" s="189"/>
      <c r="E46" s="31"/>
      <c r="F46" s="206">
        <v>30031</v>
      </c>
      <c r="G46" s="239"/>
      <c r="H46" s="369">
        <v>30025</v>
      </c>
      <c r="I46" s="139"/>
      <c r="J46" s="347">
        <v>30090</v>
      </c>
      <c r="K46" s="239"/>
      <c r="L46" s="347">
        <v>30074</v>
      </c>
      <c r="M46" s="239"/>
      <c r="N46" s="369">
        <v>30056</v>
      </c>
      <c r="O46" s="139"/>
      <c r="P46" s="369">
        <v>30024</v>
      </c>
      <c r="Q46" s="139"/>
      <c r="R46" s="369">
        <v>30081</v>
      </c>
      <c r="S46" s="139"/>
      <c r="T46" s="369">
        <v>30068</v>
      </c>
      <c r="U46" s="139"/>
      <c r="V46" s="369">
        <v>30058</v>
      </c>
      <c r="W46" s="139"/>
      <c r="X46" s="369">
        <v>29990</v>
      </c>
      <c r="Y46" s="139"/>
      <c r="Z46" s="282">
        <v>29966</v>
      </c>
      <c r="AA46" s="955"/>
      <c r="AB46" s="31"/>
      <c r="AC46" s="947">
        <f t="shared" ref="AC46:AC48" si="7">AVERAGE(X46,V46,R46,T46,Z46)</f>
        <v>30032.6</v>
      </c>
    </row>
    <row r="47" spans="1:32" s="3" customFormat="1" x14ac:dyDescent="0.2">
      <c r="A47" s="2"/>
      <c r="B47" s="333" t="s">
        <v>74</v>
      </c>
      <c r="C47" s="187"/>
      <c r="D47" s="190">
        <f>SUM(D44:D46)</f>
        <v>0</v>
      </c>
      <c r="E47" s="90"/>
      <c r="F47" s="207">
        <f>SUM(F44:F46)</f>
        <v>30031</v>
      </c>
      <c r="G47" s="262"/>
      <c r="H47" s="263">
        <f>SUM(H44:H46)</f>
        <v>30025</v>
      </c>
      <c r="I47" s="250"/>
      <c r="J47" s="249">
        <f>SUM(J44:J46)</f>
        <v>30090</v>
      </c>
      <c r="K47" s="262"/>
      <c r="L47" s="249">
        <f>SUM(L44:L46)</f>
        <v>30074</v>
      </c>
      <c r="M47" s="262"/>
      <c r="N47" s="263">
        <f>SUM(N44:N46)</f>
        <v>30056</v>
      </c>
      <c r="O47" s="250"/>
      <c r="P47" s="263">
        <f>SUM(P44:P46)</f>
        <v>30024</v>
      </c>
      <c r="Q47" s="250"/>
      <c r="R47" s="263">
        <f>SUM(R44:R46)</f>
        <v>30081</v>
      </c>
      <c r="S47" s="250"/>
      <c r="T47" s="263">
        <f>SUM(T44:T46)</f>
        <v>30068</v>
      </c>
      <c r="U47" s="250"/>
      <c r="V47" s="263">
        <f>SUM(V44:V46)</f>
        <v>30058</v>
      </c>
      <c r="W47" s="250"/>
      <c r="X47" s="263">
        <f>SUM(X44:X46)</f>
        <v>29990</v>
      </c>
      <c r="Y47" s="250"/>
      <c r="Z47" s="149">
        <f>SUM(Z44:Z46)</f>
        <v>29966</v>
      </c>
      <c r="AA47" s="955"/>
      <c r="AB47" s="31"/>
      <c r="AC47" s="1008">
        <f t="shared" si="7"/>
        <v>30032.6</v>
      </c>
    </row>
    <row r="48" spans="1:32" s="3" customFormat="1" ht="13.5" thickBot="1" x14ac:dyDescent="0.25">
      <c r="A48" s="2"/>
      <c r="B48" s="334" t="s">
        <v>75</v>
      </c>
      <c r="C48" s="184"/>
      <c r="D48" s="190">
        <f>SUM(D42,D47)</f>
        <v>1553240</v>
      </c>
      <c r="E48" s="31"/>
      <c r="F48" s="207">
        <f>SUM(F42,F47)</f>
        <v>1751569</v>
      </c>
      <c r="G48" s="239"/>
      <c r="H48" s="263">
        <f>SUM(H42,H47)</f>
        <v>1788519</v>
      </c>
      <c r="I48" s="139"/>
      <c r="J48" s="249">
        <f>SUM(J42,J47)</f>
        <v>1902906</v>
      </c>
      <c r="K48" s="239"/>
      <c r="L48" s="249">
        <f>SUM(L42,L47)</f>
        <v>2021843</v>
      </c>
      <c r="M48" s="239"/>
      <c r="N48" s="263">
        <f>SUM(N42,N47)</f>
        <v>2202150</v>
      </c>
      <c r="O48" s="139"/>
      <c r="P48" s="263">
        <f>SUM(P42,P47)</f>
        <v>2333513</v>
      </c>
      <c r="Q48" s="139"/>
      <c r="R48" s="263">
        <f>SUM(R42,R47)</f>
        <v>2368556</v>
      </c>
      <c r="S48" s="139"/>
      <c r="T48" s="263">
        <f>SUM(T42,T47)</f>
        <v>2401176</v>
      </c>
      <c r="U48" s="139"/>
      <c r="V48" s="263">
        <f>SUM(V42,V47)</f>
        <v>2474417</v>
      </c>
      <c r="W48" s="139"/>
      <c r="X48" s="263">
        <f>SUM(X42,X47)</f>
        <v>2712100</v>
      </c>
      <c r="Y48" s="139"/>
      <c r="Z48" s="149">
        <f>SUM(Z42,Z47)</f>
        <v>2835636</v>
      </c>
      <c r="AA48" s="955"/>
      <c r="AB48" s="327"/>
      <c r="AC48" s="1008">
        <f t="shared" si="7"/>
        <v>2558377</v>
      </c>
    </row>
    <row r="49" spans="1:29" s="3" customFormat="1" ht="12" x14ac:dyDescent="0.2">
      <c r="B49" s="81" t="s">
        <v>259</v>
      </c>
      <c r="C49" s="265"/>
      <c r="D49" s="248"/>
      <c r="E49" s="36"/>
      <c r="F49" s="36"/>
      <c r="G49" s="265"/>
      <c r="H49" s="248"/>
      <c r="I49" s="151"/>
      <c r="J49" s="151"/>
      <c r="K49" s="265"/>
      <c r="L49" s="151"/>
      <c r="M49" s="265"/>
      <c r="N49" s="248"/>
      <c r="O49" s="151"/>
      <c r="P49" s="248"/>
      <c r="Q49" s="151"/>
      <c r="R49" s="248"/>
      <c r="S49" s="151"/>
      <c r="T49" s="248"/>
      <c r="U49" s="151"/>
      <c r="V49" s="248"/>
      <c r="W49" s="151"/>
      <c r="X49" s="248"/>
      <c r="Y49" s="151"/>
      <c r="Z49" s="152"/>
      <c r="AA49" s="955"/>
      <c r="AB49" s="28"/>
      <c r="AC49" s="978"/>
    </row>
    <row r="50" spans="1:29" x14ac:dyDescent="0.2">
      <c r="A50" s="3"/>
      <c r="B50" s="78" t="s">
        <v>14</v>
      </c>
      <c r="C50" s="272"/>
      <c r="D50" s="462">
        <f>521812+1310194</f>
        <v>1832006</v>
      </c>
      <c r="E50" s="31"/>
      <c r="F50" s="459">
        <f>1986978+10912</f>
        <v>1997890</v>
      </c>
      <c r="G50" s="215"/>
      <c r="H50" s="1525">
        <v>2313789.52</v>
      </c>
      <c r="I50" s="215"/>
      <c r="J50" s="458">
        <v>2243705.5299999998</v>
      </c>
      <c r="K50" s="215"/>
      <c r="L50" s="826">
        <f>137461+5654</f>
        <v>143115</v>
      </c>
      <c r="M50" s="215"/>
      <c r="N50" s="510">
        <v>2695991</v>
      </c>
      <c r="O50" s="173"/>
      <c r="P50" s="510">
        <v>2633053</v>
      </c>
      <c r="Q50" s="252"/>
      <c r="R50" s="510">
        <v>2610392</v>
      </c>
      <c r="S50" s="252"/>
      <c r="T50" s="510">
        <v>2821867</v>
      </c>
      <c r="U50" s="252"/>
      <c r="V50" s="510">
        <v>2877931</v>
      </c>
      <c r="W50" s="252"/>
      <c r="X50" s="510">
        <v>3010975.16</v>
      </c>
      <c r="Y50" s="252"/>
      <c r="Z50" s="1584"/>
      <c r="AA50" s="1031"/>
      <c r="AB50" s="30"/>
      <c r="AC50" s="949">
        <f>AVERAGE(X50,V50,R50,T50,P50)</f>
        <v>2790843.6320000002</v>
      </c>
    </row>
    <row r="51" spans="1:29" x14ac:dyDescent="0.2">
      <c r="A51" s="3"/>
      <c r="B51" s="1340" t="s">
        <v>15</v>
      </c>
      <c r="C51" s="309"/>
      <c r="D51" s="464">
        <f>35679+24953</f>
        <v>60632</v>
      </c>
      <c r="E51" s="38"/>
      <c r="F51" s="458">
        <v>77276</v>
      </c>
      <c r="G51" s="432"/>
      <c r="H51" s="433">
        <v>134192</v>
      </c>
      <c r="I51" s="463"/>
      <c r="J51" s="458">
        <v>81487</v>
      </c>
      <c r="K51" s="432"/>
      <c r="L51" s="826">
        <f>7061+30875+37698+2224134</f>
        <v>2299768</v>
      </c>
      <c r="M51" s="432"/>
      <c r="N51" s="545">
        <f>125034</f>
        <v>125034</v>
      </c>
      <c r="O51" s="463"/>
      <c r="P51" s="510">
        <f>31553+18273</f>
        <v>49826</v>
      </c>
      <c r="Q51" s="252"/>
      <c r="R51" s="510">
        <f>21098.87+31395.79</f>
        <v>52494.66</v>
      </c>
      <c r="S51" s="252"/>
      <c r="T51" s="510">
        <f>28438.58+9309.67</f>
        <v>37748.25</v>
      </c>
      <c r="U51" s="252"/>
      <c r="V51" s="510">
        <v>44899</v>
      </c>
      <c r="W51" s="252"/>
      <c r="X51" s="510">
        <v>30426.51</v>
      </c>
      <c r="Y51" s="252"/>
      <c r="Z51" s="1584"/>
      <c r="AA51" s="1031"/>
      <c r="AB51" s="12"/>
      <c r="AC51" s="1041">
        <f>AVERAGE(X51,V51,R51,T51,P51)</f>
        <v>43078.883999999998</v>
      </c>
    </row>
    <row r="52" spans="1:29" ht="13.5" thickBot="1" x14ac:dyDescent="0.25">
      <c r="A52" s="3"/>
      <c r="B52" s="1539"/>
      <c r="C52" s="268"/>
      <c r="D52" s="467"/>
      <c r="E52" s="40"/>
      <c r="F52" s="398"/>
      <c r="G52" s="268"/>
      <c r="H52" s="444"/>
      <c r="I52" s="154"/>
      <c r="J52" s="399"/>
      <c r="K52" s="268"/>
      <c r="L52" s="398"/>
      <c r="M52" s="268"/>
      <c r="N52" s="428"/>
      <c r="O52" s="154"/>
      <c r="P52" s="428"/>
      <c r="Q52" s="154"/>
      <c r="R52" s="428"/>
      <c r="S52" s="154"/>
      <c r="T52" s="428"/>
      <c r="U52" s="154"/>
      <c r="V52" s="428"/>
      <c r="W52" s="154"/>
      <c r="X52" s="428"/>
      <c r="Y52" s="154"/>
      <c r="Z52" s="155"/>
      <c r="AA52" s="1031"/>
      <c r="AB52" s="1039" t="s">
        <v>133</v>
      </c>
      <c r="AC52" s="1040" t="s">
        <v>139</v>
      </c>
    </row>
    <row r="53" spans="1:29" x14ac:dyDescent="0.2">
      <c r="A53" s="3"/>
      <c r="B53" s="1492"/>
      <c r="C53" s="193" t="s">
        <v>133</v>
      </c>
      <c r="D53" s="194" t="s">
        <v>139</v>
      </c>
      <c r="E53" s="166" t="s">
        <v>133</v>
      </c>
      <c r="F53" s="84" t="s">
        <v>139</v>
      </c>
      <c r="G53" s="308" t="s">
        <v>133</v>
      </c>
      <c r="H53" s="417" t="s">
        <v>139</v>
      </c>
      <c r="I53" s="414" t="s">
        <v>133</v>
      </c>
      <c r="J53" s="352" t="s">
        <v>139</v>
      </c>
      <c r="K53" s="308" t="s">
        <v>133</v>
      </c>
      <c r="L53" s="352" t="s">
        <v>139</v>
      </c>
      <c r="M53" s="308" t="s">
        <v>133</v>
      </c>
      <c r="N53" s="417" t="s">
        <v>139</v>
      </c>
      <c r="O53" s="414" t="s">
        <v>133</v>
      </c>
      <c r="P53" s="417" t="s">
        <v>139</v>
      </c>
      <c r="Q53" s="414" t="s">
        <v>133</v>
      </c>
      <c r="R53" s="417" t="s">
        <v>139</v>
      </c>
      <c r="S53" s="414" t="s">
        <v>133</v>
      </c>
      <c r="T53" s="417" t="s">
        <v>139</v>
      </c>
      <c r="U53" s="414" t="s">
        <v>133</v>
      </c>
      <c r="V53" s="417" t="s">
        <v>139</v>
      </c>
      <c r="W53" s="414" t="s">
        <v>133</v>
      </c>
      <c r="X53" s="417" t="s">
        <v>139</v>
      </c>
      <c r="Y53" s="414" t="s">
        <v>133</v>
      </c>
      <c r="Z53" s="295" t="s">
        <v>139</v>
      </c>
      <c r="AA53" s="1031"/>
      <c r="AB53" s="323"/>
      <c r="AC53" s="295"/>
    </row>
    <row r="54" spans="1:29" s="3" customFormat="1" ht="11.45" customHeight="1" x14ac:dyDescent="0.2">
      <c r="B54" s="80" t="s">
        <v>67</v>
      </c>
      <c r="C54" s="475">
        <v>9</v>
      </c>
      <c r="D54" s="511">
        <v>944365</v>
      </c>
      <c r="E54" s="108">
        <v>4</v>
      </c>
      <c r="F54" s="522">
        <v>133962</v>
      </c>
      <c r="G54" s="476">
        <v>5</v>
      </c>
      <c r="H54" s="439">
        <v>321652</v>
      </c>
      <c r="I54" s="477">
        <v>16</v>
      </c>
      <c r="J54" s="525">
        <v>1000518</v>
      </c>
      <c r="K54" s="532">
        <v>10</v>
      </c>
      <c r="L54" s="252">
        <v>417904</v>
      </c>
      <c r="M54" s="532">
        <v>10</v>
      </c>
      <c r="N54" s="510">
        <v>841259</v>
      </c>
      <c r="O54" s="532">
        <v>17</v>
      </c>
      <c r="P54" s="510">
        <v>552368</v>
      </c>
      <c r="Q54" s="532">
        <v>10</v>
      </c>
      <c r="R54" s="510">
        <v>596867</v>
      </c>
      <c r="S54" s="532">
        <v>12</v>
      </c>
      <c r="T54" s="510">
        <v>546203</v>
      </c>
      <c r="U54" s="532">
        <v>15</v>
      </c>
      <c r="V54" s="510">
        <v>1085791</v>
      </c>
      <c r="W54" s="532">
        <v>17</v>
      </c>
      <c r="X54" s="510">
        <v>343985</v>
      </c>
      <c r="Y54" s="1445"/>
      <c r="Z54" s="1482"/>
      <c r="AA54" s="955"/>
      <c r="AB54" s="108">
        <f>AVERAGE(W54,U54,Q54,S54,O54)</f>
        <v>14.2</v>
      </c>
      <c r="AC54" s="951">
        <f>AVERAGE(X54,V54,R54,T54,P54)</f>
        <v>625042.80000000005</v>
      </c>
    </row>
    <row r="55" spans="1:29" s="3" customFormat="1" ht="11.45" customHeight="1" x14ac:dyDescent="0.2">
      <c r="B55" s="80"/>
      <c r="C55" s="916"/>
      <c r="D55" s="197"/>
      <c r="E55" s="838"/>
      <c r="F55" s="306"/>
      <c r="G55" s="551"/>
      <c r="H55" s="418"/>
      <c r="I55" s="255"/>
      <c r="J55" s="452"/>
      <c r="K55" s="530"/>
      <c r="L55" s="528"/>
      <c r="M55" s="530"/>
      <c r="N55" s="545"/>
      <c r="O55" s="530"/>
      <c r="P55" s="545"/>
      <c r="Q55" s="530"/>
      <c r="R55" s="545"/>
      <c r="S55" s="530"/>
      <c r="T55" s="545"/>
      <c r="U55" s="530"/>
      <c r="V55" s="545"/>
      <c r="W55" s="530"/>
      <c r="X55" s="545"/>
      <c r="Y55" s="1446"/>
      <c r="Z55" s="1483"/>
      <c r="AA55" s="955"/>
      <c r="AB55" s="1013"/>
      <c r="AC55" s="949"/>
    </row>
    <row r="56" spans="1:29" s="3" customFormat="1" thickBot="1" x14ac:dyDescent="0.25">
      <c r="B56" s="167" t="s">
        <v>16</v>
      </c>
      <c r="C56" s="913">
        <v>7</v>
      </c>
      <c r="D56" s="208">
        <v>147804</v>
      </c>
      <c r="E56" s="839">
        <v>4</v>
      </c>
      <c r="F56" s="69">
        <v>193150</v>
      </c>
      <c r="G56" s="552">
        <v>5</v>
      </c>
      <c r="H56" s="524">
        <v>228491</v>
      </c>
      <c r="I56" s="550">
        <v>7</v>
      </c>
      <c r="J56" s="526">
        <v>250151</v>
      </c>
      <c r="K56" s="552">
        <v>4</v>
      </c>
      <c r="L56" s="253">
        <v>394420</v>
      </c>
      <c r="M56" s="552">
        <v>7</v>
      </c>
      <c r="N56" s="509">
        <v>647465</v>
      </c>
      <c r="O56" s="552">
        <v>9</v>
      </c>
      <c r="P56" s="509">
        <v>760237</v>
      </c>
      <c r="Q56" s="552">
        <v>5</v>
      </c>
      <c r="R56" s="509">
        <v>333359</v>
      </c>
      <c r="S56" s="552">
        <v>5</v>
      </c>
      <c r="T56" s="509">
        <v>87277</v>
      </c>
      <c r="U56" s="552">
        <v>6</v>
      </c>
      <c r="V56" s="509">
        <v>227879</v>
      </c>
      <c r="W56" s="552">
        <v>14</v>
      </c>
      <c r="X56" s="509">
        <v>488048</v>
      </c>
      <c r="Y56" s="1447"/>
      <c r="Z56" s="1484"/>
      <c r="AA56" s="955"/>
      <c r="AB56" s="839">
        <f>AVERAGE(W56,U56,Q56,S56,O56)</f>
        <v>7.8</v>
      </c>
      <c r="AC56" s="1009">
        <f>AVERAGE(X56,V56,R56,T56,P56)</f>
        <v>379360</v>
      </c>
    </row>
    <row r="57" spans="1:29" s="3" customFormat="1" thickTop="1" x14ac:dyDescent="0.2">
      <c r="B57" s="81" t="s">
        <v>84</v>
      </c>
      <c r="C57" s="199"/>
      <c r="D57" s="209"/>
      <c r="E57" s="45"/>
      <c r="F57" s="323"/>
      <c r="G57" s="269"/>
      <c r="H57" s="419"/>
      <c r="I57" s="156"/>
      <c r="J57" s="307"/>
      <c r="K57" s="269"/>
      <c r="L57" s="307"/>
      <c r="M57" s="269"/>
      <c r="N57" s="419"/>
      <c r="O57" s="156"/>
      <c r="P57" s="419"/>
      <c r="Q57" s="156"/>
      <c r="R57" s="419"/>
      <c r="S57" s="156"/>
      <c r="T57" s="419"/>
      <c r="U57" s="156"/>
      <c r="V57" s="419"/>
      <c r="W57" s="156"/>
      <c r="X57" s="419"/>
      <c r="Y57" s="156"/>
      <c r="Z57" s="158"/>
      <c r="AA57" s="955"/>
      <c r="AB57" s="109"/>
      <c r="AC57" s="1030"/>
    </row>
    <row r="58" spans="1:29" s="3" customFormat="1" ht="12" x14ac:dyDescent="0.2">
      <c r="B58" s="337" t="s">
        <v>35</v>
      </c>
      <c r="C58" s="201"/>
      <c r="D58" s="210"/>
      <c r="E58" s="97"/>
      <c r="F58" s="34"/>
      <c r="G58" s="271"/>
      <c r="H58" s="420"/>
      <c r="I58" s="157"/>
      <c r="J58" s="135"/>
      <c r="K58" s="271"/>
      <c r="L58" s="135"/>
      <c r="M58" s="271"/>
      <c r="N58" s="420"/>
      <c r="O58" s="157"/>
      <c r="P58" s="420"/>
      <c r="Q58" s="157"/>
      <c r="R58" s="420"/>
      <c r="S58" s="157"/>
      <c r="T58" s="420"/>
      <c r="U58" s="157"/>
      <c r="V58" s="420"/>
      <c r="W58" s="157"/>
      <c r="X58" s="420"/>
      <c r="Y58" s="157"/>
      <c r="Z58" s="287"/>
      <c r="AA58" s="955"/>
      <c r="AB58" s="720"/>
      <c r="AC58" s="1011"/>
    </row>
    <row r="59" spans="1:29" s="3" customFormat="1" ht="12" x14ac:dyDescent="0.2">
      <c r="B59" s="338" t="s">
        <v>85</v>
      </c>
      <c r="C59" s="202"/>
      <c r="D59" s="232">
        <v>7005</v>
      </c>
      <c r="E59" s="35"/>
      <c r="F59" s="345">
        <v>7215</v>
      </c>
      <c r="G59" s="272"/>
      <c r="H59" s="534">
        <v>8745</v>
      </c>
      <c r="I59" s="254"/>
      <c r="J59" s="542">
        <v>29744.07</v>
      </c>
      <c r="K59" s="559"/>
      <c r="L59" s="555">
        <v>14005.52</v>
      </c>
      <c r="M59" s="559"/>
      <c r="N59" s="546">
        <v>26557</v>
      </c>
      <c r="O59" s="553"/>
      <c r="P59" s="546">
        <v>60162</v>
      </c>
      <c r="Q59" s="553"/>
      <c r="R59" s="546">
        <v>142905</v>
      </c>
      <c r="S59" s="553"/>
      <c r="T59" s="546">
        <v>34393.870000000003</v>
      </c>
      <c r="U59" s="553"/>
      <c r="V59" s="546">
        <v>22375.09</v>
      </c>
      <c r="W59" s="553"/>
      <c r="X59" s="546">
        <v>27105.08</v>
      </c>
      <c r="Y59" s="553"/>
      <c r="Z59" s="1577"/>
      <c r="AB59" s="1038"/>
      <c r="AC59" s="949">
        <f>AVERAGE(X59,V59,R59,T59,P59)</f>
        <v>57388.207999999999</v>
      </c>
    </row>
    <row r="60" spans="1:29" s="3" customFormat="1" thickBot="1" x14ac:dyDescent="0.25">
      <c r="B60" s="339" t="s">
        <v>86</v>
      </c>
      <c r="C60" s="204"/>
      <c r="D60" s="211">
        <v>0</v>
      </c>
      <c r="E60" s="37"/>
      <c r="F60" s="324">
        <v>0</v>
      </c>
      <c r="G60" s="274"/>
      <c r="H60" s="431">
        <v>0</v>
      </c>
      <c r="I60" s="260"/>
      <c r="J60" s="455">
        <v>287077.68</v>
      </c>
      <c r="K60" s="274"/>
      <c r="L60" s="455">
        <v>286465.86</v>
      </c>
      <c r="M60" s="274"/>
      <c r="N60" s="485">
        <v>232366.3</v>
      </c>
      <c r="O60" s="260"/>
      <c r="P60" s="485">
        <v>246983.47</v>
      </c>
      <c r="Q60" s="260"/>
      <c r="R60" s="485">
        <v>280043</v>
      </c>
      <c r="S60" s="260"/>
      <c r="T60" s="485">
        <v>270241.40000000002</v>
      </c>
      <c r="U60" s="260"/>
      <c r="V60" s="485">
        <v>290158.90000000002</v>
      </c>
      <c r="W60" s="260"/>
      <c r="X60" s="485">
        <v>327392.34000000003</v>
      </c>
      <c r="Y60" s="260"/>
      <c r="Z60" s="1578"/>
      <c r="AB60" s="1015"/>
      <c r="AC60" s="1024">
        <f t="shared" ref="AC60" si="8">AVERAGE(X60,V60,R60,T60,P60)</f>
        <v>282963.82200000004</v>
      </c>
    </row>
    <row r="61" spans="1:29" ht="13.5" thickTop="1" x14ac:dyDescent="0.2">
      <c r="A61" s="3"/>
      <c r="B61" s="96"/>
      <c r="C61" s="97"/>
      <c r="D61" s="98"/>
      <c r="E61" s="97"/>
      <c r="F61" s="34"/>
      <c r="G61" s="157"/>
      <c r="H61" s="135"/>
      <c r="I61" s="157"/>
      <c r="J61" s="135"/>
      <c r="K61" s="157"/>
      <c r="L61" s="135"/>
      <c r="M61" s="157"/>
      <c r="N61" s="135"/>
      <c r="O61" s="157"/>
      <c r="P61" s="135"/>
      <c r="Q61" s="157"/>
      <c r="R61" s="135"/>
      <c r="S61" s="157"/>
      <c r="T61" s="135"/>
      <c r="U61" s="157"/>
      <c r="V61" s="135"/>
      <c r="W61" s="157"/>
      <c r="X61" s="135"/>
      <c r="Y61" s="157"/>
      <c r="Z61" s="135"/>
    </row>
    <row r="62" spans="1:29" x14ac:dyDescent="0.2">
      <c r="A62" s="2" t="s">
        <v>76</v>
      </c>
      <c r="B62" s="96"/>
      <c r="C62" s="97"/>
      <c r="D62" s="98"/>
      <c r="E62" s="97"/>
      <c r="F62" s="34"/>
      <c r="G62" s="157"/>
      <c r="H62" s="135"/>
      <c r="I62" s="157"/>
      <c r="J62" s="135"/>
      <c r="K62" s="157"/>
      <c r="L62" s="135"/>
      <c r="M62" s="157"/>
      <c r="N62" s="135"/>
      <c r="O62" s="157"/>
      <c r="P62" s="135"/>
      <c r="Q62" s="157"/>
      <c r="R62" s="135"/>
      <c r="S62" s="157"/>
      <c r="T62" s="135"/>
      <c r="U62" s="157"/>
      <c r="V62" s="135"/>
      <c r="W62" s="157"/>
      <c r="X62" s="135"/>
      <c r="Y62" s="157"/>
      <c r="Z62" s="135"/>
    </row>
    <row r="63" spans="1:29" ht="13.5" thickBot="1" x14ac:dyDescent="0.25">
      <c r="A63" s="3"/>
      <c r="B63" s="96"/>
      <c r="C63" s="97"/>
      <c r="D63" s="98"/>
      <c r="E63" s="97"/>
      <c r="F63" s="34"/>
      <c r="G63" s="157"/>
      <c r="H63" s="135"/>
      <c r="I63" s="157"/>
      <c r="J63" s="135"/>
      <c r="K63" s="157"/>
      <c r="L63" s="135"/>
      <c r="M63" s="157"/>
      <c r="N63" s="135"/>
      <c r="O63" s="157"/>
      <c r="P63" s="135"/>
      <c r="Q63" s="157"/>
      <c r="R63" s="135"/>
      <c r="S63" s="157"/>
      <c r="T63" s="135"/>
      <c r="U63" s="157"/>
      <c r="V63" s="135"/>
      <c r="W63" s="157"/>
      <c r="X63" s="135"/>
      <c r="Y63" s="157"/>
      <c r="Z63" s="135"/>
    </row>
    <row r="64" spans="1:29" s="3" customFormat="1" ht="14.25" customHeight="1" thickTop="1" thickBot="1" x14ac:dyDescent="0.25">
      <c r="B64" s="340"/>
      <c r="C64" s="2013" t="s">
        <v>49</v>
      </c>
      <c r="D64" s="2014"/>
      <c r="E64" s="2015" t="s">
        <v>50</v>
      </c>
      <c r="F64" s="2015"/>
      <c r="G64" s="2002" t="s">
        <v>141</v>
      </c>
      <c r="H64" s="1982"/>
      <c r="I64" s="1974" t="s">
        <v>152</v>
      </c>
      <c r="J64" s="1974"/>
      <c r="K64" s="2002" t="s">
        <v>154</v>
      </c>
      <c r="L64" s="1974"/>
      <c r="M64" s="2002" t="s">
        <v>171</v>
      </c>
      <c r="N64" s="1982"/>
      <c r="O64" s="1974" t="s">
        <v>227</v>
      </c>
      <c r="P64" s="1982"/>
      <c r="Q64" s="1974" t="s">
        <v>237</v>
      </c>
      <c r="R64" s="1982"/>
      <c r="S64" s="1974" t="s">
        <v>272</v>
      </c>
      <c r="T64" s="1982"/>
      <c r="U64" s="1974" t="s">
        <v>274</v>
      </c>
      <c r="V64" s="1982"/>
      <c r="W64" s="1974" t="s">
        <v>280</v>
      </c>
      <c r="X64" s="1982"/>
      <c r="Y64" s="1974" t="s">
        <v>290</v>
      </c>
      <c r="Z64" s="1975"/>
      <c r="AB64" s="2003" t="s">
        <v>213</v>
      </c>
      <c r="AC64" s="2004"/>
    </row>
    <row r="65" spans="2:29" s="3" customFormat="1" ht="12" x14ac:dyDescent="0.2">
      <c r="B65" s="73" t="s">
        <v>53</v>
      </c>
      <c r="C65" s="54"/>
      <c r="D65" s="92"/>
      <c r="E65" s="30"/>
      <c r="F65" s="30"/>
      <c r="G65" s="243"/>
      <c r="H65" s="244"/>
      <c r="I65" s="138"/>
      <c r="J65" s="138"/>
      <c r="K65" s="243"/>
      <c r="L65" s="138"/>
      <c r="M65" s="243"/>
      <c r="N65" s="244"/>
      <c r="O65" s="138"/>
      <c r="P65" s="244"/>
      <c r="Q65" s="138"/>
      <c r="R65" s="244"/>
      <c r="S65" s="138"/>
      <c r="T65" s="244"/>
      <c r="U65" s="138"/>
      <c r="V65" s="244"/>
      <c r="W65" s="138"/>
      <c r="X65" s="244"/>
      <c r="Y65" s="138"/>
      <c r="Z65" s="140"/>
      <c r="AB65" s="831"/>
      <c r="AC65" s="930"/>
    </row>
    <row r="66" spans="2:29" s="3" customFormat="1" ht="12" x14ac:dyDescent="0.2">
      <c r="B66" s="74" t="s">
        <v>54</v>
      </c>
      <c r="C66" s="184"/>
      <c r="D66" s="165"/>
      <c r="E66" s="31"/>
      <c r="F66" s="171"/>
      <c r="G66" s="239"/>
      <c r="H66" s="261"/>
      <c r="I66" s="139"/>
      <c r="J66" s="183"/>
      <c r="K66" s="239"/>
      <c r="L66" s="183"/>
      <c r="M66" s="239"/>
      <c r="N66" s="261"/>
      <c r="O66" s="139"/>
      <c r="P66" s="261"/>
      <c r="Q66" s="139"/>
      <c r="R66" s="261"/>
      <c r="S66" s="139"/>
      <c r="T66" s="261"/>
      <c r="U66" s="139"/>
      <c r="V66" s="261"/>
      <c r="W66" s="139"/>
      <c r="X66" s="261"/>
      <c r="Y66" s="139"/>
      <c r="Z66" s="142"/>
      <c r="AB66" s="24"/>
      <c r="AC66" s="579"/>
    </row>
    <row r="67" spans="2:29" s="3" customFormat="1" ht="12" x14ac:dyDescent="0.2">
      <c r="B67" s="75" t="s">
        <v>55</v>
      </c>
      <c r="C67" s="184"/>
      <c r="D67" s="165">
        <v>20</v>
      </c>
      <c r="E67" s="31"/>
      <c r="F67" s="171">
        <v>23</v>
      </c>
      <c r="G67" s="239"/>
      <c r="H67" s="261">
        <v>22</v>
      </c>
      <c r="I67" s="139"/>
      <c r="J67" s="183">
        <v>23</v>
      </c>
      <c r="K67" s="239"/>
      <c r="L67" s="183">
        <v>23</v>
      </c>
      <c r="M67" s="239"/>
      <c r="N67" s="261">
        <v>28</v>
      </c>
      <c r="O67" s="139"/>
      <c r="P67" s="261">
        <v>26</v>
      </c>
      <c r="Q67" s="139"/>
      <c r="R67" s="261">
        <v>24</v>
      </c>
      <c r="S67" s="139"/>
      <c r="T67" s="261">
        <v>26</v>
      </c>
      <c r="U67" s="139"/>
      <c r="V67" s="261">
        <v>26</v>
      </c>
      <c r="W67" s="139"/>
      <c r="X67" s="261">
        <v>25</v>
      </c>
      <c r="Y67" s="139"/>
      <c r="Z67" s="142">
        <v>27</v>
      </c>
      <c r="AB67" s="12"/>
      <c r="AC67" s="1113">
        <f>AVERAGE(X67,V67,R67,T67,Z67)</f>
        <v>25.6</v>
      </c>
    </row>
    <row r="68" spans="2:29" s="3" customFormat="1" ht="12" x14ac:dyDescent="0.2">
      <c r="B68" s="75" t="s">
        <v>181</v>
      </c>
      <c r="C68" s="184"/>
      <c r="D68" s="165">
        <v>2</v>
      </c>
      <c r="E68" s="31"/>
      <c r="F68" s="171">
        <v>0</v>
      </c>
      <c r="G68" s="239"/>
      <c r="H68" s="261">
        <v>1</v>
      </c>
      <c r="I68" s="139"/>
      <c r="J68" s="183">
        <v>1</v>
      </c>
      <c r="K68" s="239"/>
      <c r="L68" s="183">
        <v>2</v>
      </c>
      <c r="M68" s="239"/>
      <c r="N68" s="261">
        <v>3</v>
      </c>
      <c r="O68" s="139"/>
      <c r="P68" s="261">
        <v>1</v>
      </c>
      <c r="Q68" s="139"/>
      <c r="R68" s="261">
        <v>2</v>
      </c>
      <c r="S68" s="139"/>
      <c r="T68" s="261">
        <v>0</v>
      </c>
      <c r="U68" s="139"/>
      <c r="V68" s="261">
        <v>3</v>
      </c>
      <c r="W68" s="139"/>
      <c r="X68" s="261">
        <v>3</v>
      </c>
      <c r="Y68" s="139"/>
      <c r="Z68" s="142">
        <v>6</v>
      </c>
      <c r="AB68" s="12"/>
      <c r="AC68" s="1113">
        <f t="shared" ref="AC68:AC72" si="9">AVERAGE(X68,V68,R68,T68,Z68)</f>
        <v>2.8</v>
      </c>
    </row>
    <row r="69" spans="2:29" s="3" customFormat="1" ht="12" x14ac:dyDescent="0.2">
      <c r="B69" s="74" t="s">
        <v>57</v>
      </c>
      <c r="C69" s="184"/>
      <c r="D69" s="94"/>
      <c r="E69" s="31"/>
      <c r="F69" s="39"/>
      <c r="G69" s="239"/>
      <c r="H69" s="240"/>
      <c r="I69" s="139"/>
      <c r="J69" s="241"/>
      <c r="K69" s="239"/>
      <c r="L69" s="241"/>
      <c r="M69" s="239"/>
      <c r="N69" s="240"/>
      <c r="O69" s="139"/>
      <c r="P69" s="240"/>
      <c r="Q69" s="139"/>
      <c r="R69" s="240"/>
      <c r="S69" s="139"/>
      <c r="T69" s="240"/>
      <c r="U69" s="139"/>
      <c r="V69" s="240"/>
      <c r="W69" s="139"/>
      <c r="X69" s="240"/>
      <c r="Y69" s="139"/>
      <c r="Z69" s="143"/>
      <c r="AB69" s="12"/>
      <c r="AC69" s="1113"/>
    </row>
    <row r="70" spans="2:29" s="3" customFormat="1" ht="12" x14ac:dyDescent="0.2">
      <c r="B70" s="75" t="s">
        <v>55</v>
      </c>
      <c r="C70" s="184"/>
      <c r="D70" s="94">
        <v>0</v>
      </c>
      <c r="E70" s="31"/>
      <c r="F70" s="39">
        <v>1</v>
      </c>
      <c r="G70" s="239"/>
      <c r="H70" s="240">
        <v>0</v>
      </c>
      <c r="I70" s="139"/>
      <c r="J70" s="241">
        <v>0</v>
      </c>
      <c r="K70" s="239"/>
      <c r="L70" s="241">
        <v>0</v>
      </c>
      <c r="M70" s="239"/>
      <c r="N70" s="240">
        <v>0</v>
      </c>
      <c r="O70" s="139"/>
      <c r="P70" s="240">
        <v>0</v>
      </c>
      <c r="Q70" s="139"/>
      <c r="R70" s="240">
        <v>1</v>
      </c>
      <c r="S70" s="139"/>
      <c r="T70" s="240">
        <v>2</v>
      </c>
      <c r="U70" s="139"/>
      <c r="V70" s="240">
        <v>0</v>
      </c>
      <c r="W70" s="139"/>
      <c r="X70" s="240">
        <v>0</v>
      </c>
      <c r="Y70" s="139"/>
      <c r="Z70" s="143">
        <v>0</v>
      </c>
      <c r="AB70" s="12"/>
      <c r="AC70" s="1113">
        <f t="shared" si="9"/>
        <v>0.6</v>
      </c>
    </row>
    <row r="71" spans="2:29" s="3" customFormat="1" ht="12" x14ac:dyDescent="0.2">
      <c r="B71" s="341" t="s">
        <v>181</v>
      </c>
      <c r="C71" s="184"/>
      <c r="D71" s="94">
        <v>2</v>
      </c>
      <c r="E71" s="31"/>
      <c r="F71" s="39">
        <v>1</v>
      </c>
      <c r="G71" s="239"/>
      <c r="H71" s="240">
        <v>2</v>
      </c>
      <c r="I71" s="139"/>
      <c r="J71" s="241">
        <v>1</v>
      </c>
      <c r="K71" s="239"/>
      <c r="L71" s="241">
        <v>2</v>
      </c>
      <c r="M71" s="239"/>
      <c r="N71" s="240">
        <v>2</v>
      </c>
      <c r="O71" s="139"/>
      <c r="P71" s="240">
        <v>2</v>
      </c>
      <c r="Q71" s="139"/>
      <c r="R71" s="240">
        <v>1</v>
      </c>
      <c r="S71" s="139"/>
      <c r="T71" s="240">
        <v>1</v>
      </c>
      <c r="U71" s="139"/>
      <c r="V71" s="240">
        <v>1</v>
      </c>
      <c r="W71" s="139"/>
      <c r="X71" s="240">
        <v>2</v>
      </c>
      <c r="Y71" s="139"/>
      <c r="Z71" s="143">
        <v>0</v>
      </c>
      <c r="AB71" s="12"/>
      <c r="AC71" s="1113">
        <f t="shared" si="9"/>
        <v>1</v>
      </c>
    </row>
    <row r="72" spans="2:29" s="3" customFormat="1" thickBot="1" x14ac:dyDescent="0.25">
      <c r="B72" s="79" t="s">
        <v>13</v>
      </c>
      <c r="C72" s="233"/>
      <c r="D72" s="234">
        <f>SUM(D67:D71)</f>
        <v>24</v>
      </c>
      <c r="E72" s="107"/>
      <c r="F72" s="106">
        <f>SUM(F67:F71)</f>
        <v>25</v>
      </c>
      <c r="G72" s="297"/>
      <c r="H72" s="427">
        <v>25</v>
      </c>
      <c r="I72" s="426"/>
      <c r="J72" s="454">
        <f>SUM(J67:J71)</f>
        <v>25</v>
      </c>
      <c r="K72" s="297"/>
      <c r="L72" s="454">
        <f>SUM(L67:L71)</f>
        <v>27</v>
      </c>
      <c r="M72" s="297"/>
      <c r="N72" s="427">
        <f>SUM(N67:N71)</f>
        <v>33</v>
      </c>
      <c r="O72" s="426"/>
      <c r="P72" s="427">
        <f>SUM(P67:P71)</f>
        <v>29</v>
      </c>
      <c r="Q72" s="426"/>
      <c r="R72" s="427">
        <f>SUM(R67:R71)</f>
        <v>28</v>
      </c>
      <c r="S72" s="426"/>
      <c r="T72" s="427">
        <f>SUM(T67:T71)</f>
        <v>29</v>
      </c>
      <c r="U72" s="426"/>
      <c r="V72" s="427">
        <f>SUM(V67:V71)</f>
        <v>30</v>
      </c>
      <c r="W72" s="426"/>
      <c r="X72" s="427">
        <f>SUM(X67:X71)</f>
        <v>30</v>
      </c>
      <c r="Y72" s="426"/>
      <c r="Z72" s="374">
        <f>SUM(Z67:Z71)</f>
        <v>33</v>
      </c>
      <c r="AB72" s="831"/>
      <c r="AC72" s="1114">
        <f t="shared" si="9"/>
        <v>30</v>
      </c>
    </row>
    <row r="73" spans="2:29" s="3" customFormat="1" thickTop="1" x14ac:dyDescent="0.2">
      <c r="B73" s="342" t="s">
        <v>135</v>
      </c>
      <c r="C73" s="392"/>
      <c r="D73" s="393"/>
      <c r="E73" s="43" t="s">
        <v>133</v>
      </c>
      <c r="F73" s="41" t="s">
        <v>134</v>
      </c>
      <c r="G73" s="317" t="s">
        <v>133</v>
      </c>
      <c r="H73" s="412" t="s">
        <v>134</v>
      </c>
      <c r="I73" s="411" t="s">
        <v>133</v>
      </c>
      <c r="J73" s="449" t="s">
        <v>134</v>
      </c>
      <c r="K73" s="317" t="s">
        <v>133</v>
      </c>
      <c r="L73" s="449" t="s">
        <v>134</v>
      </c>
      <c r="M73" s="317" t="s">
        <v>133</v>
      </c>
      <c r="N73" s="441" t="s">
        <v>134</v>
      </c>
      <c r="O73" s="411" t="s">
        <v>133</v>
      </c>
      <c r="P73" s="412" t="s">
        <v>134</v>
      </c>
      <c r="Q73" s="411" t="s">
        <v>133</v>
      </c>
      <c r="R73" s="412" t="s">
        <v>134</v>
      </c>
      <c r="S73" s="411" t="s">
        <v>133</v>
      </c>
      <c r="T73" s="412" t="s">
        <v>134</v>
      </c>
      <c r="U73" s="411" t="s">
        <v>133</v>
      </c>
      <c r="V73" s="412" t="s">
        <v>134</v>
      </c>
      <c r="W73" s="411" t="s">
        <v>133</v>
      </c>
      <c r="X73" s="412" t="s">
        <v>134</v>
      </c>
      <c r="Y73" s="411" t="s">
        <v>133</v>
      </c>
      <c r="Z73" s="289" t="s">
        <v>134</v>
      </c>
      <c r="AB73" s="952" t="s">
        <v>133</v>
      </c>
      <c r="AC73" s="862" t="s">
        <v>134</v>
      </c>
    </row>
    <row r="74" spans="2:29" s="3" customFormat="1" ht="12" x14ac:dyDescent="0.2">
      <c r="B74" s="75" t="s">
        <v>87</v>
      </c>
      <c r="C74" s="319">
        <v>21</v>
      </c>
      <c r="D74" s="216">
        <f>C74/D$72</f>
        <v>0.875</v>
      </c>
      <c r="E74" s="173">
        <v>21</v>
      </c>
      <c r="F74" s="221">
        <f t="shared" ref="F74:H81" si="10">E74/F$72</f>
        <v>0.84</v>
      </c>
      <c r="G74" s="215">
        <v>21</v>
      </c>
      <c r="H74" s="216">
        <f t="shared" si="10"/>
        <v>0.84</v>
      </c>
      <c r="I74" s="173">
        <v>14</v>
      </c>
      <c r="J74" s="221">
        <f t="shared" ref="J74:L81" si="11">I74/J$72</f>
        <v>0.56000000000000005</v>
      </c>
      <c r="K74" s="215">
        <v>25</v>
      </c>
      <c r="L74" s="221">
        <f t="shared" si="11"/>
        <v>0.92592592592592593</v>
      </c>
      <c r="M74" s="215">
        <f>24+5</f>
        <v>29</v>
      </c>
      <c r="N74" s="216">
        <f t="shared" ref="N74:R81" si="12">M74/N$72</f>
        <v>0.87878787878787878</v>
      </c>
      <c r="O74" s="173">
        <v>25</v>
      </c>
      <c r="P74" s="216">
        <f t="shared" si="12"/>
        <v>0.86206896551724133</v>
      </c>
      <c r="Q74" s="173">
        <v>24</v>
      </c>
      <c r="R74" s="216">
        <f t="shared" si="12"/>
        <v>0.8571428571428571</v>
      </c>
      <c r="S74" s="173">
        <f>3+21</f>
        <v>24</v>
      </c>
      <c r="T74" s="216">
        <f t="shared" ref="T74:T81" si="13">S74/T$72</f>
        <v>0.82758620689655171</v>
      </c>
      <c r="U74" s="173">
        <v>24</v>
      </c>
      <c r="V74" s="216">
        <f t="shared" ref="V74:V81" si="14">U74/V$72</f>
        <v>0.8</v>
      </c>
      <c r="W74" s="173">
        <f>4+20</f>
        <v>24</v>
      </c>
      <c r="X74" s="216">
        <f t="shared" ref="X74:Z81" si="15">W74/X$72</f>
        <v>0.8</v>
      </c>
      <c r="Y74" s="173">
        <v>27</v>
      </c>
      <c r="Z74" s="1494">
        <f t="shared" si="15"/>
        <v>0.81818181818181823</v>
      </c>
      <c r="AA74" s="955"/>
      <c r="AB74" s="1016">
        <f t="shared" ref="AB74:AB93" si="16">AVERAGE(W74,U74,Q74,S74,Y74)</f>
        <v>24.6</v>
      </c>
      <c r="AC74" s="863">
        <f t="shared" ref="AC74:AC93" si="17">AVERAGE(X74,V74,R74,T74,Z74)</f>
        <v>0.82058217644424547</v>
      </c>
    </row>
    <row r="75" spans="2:29" s="3" customFormat="1" ht="12" x14ac:dyDescent="0.2">
      <c r="B75" s="85" t="s">
        <v>88</v>
      </c>
      <c r="C75" s="319">
        <v>1</v>
      </c>
      <c r="D75" s="216">
        <f t="shared" ref="D75:D93" si="18">C75/$D$72</f>
        <v>4.1666666666666664E-2</v>
      </c>
      <c r="E75" s="173">
        <v>1</v>
      </c>
      <c r="F75" s="221">
        <f t="shared" si="10"/>
        <v>0.04</v>
      </c>
      <c r="G75" s="215">
        <v>1</v>
      </c>
      <c r="H75" s="216">
        <f t="shared" si="10"/>
        <v>0.04</v>
      </c>
      <c r="I75" s="173">
        <v>11</v>
      </c>
      <c r="J75" s="221">
        <f t="shared" si="11"/>
        <v>0.44</v>
      </c>
      <c r="K75" s="215">
        <v>1</v>
      </c>
      <c r="L75" s="221">
        <f t="shared" si="11"/>
        <v>3.7037037037037035E-2</v>
      </c>
      <c r="M75" s="215">
        <v>2</v>
      </c>
      <c r="N75" s="216">
        <f t="shared" si="12"/>
        <v>6.0606060606060608E-2</v>
      </c>
      <c r="O75" s="173">
        <v>2</v>
      </c>
      <c r="P75" s="216">
        <f t="shared" si="12"/>
        <v>6.8965517241379309E-2</v>
      </c>
      <c r="Q75" s="173">
        <v>2</v>
      </c>
      <c r="R75" s="216">
        <f t="shared" si="12"/>
        <v>7.1428571428571425E-2</v>
      </c>
      <c r="S75" s="173">
        <f>2</f>
        <v>2</v>
      </c>
      <c r="T75" s="216">
        <f t="shared" si="13"/>
        <v>6.8965517241379309E-2</v>
      </c>
      <c r="U75" s="173">
        <v>1</v>
      </c>
      <c r="V75" s="216">
        <f t="shared" si="14"/>
        <v>3.3333333333333333E-2</v>
      </c>
      <c r="W75" s="173">
        <v>1</v>
      </c>
      <c r="X75" s="216">
        <f t="shared" si="15"/>
        <v>3.3333333333333333E-2</v>
      </c>
      <c r="Y75" s="173">
        <v>1</v>
      </c>
      <c r="Z75" s="1494">
        <f t="shared" si="15"/>
        <v>3.0303030303030304E-2</v>
      </c>
      <c r="AA75" s="955"/>
      <c r="AB75" s="1016">
        <f t="shared" si="16"/>
        <v>1.4</v>
      </c>
      <c r="AC75" s="863">
        <f t="shared" si="17"/>
        <v>4.7472757127929546E-2</v>
      </c>
    </row>
    <row r="76" spans="2:29" s="3" customFormat="1" ht="12" x14ac:dyDescent="0.2">
      <c r="B76" s="85" t="s">
        <v>89</v>
      </c>
      <c r="C76" s="319">
        <v>1</v>
      </c>
      <c r="D76" s="216">
        <f t="shared" si="18"/>
        <v>4.1666666666666664E-2</v>
      </c>
      <c r="E76" s="173">
        <v>1</v>
      </c>
      <c r="F76" s="221">
        <f t="shared" si="10"/>
        <v>0.04</v>
      </c>
      <c r="G76" s="215">
        <v>1</v>
      </c>
      <c r="H76" s="216">
        <f t="shared" si="10"/>
        <v>0.04</v>
      </c>
      <c r="I76" s="173">
        <v>0</v>
      </c>
      <c r="J76" s="221">
        <f t="shared" si="11"/>
        <v>0</v>
      </c>
      <c r="K76" s="215"/>
      <c r="L76" s="221">
        <f t="shared" si="11"/>
        <v>0</v>
      </c>
      <c r="M76" s="215"/>
      <c r="N76" s="216">
        <f t="shared" si="12"/>
        <v>0</v>
      </c>
      <c r="O76" s="173"/>
      <c r="P76" s="216">
        <f t="shared" si="12"/>
        <v>0</v>
      </c>
      <c r="Q76" s="173">
        <v>0</v>
      </c>
      <c r="R76" s="216">
        <f t="shared" si="12"/>
        <v>0</v>
      </c>
      <c r="S76" s="173">
        <f>2</f>
        <v>2</v>
      </c>
      <c r="T76" s="216">
        <f t="shared" si="13"/>
        <v>6.8965517241379309E-2</v>
      </c>
      <c r="U76" s="173">
        <v>2</v>
      </c>
      <c r="V76" s="216">
        <f t="shared" si="14"/>
        <v>6.6666666666666666E-2</v>
      </c>
      <c r="W76" s="173">
        <f>1+1</f>
        <v>2</v>
      </c>
      <c r="X76" s="216">
        <f t="shared" si="15"/>
        <v>6.6666666666666666E-2</v>
      </c>
      <c r="Y76" s="173">
        <v>2</v>
      </c>
      <c r="Z76" s="1494">
        <f t="shared" si="15"/>
        <v>6.0606060606060608E-2</v>
      </c>
      <c r="AA76" s="955"/>
      <c r="AB76" s="1016">
        <f t="shared" si="16"/>
        <v>1.6</v>
      </c>
      <c r="AC76" s="863">
        <f t="shared" si="17"/>
        <v>5.258098223615465E-2</v>
      </c>
    </row>
    <row r="77" spans="2:29" s="3" customFormat="1" ht="12" x14ac:dyDescent="0.2">
      <c r="B77" s="85" t="s">
        <v>90</v>
      </c>
      <c r="C77" s="319">
        <v>0</v>
      </c>
      <c r="D77" s="216">
        <f t="shared" si="18"/>
        <v>0</v>
      </c>
      <c r="E77" s="173">
        <v>1</v>
      </c>
      <c r="F77" s="221">
        <f t="shared" si="10"/>
        <v>0.04</v>
      </c>
      <c r="G77" s="215">
        <v>0</v>
      </c>
      <c r="H77" s="216">
        <f t="shared" si="10"/>
        <v>0</v>
      </c>
      <c r="I77" s="173">
        <v>0</v>
      </c>
      <c r="J77" s="221">
        <f t="shared" si="11"/>
        <v>0</v>
      </c>
      <c r="K77" s="215"/>
      <c r="L77" s="221">
        <f t="shared" si="11"/>
        <v>0</v>
      </c>
      <c r="M77" s="215"/>
      <c r="N77" s="216">
        <f t="shared" si="12"/>
        <v>0</v>
      </c>
      <c r="O77" s="173"/>
      <c r="P77" s="216">
        <f t="shared" si="12"/>
        <v>0</v>
      </c>
      <c r="Q77" s="173">
        <v>0</v>
      </c>
      <c r="R77" s="216">
        <f t="shared" si="12"/>
        <v>0</v>
      </c>
      <c r="S77" s="173">
        <f>0</f>
        <v>0</v>
      </c>
      <c r="T77" s="216">
        <f t="shared" si="13"/>
        <v>0</v>
      </c>
      <c r="U77" s="173">
        <v>0</v>
      </c>
      <c r="V77" s="216">
        <f t="shared" si="14"/>
        <v>0</v>
      </c>
      <c r="W77" s="173">
        <v>0</v>
      </c>
      <c r="X77" s="216">
        <f t="shared" si="15"/>
        <v>0</v>
      </c>
      <c r="Y77" s="173">
        <v>0</v>
      </c>
      <c r="Z77" s="1494">
        <f t="shared" si="15"/>
        <v>0</v>
      </c>
      <c r="AA77" s="955"/>
      <c r="AB77" s="1016">
        <f t="shared" si="16"/>
        <v>0</v>
      </c>
      <c r="AC77" s="863">
        <f t="shared" si="17"/>
        <v>0</v>
      </c>
    </row>
    <row r="78" spans="2:29" s="3" customFormat="1" ht="12" x14ac:dyDescent="0.2">
      <c r="B78" s="85" t="s">
        <v>91</v>
      </c>
      <c r="C78" s="319">
        <v>0</v>
      </c>
      <c r="D78" s="216">
        <f t="shared" si="18"/>
        <v>0</v>
      </c>
      <c r="E78" s="173">
        <v>0</v>
      </c>
      <c r="F78" s="221">
        <f t="shared" si="10"/>
        <v>0</v>
      </c>
      <c r="G78" s="215">
        <v>0</v>
      </c>
      <c r="H78" s="216">
        <f t="shared" si="10"/>
        <v>0</v>
      </c>
      <c r="I78" s="173">
        <v>0</v>
      </c>
      <c r="J78" s="221">
        <f t="shared" si="11"/>
        <v>0</v>
      </c>
      <c r="K78" s="215"/>
      <c r="L78" s="221">
        <f t="shared" si="11"/>
        <v>0</v>
      </c>
      <c r="M78" s="215"/>
      <c r="N78" s="216">
        <f t="shared" si="12"/>
        <v>0</v>
      </c>
      <c r="O78" s="173"/>
      <c r="P78" s="216">
        <f t="shared" si="12"/>
        <v>0</v>
      </c>
      <c r="Q78" s="173">
        <v>0</v>
      </c>
      <c r="R78" s="216">
        <f t="shared" si="12"/>
        <v>0</v>
      </c>
      <c r="S78" s="173">
        <f>0</f>
        <v>0</v>
      </c>
      <c r="T78" s="216">
        <f t="shared" si="13"/>
        <v>0</v>
      </c>
      <c r="U78" s="173">
        <v>0</v>
      </c>
      <c r="V78" s="216">
        <f t="shared" si="14"/>
        <v>0</v>
      </c>
      <c r="W78" s="173">
        <v>0</v>
      </c>
      <c r="X78" s="216">
        <f t="shared" si="15"/>
        <v>0</v>
      </c>
      <c r="Y78" s="173">
        <v>0</v>
      </c>
      <c r="Z78" s="1494">
        <f t="shared" si="15"/>
        <v>0</v>
      </c>
      <c r="AA78" s="955"/>
      <c r="AB78" s="1016">
        <f t="shared" si="16"/>
        <v>0</v>
      </c>
      <c r="AC78" s="863">
        <f t="shared" si="17"/>
        <v>0</v>
      </c>
    </row>
    <row r="79" spans="2:29" s="3" customFormat="1" ht="12" x14ac:dyDescent="0.2">
      <c r="B79" s="85" t="s">
        <v>92</v>
      </c>
      <c r="C79" s="319">
        <v>0</v>
      </c>
      <c r="D79" s="216">
        <f t="shared" si="18"/>
        <v>0</v>
      </c>
      <c r="E79" s="173">
        <v>0</v>
      </c>
      <c r="F79" s="221">
        <f t="shared" si="10"/>
        <v>0</v>
      </c>
      <c r="G79" s="215">
        <v>1</v>
      </c>
      <c r="H79" s="216">
        <f t="shared" si="10"/>
        <v>0.04</v>
      </c>
      <c r="I79" s="173">
        <v>0</v>
      </c>
      <c r="J79" s="221">
        <f t="shared" si="11"/>
        <v>0</v>
      </c>
      <c r="K79" s="215"/>
      <c r="L79" s="221">
        <f t="shared" si="11"/>
        <v>0</v>
      </c>
      <c r="M79" s="215">
        <v>1</v>
      </c>
      <c r="N79" s="216">
        <f t="shared" si="12"/>
        <v>3.0303030303030304E-2</v>
      </c>
      <c r="O79" s="173">
        <v>1</v>
      </c>
      <c r="P79" s="216">
        <f t="shared" si="12"/>
        <v>3.4482758620689655E-2</v>
      </c>
      <c r="Q79" s="173">
        <v>1</v>
      </c>
      <c r="R79" s="216">
        <f t="shared" si="12"/>
        <v>3.5714285714285712E-2</v>
      </c>
      <c r="S79" s="173">
        <f>1</f>
        <v>1</v>
      </c>
      <c r="T79" s="216">
        <f t="shared" si="13"/>
        <v>3.4482758620689655E-2</v>
      </c>
      <c r="U79" s="173">
        <v>1</v>
      </c>
      <c r="V79" s="216">
        <f t="shared" si="14"/>
        <v>3.3333333333333333E-2</v>
      </c>
      <c r="W79" s="173">
        <v>1</v>
      </c>
      <c r="X79" s="216">
        <f t="shared" si="15"/>
        <v>3.3333333333333333E-2</v>
      </c>
      <c r="Y79" s="173">
        <v>1</v>
      </c>
      <c r="Z79" s="1494">
        <f t="shared" si="15"/>
        <v>3.0303030303030304E-2</v>
      </c>
      <c r="AA79" s="955"/>
      <c r="AB79" s="1016">
        <f t="shared" si="16"/>
        <v>1</v>
      </c>
      <c r="AC79" s="863">
        <f t="shared" si="17"/>
        <v>3.3433348260934463E-2</v>
      </c>
    </row>
    <row r="80" spans="2:29" s="3" customFormat="1" ht="12" x14ac:dyDescent="0.2">
      <c r="B80" s="1205" t="s">
        <v>256</v>
      </c>
      <c r="C80" s="1514"/>
      <c r="D80" s="1511"/>
      <c r="E80" s="1512"/>
      <c r="F80" s="1513"/>
      <c r="G80" s="1510"/>
      <c r="H80" s="1511"/>
      <c r="I80" s="1512"/>
      <c r="J80" s="1513"/>
      <c r="K80" s="1510"/>
      <c r="L80" s="1513"/>
      <c r="M80" s="1510"/>
      <c r="N80" s="1511"/>
      <c r="O80" s="1512"/>
      <c r="P80" s="1511"/>
      <c r="Q80" s="174">
        <v>0</v>
      </c>
      <c r="R80" s="216">
        <f t="shared" si="12"/>
        <v>0</v>
      </c>
      <c r="S80" s="174">
        <f>0</f>
        <v>0</v>
      </c>
      <c r="T80" s="216">
        <f t="shared" si="13"/>
        <v>0</v>
      </c>
      <c r="U80" s="174">
        <v>0</v>
      </c>
      <c r="V80" s="216">
        <f t="shared" si="14"/>
        <v>0</v>
      </c>
      <c r="W80" s="174">
        <v>0</v>
      </c>
      <c r="X80" s="216">
        <f t="shared" si="15"/>
        <v>0</v>
      </c>
      <c r="Y80" s="174">
        <v>0</v>
      </c>
      <c r="Z80" s="1494">
        <f t="shared" si="15"/>
        <v>0</v>
      </c>
      <c r="AA80" s="955"/>
      <c r="AB80" s="1016">
        <f t="shared" si="16"/>
        <v>0</v>
      </c>
      <c r="AC80" s="863">
        <f t="shared" si="17"/>
        <v>0</v>
      </c>
    </row>
    <row r="81" spans="1:31" s="3" customFormat="1" ht="12" x14ac:dyDescent="0.2">
      <c r="B81" s="85" t="s">
        <v>93</v>
      </c>
      <c r="C81" s="346">
        <v>1</v>
      </c>
      <c r="D81" s="216">
        <f t="shared" si="18"/>
        <v>4.1666666666666664E-2</v>
      </c>
      <c r="E81" s="174">
        <v>1</v>
      </c>
      <c r="F81" s="221">
        <f t="shared" si="10"/>
        <v>0.04</v>
      </c>
      <c r="G81" s="217">
        <v>1</v>
      </c>
      <c r="H81" s="216">
        <f t="shared" si="10"/>
        <v>0.04</v>
      </c>
      <c r="I81" s="174">
        <v>0</v>
      </c>
      <c r="J81" s="221">
        <f t="shared" si="11"/>
        <v>0</v>
      </c>
      <c r="K81" s="217">
        <v>1</v>
      </c>
      <c r="L81" s="221">
        <f t="shared" si="11"/>
        <v>3.7037037037037035E-2</v>
      </c>
      <c r="M81" s="217">
        <v>1</v>
      </c>
      <c r="N81" s="216">
        <f t="shared" si="12"/>
        <v>3.0303030303030304E-2</v>
      </c>
      <c r="O81" s="174">
        <v>1</v>
      </c>
      <c r="P81" s="216">
        <f t="shared" si="12"/>
        <v>3.4482758620689655E-2</v>
      </c>
      <c r="Q81" s="174">
        <v>1</v>
      </c>
      <c r="R81" s="216">
        <f t="shared" si="12"/>
        <v>3.5714285714285712E-2</v>
      </c>
      <c r="S81" s="174">
        <f>0</f>
        <v>0</v>
      </c>
      <c r="T81" s="216">
        <f t="shared" si="13"/>
        <v>0</v>
      </c>
      <c r="U81" s="174">
        <v>2</v>
      </c>
      <c r="V81" s="216">
        <f t="shared" si="14"/>
        <v>6.6666666666666666E-2</v>
      </c>
      <c r="W81" s="174">
        <v>2</v>
      </c>
      <c r="X81" s="216">
        <f t="shared" si="15"/>
        <v>6.6666666666666666E-2</v>
      </c>
      <c r="Y81" s="174">
        <v>2</v>
      </c>
      <c r="Z81" s="1494">
        <f t="shared" si="15"/>
        <v>6.0606060606060608E-2</v>
      </c>
      <c r="AA81" s="955"/>
      <c r="AB81" s="1016">
        <f t="shared" si="16"/>
        <v>1.4</v>
      </c>
      <c r="AC81" s="863">
        <f t="shared" si="17"/>
        <v>4.5930735930735933E-2</v>
      </c>
    </row>
    <row r="82" spans="1:31" s="3" customFormat="1" ht="12" x14ac:dyDescent="0.2">
      <c r="B82" s="343" t="s">
        <v>136</v>
      </c>
      <c r="C82" s="218"/>
      <c r="D82" s="216"/>
      <c r="E82" s="226"/>
      <c r="F82" s="310"/>
      <c r="G82" s="326"/>
      <c r="H82" s="394"/>
      <c r="I82" s="226"/>
      <c r="J82" s="310"/>
      <c r="K82" s="326"/>
      <c r="L82" s="310"/>
      <c r="M82" s="326"/>
      <c r="N82" s="394"/>
      <c r="O82" s="226"/>
      <c r="P82" s="394"/>
      <c r="Q82" s="226"/>
      <c r="R82" s="394"/>
      <c r="S82" s="226"/>
      <c r="T82" s="394"/>
      <c r="U82" s="226"/>
      <c r="V82" s="394"/>
      <c r="W82" s="226"/>
      <c r="X82" s="394"/>
      <c r="Y82" s="226"/>
      <c r="Z82" s="1500"/>
      <c r="AA82" s="955"/>
      <c r="AB82" s="1016"/>
      <c r="AC82" s="863"/>
    </row>
    <row r="83" spans="1:31" s="3" customFormat="1" ht="12" x14ac:dyDescent="0.2">
      <c r="B83" s="75" t="s">
        <v>124</v>
      </c>
      <c r="C83" s="230">
        <v>13</v>
      </c>
      <c r="D83" s="216">
        <f t="shared" si="18"/>
        <v>0.54166666666666663</v>
      </c>
      <c r="E83" s="171">
        <v>14</v>
      </c>
      <c r="F83" s="311">
        <f>E83/F$72</f>
        <v>0.56000000000000005</v>
      </c>
      <c r="G83" s="229">
        <v>15</v>
      </c>
      <c r="H83" s="395">
        <f>G83/H$72</f>
        <v>0.6</v>
      </c>
      <c r="I83" s="183">
        <v>14</v>
      </c>
      <c r="J83" s="221">
        <f>I83/J$72</f>
        <v>0.56000000000000005</v>
      </c>
      <c r="K83" s="229">
        <v>14</v>
      </c>
      <c r="L83" s="221">
        <f>K83/L$72</f>
        <v>0.51851851851851849</v>
      </c>
      <c r="M83" s="229">
        <f>14+2</f>
        <v>16</v>
      </c>
      <c r="N83" s="216">
        <f>M83/N$72</f>
        <v>0.48484848484848486</v>
      </c>
      <c r="O83" s="183">
        <v>15</v>
      </c>
      <c r="P83" s="216">
        <f>O83/P$72</f>
        <v>0.51724137931034486</v>
      </c>
      <c r="Q83" s="183">
        <v>14</v>
      </c>
      <c r="R83" s="216">
        <f>Q83/R$72</f>
        <v>0.5</v>
      </c>
      <c r="S83" s="183">
        <f>2+12</f>
        <v>14</v>
      </c>
      <c r="T83" s="216">
        <f>S83/T$72</f>
        <v>0.48275862068965519</v>
      </c>
      <c r="U83" s="183">
        <v>15</v>
      </c>
      <c r="V83" s="216">
        <f>U83/V$72</f>
        <v>0.5</v>
      </c>
      <c r="W83" s="183">
        <f>1+13</f>
        <v>14</v>
      </c>
      <c r="X83" s="216">
        <f>W83/X$72</f>
        <v>0.46666666666666667</v>
      </c>
      <c r="Y83" s="183">
        <v>18</v>
      </c>
      <c r="Z83" s="1494">
        <f>Y83/Z$72</f>
        <v>0.54545454545454541</v>
      </c>
      <c r="AA83" s="955"/>
      <c r="AB83" s="1016">
        <f t="shared" si="16"/>
        <v>15</v>
      </c>
      <c r="AC83" s="863">
        <f t="shared" si="17"/>
        <v>0.49897596656217347</v>
      </c>
    </row>
    <row r="84" spans="1:31" s="3" customFormat="1" ht="12" x14ac:dyDescent="0.2">
      <c r="B84" s="75" t="s">
        <v>125</v>
      </c>
      <c r="C84" s="230">
        <v>11</v>
      </c>
      <c r="D84" s="216">
        <f t="shared" si="18"/>
        <v>0.45833333333333331</v>
      </c>
      <c r="E84" s="223">
        <v>11</v>
      </c>
      <c r="F84" s="311">
        <f>E84/F$72</f>
        <v>0.44</v>
      </c>
      <c r="G84" s="230">
        <v>10</v>
      </c>
      <c r="H84" s="395">
        <f>G84/H$72</f>
        <v>0.4</v>
      </c>
      <c r="I84" s="283">
        <v>11</v>
      </c>
      <c r="J84" s="221">
        <f>I84/J$72</f>
        <v>0.44</v>
      </c>
      <c r="K84" s="230">
        <v>14</v>
      </c>
      <c r="L84" s="221">
        <f>K84/L$72</f>
        <v>0.51851851851851849</v>
      </c>
      <c r="M84" s="230">
        <f>14+3</f>
        <v>17</v>
      </c>
      <c r="N84" s="216">
        <f>M84/N$72</f>
        <v>0.51515151515151514</v>
      </c>
      <c r="O84" s="283">
        <v>14</v>
      </c>
      <c r="P84" s="216">
        <f>O84/P$72</f>
        <v>0.48275862068965519</v>
      </c>
      <c r="Q84" s="283">
        <v>14</v>
      </c>
      <c r="R84" s="216">
        <f>Q84/R$72</f>
        <v>0.5</v>
      </c>
      <c r="S84" s="283">
        <f>1+14</f>
        <v>15</v>
      </c>
      <c r="T84" s="216">
        <f>S84/T$72</f>
        <v>0.51724137931034486</v>
      </c>
      <c r="U84" s="283">
        <v>15</v>
      </c>
      <c r="V84" s="216">
        <f>U84/V$72</f>
        <v>0.5</v>
      </c>
      <c r="W84" s="283">
        <f>4+12</f>
        <v>16</v>
      </c>
      <c r="X84" s="216">
        <f>W84/X$72</f>
        <v>0.53333333333333333</v>
      </c>
      <c r="Y84" s="283">
        <v>15</v>
      </c>
      <c r="Z84" s="1494">
        <f>Y84/Z$72</f>
        <v>0.45454545454545453</v>
      </c>
      <c r="AA84" s="955"/>
      <c r="AB84" s="1016">
        <f t="shared" si="16"/>
        <v>15</v>
      </c>
      <c r="AC84" s="863">
        <f t="shared" si="17"/>
        <v>0.50102403343782653</v>
      </c>
    </row>
    <row r="85" spans="1:31" s="3" customFormat="1" ht="12" x14ac:dyDescent="0.2">
      <c r="B85" s="343" t="s">
        <v>137</v>
      </c>
      <c r="C85" s="219"/>
      <c r="D85" s="216"/>
      <c r="E85" s="227"/>
      <c r="F85" s="311"/>
      <c r="G85" s="315"/>
      <c r="H85" s="395"/>
      <c r="I85" s="285"/>
      <c r="J85" s="221"/>
      <c r="K85" s="315"/>
      <c r="L85" s="221"/>
      <c r="M85" s="315"/>
      <c r="N85" s="216"/>
      <c r="O85" s="285"/>
      <c r="P85" s="216"/>
      <c r="Q85" s="285"/>
      <c r="R85" s="216"/>
      <c r="S85" s="285"/>
      <c r="T85" s="216"/>
      <c r="U85" s="285"/>
      <c r="V85" s="216"/>
      <c r="W85" s="285"/>
      <c r="X85" s="216"/>
      <c r="Y85" s="285"/>
      <c r="Z85" s="1494"/>
      <c r="AA85" s="955"/>
      <c r="AB85" s="1016"/>
      <c r="AC85" s="863"/>
    </row>
    <row r="86" spans="1:31" s="3" customFormat="1" ht="12" x14ac:dyDescent="0.2">
      <c r="B86" s="75" t="s">
        <v>126</v>
      </c>
      <c r="C86" s="224">
        <v>13</v>
      </c>
      <c r="D86" s="216">
        <f t="shared" si="18"/>
        <v>0.54166666666666663</v>
      </c>
      <c r="E86" s="223">
        <v>14</v>
      </c>
      <c r="F86" s="311">
        <f>E86/F$72</f>
        <v>0.56000000000000005</v>
      </c>
      <c r="G86" s="230">
        <v>13</v>
      </c>
      <c r="H86" s="395">
        <f>G86/H$72</f>
        <v>0.52</v>
      </c>
      <c r="I86" s="283">
        <v>12</v>
      </c>
      <c r="J86" s="221">
        <f>I86/J$72</f>
        <v>0.48</v>
      </c>
      <c r="K86" s="230">
        <v>12</v>
      </c>
      <c r="L86" s="221">
        <f>K86/L$72</f>
        <v>0.44444444444444442</v>
      </c>
      <c r="M86" s="230">
        <f>11+1</f>
        <v>12</v>
      </c>
      <c r="N86" s="216">
        <f>M86/N$72</f>
        <v>0.36363636363636365</v>
      </c>
      <c r="O86" s="283">
        <v>13</v>
      </c>
      <c r="P86" s="216">
        <f>O86/P$72</f>
        <v>0.44827586206896552</v>
      </c>
      <c r="Q86" s="283">
        <v>13</v>
      </c>
      <c r="R86" s="216">
        <f>Q86/R$72</f>
        <v>0.4642857142857143</v>
      </c>
      <c r="S86" s="283">
        <f>12</f>
        <v>12</v>
      </c>
      <c r="T86" s="216">
        <f>S86/T$72</f>
        <v>0.41379310344827586</v>
      </c>
      <c r="U86" s="283">
        <v>12</v>
      </c>
      <c r="V86" s="216">
        <f>U86/V$72</f>
        <v>0.4</v>
      </c>
      <c r="W86" s="283">
        <v>15</v>
      </c>
      <c r="X86" s="216">
        <f>W86/X$72</f>
        <v>0.5</v>
      </c>
      <c r="Y86" s="283">
        <v>17</v>
      </c>
      <c r="Z86" s="1494">
        <f>Y86/Z$72</f>
        <v>0.51515151515151514</v>
      </c>
      <c r="AA86" s="955"/>
      <c r="AB86" s="1016">
        <f t="shared" si="16"/>
        <v>13.8</v>
      </c>
      <c r="AC86" s="863">
        <f t="shared" si="17"/>
        <v>0.45864606657710105</v>
      </c>
    </row>
    <row r="87" spans="1:31" s="3" customFormat="1" ht="12" x14ac:dyDescent="0.2">
      <c r="B87" s="75" t="s">
        <v>127</v>
      </c>
      <c r="C87" s="224">
        <v>6</v>
      </c>
      <c r="D87" s="216">
        <f t="shared" si="18"/>
        <v>0.25</v>
      </c>
      <c r="E87" s="223">
        <v>5</v>
      </c>
      <c r="F87" s="311">
        <f>E87/F$72</f>
        <v>0.2</v>
      </c>
      <c r="G87" s="230">
        <v>6</v>
      </c>
      <c r="H87" s="395">
        <f>G87/H$72</f>
        <v>0.24</v>
      </c>
      <c r="I87" s="283">
        <v>9</v>
      </c>
      <c r="J87" s="221">
        <f>I87/J$72</f>
        <v>0.36</v>
      </c>
      <c r="K87" s="230">
        <v>8</v>
      </c>
      <c r="L87" s="221">
        <f>K87/L$72</f>
        <v>0.29629629629629628</v>
      </c>
      <c r="M87" s="230">
        <v>12</v>
      </c>
      <c r="N87" s="216">
        <f>M87/N$72</f>
        <v>0.36363636363636365</v>
      </c>
      <c r="O87" s="283">
        <v>11</v>
      </c>
      <c r="P87" s="216">
        <f>O87/P$72</f>
        <v>0.37931034482758619</v>
      </c>
      <c r="Q87" s="283">
        <v>10</v>
      </c>
      <c r="R87" s="216">
        <f>Q87/R$72</f>
        <v>0.35714285714285715</v>
      </c>
      <c r="S87" s="283">
        <f>1+10</f>
        <v>11</v>
      </c>
      <c r="T87" s="216">
        <f>S87/T$72</f>
        <v>0.37931034482758619</v>
      </c>
      <c r="U87" s="283">
        <v>10</v>
      </c>
      <c r="V87" s="216">
        <f>U87/V$72</f>
        <v>0.33333333333333331</v>
      </c>
      <c r="W87" s="283">
        <v>6</v>
      </c>
      <c r="X87" s="216">
        <f>W87/X$72</f>
        <v>0.2</v>
      </c>
      <c r="Y87" s="283">
        <v>5</v>
      </c>
      <c r="Z87" s="1494">
        <f>Y87/Z$72</f>
        <v>0.15151515151515152</v>
      </c>
      <c r="AA87" s="955"/>
      <c r="AB87" s="1016">
        <f t="shared" si="16"/>
        <v>8.4</v>
      </c>
      <c r="AC87" s="863">
        <f t="shared" si="17"/>
        <v>0.28426033736378564</v>
      </c>
    </row>
    <row r="88" spans="1:31" s="3" customFormat="1" ht="12" x14ac:dyDescent="0.2">
      <c r="B88" s="75" t="s">
        <v>128</v>
      </c>
      <c r="C88" s="224">
        <v>5</v>
      </c>
      <c r="D88" s="216">
        <f t="shared" si="18"/>
        <v>0.20833333333333334</v>
      </c>
      <c r="E88" s="223">
        <v>6</v>
      </c>
      <c r="F88" s="311">
        <f>E88/F$72</f>
        <v>0.24</v>
      </c>
      <c r="G88" s="230">
        <v>6</v>
      </c>
      <c r="H88" s="395">
        <f>G88/H$72</f>
        <v>0.24</v>
      </c>
      <c r="I88" s="283">
        <v>4</v>
      </c>
      <c r="J88" s="221">
        <f>I88/J$72</f>
        <v>0.16</v>
      </c>
      <c r="K88" s="230">
        <v>8</v>
      </c>
      <c r="L88" s="221">
        <f>K88/L$72</f>
        <v>0.29629629629629628</v>
      </c>
      <c r="M88" s="230">
        <f>5+4</f>
        <v>9</v>
      </c>
      <c r="N88" s="216">
        <f>M88/N$72</f>
        <v>0.27272727272727271</v>
      </c>
      <c r="O88" s="283">
        <v>5</v>
      </c>
      <c r="P88" s="216">
        <f>O88/P$72</f>
        <v>0.17241379310344829</v>
      </c>
      <c r="Q88" s="283">
        <v>5</v>
      </c>
      <c r="R88" s="216">
        <f>Q88/R$72</f>
        <v>0.17857142857142858</v>
      </c>
      <c r="S88" s="283">
        <f>2+4</f>
        <v>6</v>
      </c>
      <c r="T88" s="216">
        <f>S88/T$72</f>
        <v>0.20689655172413793</v>
      </c>
      <c r="U88" s="283">
        <v>8</v>
      </c>
      <c r="V88" s="216">
        <f>U88/V$72</f>
        <v>0.26666666666666666</v>
      </c>
      <c r="W88" s="283">
        <v>9</v>
      </c>
      <c r="X88" s="216">
        <f>W88/X$72</f>
        <v>0.3</v>
      </c>
      <c r="Y88" s="283">
        <v>11</v>
      </c>
      <c r="Z88" s="1494">
        <f>Y88/Z$72</f>
        <v>0.33333333333333331</v>
      </c>
      <c r="AA88" s="955"/>
      <c r="AB88" s="1016">
        <f t="shared" si="16"/>
        <v>7.8</v>
      </c>
      <c r="AC88" s="863">
        <f t="shared" si="17"/>
        <v>0.25709359605911331</v>
      </c>
    </row>
    <row r="89" spans="1:31" s="3" customFormat="1" ht="12" x14ac:dyDescent="0.2">
      <c r="B89" s="343" t="s">
        <v>138</v>
      </c>
      <c r="C89" s="219"/>
      <c r="D89" s="216"/>
      <c r="E89" s="227"/>
      <c r="F89" s="311"/>
      <c r="G89" s="315"/>
      <c r="H89" s="395"/>
      <c r="I89" s="285"/>
      <c r="J89" s="221"/>
      <c r="K89" s="315"/>
      <c r="L89" s="221"/>
      <c r="M89" s="315"/>
      <c r="N89" s="216"/>
      <c r="O89" s="285"/>
      <c r="P89" s="216"/>
      <c r="Q89" s="285"/>
      <c r="R89" s="216"/>
      <c r="S89" s="285"/>
      <c r="T89" s="216"/>
      <c r="U89" s="285"/>
      <c r="V89" s="216"/>
      <c r="W89" s="285"/>
      <c r="X89" s="216"/>
      <c r="Y89" s="285"/>
      <c r="Z89" s="1494"/>
      <c r="AB89" s="1016"/>
      <c r="AC89" s="863"/>
    </row>
    <row r="90" spans="1:31" s="3" customFormat="1" ht="12" x14ac:dyDescent="0.2">
      <c r="B90" s="75" t="s">
        <v>129</v>
      </c>
      <c r="C90" s="224">
        <v>21</v>
      </c>
      <c r="D90" s="216">
        <f t="shared" si="18"/>
        <v>0.875</v>
      </c>
      <c r="E90" s="223">
        <v>20</v>
      </c>
      <c r="F90" s="311">
        <f>E90/F$72</f>
        <v>0.8</v>
      </c>
      <c r="G90" s="230">
        <v>20</v>
      </c>
      <c r="H90" s="395">
        <f>G90/H$72</f>
        <v>0.8</v>
      </c>
      <c r="I90" s="283">
        <v>21</v>
      </c>
      <c r="J90" s="221">
        <f>I90/J$72</f>
        <v>0.84</v>
      </c>
      <c r="K90" s="230">
        <v>23</v>
      </c>
      <c r="L90" s="221">
        <f>K90/L$72</f>
        <v>0.85185185185185186</v>
      </c>
      <c r="M90" s="230">
        <f>24+3</f>
        <v>27</v>
      </c>
      <c r="N90" s="216">
        <f>M90/N$72</f>
        <v>0.81818181818181823</v>
      </c>
      <c r="O90" s="283">
        <v>26</v>
      </c>
      <c r="P90" s="216">
        <f>O90/P$72</f>
        <v>0.89655172413793105</v>
      </c>
      <c r="Q90" s="283">
        <v>25</v>
      </c>
      <c r="R90" s="216">
        <f>Q90/R$72</f>
        <v>0.8928571428571429</v>
      </c>
      <c r="S90" s="283">
        <f>3+23</f>
        <v>26</v>
      </c>
      <c r="T90" s="216">
        <f>S90/T$72</f>
        <v>0.89655172413793105</v>
      </c>
      <c r="U90" s="283">
        <v>24</v>
      </c>
      <c r="V90" s="216">
        <f>U90/V$72</f>
        <v>0.8</v>
      </c>
      <c r="W90" s="283">
        <f>2+22</f>
        <v>24</v>
      </c>
      <c r="X90" s="216">
        <f>W90/X$72</f>
        <v>0.8</v>
      </c>
      <c r="Y90" s="283">
        <v>25</v>
      </c>
      <c r="Z90" s="1494">
        <f>Y90/Z$72</f>
        <v>0.75757575757575757</v>
      </c>
      <c r="AB90" s="1016">
        <f t="shared" si="16"/>
        <v>24.8</v>
      </c>
      <c r="AC90" s="863">
        <f t="shared" si="17"/>
        <v>0.82939692491416628</v>
      </c>
    </row>
    <row r="91" spans="1:31" s="3" customFormat="1" ht="12" x14ac:dyDescent="0.2">
      <c r="B91" s="75" t="s">
        <v>130</v>
      </c>
      <c r="C91" s="224">
        <v>3</v>
      </c>
      <c r="D91" s="216">
        <f t="shared" si="18"/>
        <v>0.125</v>
      </c>
      <c r="E91" s="223">
        <v>5</v>
      </c>
      <c r="F91" s="311">
        <f>E91/F$72</f>
        <v>0.2</v>
      </c>
      <c r="G91" s="230">
        <v>5</v>
      </c>
      <c r="H91" s="395">
        <f>G91/H$72</f>
        <v>0.2</v>
      </c>
      <c r="I91" s="283">
        <v>4</v>
      </c>
      <c r="J91" s="221">
        <f>I91/J$72</f>
        <v>0.16</v>
      </c>
      <c r="K91" s="230">
        <v>5</v>
      </c>
      <c r="L91" s="221">
        <f>K91/L$72</f>
        <v>0.18518518518518517</v>
      </c>
      <c r="M91" s="230">
        <f>4+1</f>
        <v>5</v>
      </c>
      <c r="N91" s="216">
        <f>M91/N$72</f>
        <v>0.15151515151515152</v>
      </c>
      <c r="O91" s="283">
        <v>3</v>
      </c>
      <c r="P91" s="216">
        <f>O91/P$72</f>
        <v>0.10344827586206896</v>
      </c>
      <c r="Q91" s="283">
        <v>3</v>
      </c>
      <c r="R91" s="216">
        <f>Q91/R$72</f>
        <v>0.10714285714285714</v>
      </c>
      <c r="S91" s="283">
        <f>3</f>
        <v>3</v>
      </c>
      <c r="T91" s="216">
        <f>S91/T$72</f>
        <v>0.10344827586206896</v>
      </c>
      <c r="U91" s="283">
        <v>6</v>
      </c>
      <c r="V91" s="216">
        <f>U91/V$72</f>
        <v>0.2</v>
      </c>
      <c r="W91" s="283">
        <f>3+3</f>
        <v>6</v>
      </c>
      <c r="X91" s="216">
        <f>W91/X$72</f>
        <v>0.2</v>
      </c>
      <c r="Y91" s="283">
        <v>8</v>
      </c>
      <c r="Z91" s="1494">
        <f>Y91/Z$72</f>
        <v>0.24242424242424243</v>
      </c>
      <c r="AB91" s="1016">
        <f t="shared" si="16"/>
        <v>5.2</v>
      </c>
      <c r="AC91" s="863">
        <f t="shared" si="17"/>
        <v>0.17060307508583369</v>
      </c>
    </row>
    <row r="92" spans="1:31" s="3" customFormat="1" ht="12" x14ac:dyDescent="0.2">
      <c r="B92" s="75" t="s">
        <v>131</v>
      </c>
      <c r="C92" s="224">
        <v>0</v>
      </c>
      <c r="D92" s="216">
        <f t="shared" si="18"/>
        <v>0</v>
      </c>
      <c r="E92" s="223">
        <v>0</v>
      </c>
      <c r="F92" s="311">
        <f>E92/F$72</f>
        <v>0</v>
      </c>
      <c r="G92" s="230">
        <v>0</v>
      </c>
      <c r="H92" s="395">
        <f>G92/H$72</f>
        <v>0</v>
      </c>
      <c r="I92" s="283">
        <v>0</v>
      </c>
      <c r="J92" s="221">
        <f>I92/J$72</f>
        <v>0</v>
      </c>
      <c r="K92" s="230">
        <v>0</v>
      </c>
      <c r="L92" s="221">
        <f>K92/L$72</f>
        <v>0</v>
      </c>
      <c r="M92" s="230">
        <v>1</v>
      </c>
      <c r="N92" s="216">
        <f>M92/N$72</f>
        <v>3.0303030303030304E-2</v>
      </c>
      <c r="O92" s="283">
        <v>0</v>
      </c>
      <c r="P92" s="216">
        <f>O92/P$72</f>
        <v>0</v>
      </c>
      <c r="Q92" s="283">
        <v>0</v>
      </c>
      <c r="R92" s="216">
        <f>Q92/R$72</f>
        <v>0</v>
      </c>
      <c r="S92" s="283">
        <f>0</f>
        <v>0</v>
      </c>
      <c r="T92" s="216">
        <f>S92/T$72</f>
        <v>0</v>
      </c>
      <c r="U92" s="283">
        <v>0</v>
      </c>
      <c r="V92" s="216">
        <f>U92/V$72</f>
        <v>0</v>
      </c>
      <c r="W92" s="283">
        <v>0</v>
      </c>
      <c r="X92" s="216">
        <f>W92/X$72</f>
        <v>0</v>
      </c>
      <c r="Y92" s="283">
        <v>0</v>
      </c>
      <c r="Z92" s="1494">
        <f>Y92/Z$72</f>
        <v>0</v>
      </c>
      <c r="AB92" s="1016">
        <f t="shared" si="16"/>
        <v>0</v>
      </c>
      <c r="AC92" s="863">
        <f t="shared" si="17"/>
        <v>0</v>
      </c>
    </row>
    <row r="93" spans="1:31" s="3" customFormat="1" thickBot="1" x14ac:dyDescent="0.25">
      <c r="B93" s="344" t="s">
        <v>132</v>
      </c>
      <c r="C93" s="61">
        <v>0</v>
      </c>
      <c r="D93" s="220">
        <f t="shared" si="18"/>
        <v>0</v>
      </c>
      <c r="E93" s="228">
        <v>0</v>
      </c>
      <c r="F93" s="179">
        <f>E93/F$72</f>
        <v>0</v>
      </c>
      <c r="G93" s="284">
        <v>0</v>
      </c>
      <c r="H93" s="397">
        <f>G93/H$72</f>
        <v>0</v>
      </c>
      <c r="I93" s="284">
        <v>0</v>
      </c>
      <c r="J93" s="222">
        <f>I93/J$72</f>
        <v>0</v>
      </c>
      <c r="K93" s="375">
        <v>0</v>
      </c>
      <c r="L93" s="222">
        <f>K93/L$72</f>
        <v>0</v>
      </c>
      <c r="M93" s="375">
        <v>0</v>
      </c>
      <c r="N93" s="220">
        <f>M93/N$72</f>
        <v>0</v>
      </c>
      <c r="O93" s="284">
        <v>0</v>
      </c>
      <c r="P93" s="220">
        <f>O93/P$72</f>
        <v>0</v>
      </c>
      <c r="Q93" s="284">
        <v>0</v>
      </c>
      <c r="R93" s="220">
        <f>Q93/R$72</f>
        <v>0</v>
      </c>
      <c r="S93" s="284">
        <f>0</f>
        <v>0</v>
      </c>
      <c r="T93" s="220">
        <f>S93/T$72</f>
        <v>0</v>
      </c>
      <c r="U93" s="284">
        <v>0</v>
      </c>
      <c r="V93" s="220">
        <f>U93/V$72</f>
        <v>0</v>
      </c>
      <c r="W93" s="284">
        <v>0</v>
      </c>
      <c r="X93" s="220">
        <f>W93/X$72</f>
        <v>0</v>
      </c>
      <c r="Y93" s="284">
        <v>0</v>
      </c>
      <c r="Z93" s="1495">
        <f>Y93/Z$72</f>
        <v>0</v>
      </c>
      <c r="AB93" s="1016">
        <f t="shared" si="16"/>
        <v>0</v>
      </c>
      <c r="AC93" s="863">
        <f t="shared" si="17"/>
        <v>0</v>
      </c>
      <c r="AE93" s="3" t="s">
        <v>29</v>
      </c>
    </row>
    <row r="94" spans="1:31" ht="14.25" thickTop="1" thickBot="1" x14ac:dyDescent="0.25">
      <c r="A94" s="1"/>
      <c r="B94" s="956" t="s">
        <v>186</v>
      </c>
      <c r="C94" s="1992" t="s">
        <v>51</v>
      </c>
      <c r="D94" s="1993"/>
      <c r="E94" s="1992" t="s">
        <v>52</v>
      </c>
      <c r="F94" s="1993"/>
      <c r="G94" s="1989" t="s">
        <v>184</v>
      </c>
      <c r="H94" s="1990"/>
      <c r="I94" s="1989" t="s">
        <v>185</v>
      </c>
      <c r="J94" s="1990"/>
      <c r="K94" s="1989" t="s">
        <v>202</v>
      </c>
      <c r="L94" s="1990"/>
      <c r="M94" s="1991" t="s">
        <v>203</v>
      </c>
      <c r="N94" s="1979"/>
      <c r="O94" s="1970" t="s">
        <v>228</v>
      </c>
      <c r="P94" s="1979"/>
      <c r="Q94" s="1970" t="s">
        <v>238</v>
      </c>
      <c r="R94" s="1979"/>
      <c r="S94" s="1970" t="s">
        <v>273</v>
      </c>
      <c r="T94" s="1979"/>
      <c r="U94" s="1970" t="s">
        <v>275</v>
      </c>
      <c r="V94" s="1979"/>
      <c r="W94" s="1970" t="s">
        <v>281</v>
      </c>
      <c r="X94" s="1979"/>
      <c r="Y94" s="1970" t="s">
        <v>291</v>
      </c>
      <c r="Z94" s="1976"/>
      <c r="AB94" s="2003" t="s">
        <v>213</v>
      </c>
      <c r="AC94" s="2004"/>
    </row>
    <row r="95" spans="1:31" x14ac:dyDescent="0.2">
      <c r="A95" s="1"/>
      <c r="B95" s="957"/>
      <c r="C95" s="958"/>
      <c r="D95" s="959"/>
      <c r="E95" s="1273" t="s">
        <v>133</v>
      </c>
      <c r="F95" s="1180" t="s">
        <v>17</v>
      </c>
      <c r="G95" s="958" t="s">
        <v>133</v>
      </c>
      <c r="H95" s="1242" t="s">
        <v>17</v>
      </c>
      <c r="I95" s="1273" t="s">
        <v>133</v>
      </c>
      <c r="J95" s="1242" t="s">
        <v>17</v>
      </c>
      <c r="K95" s="1273" t="s">
        <v>133</v>
      </c>
      <c r="L95" s="1242" t="s">
        <v>17</v>
      </c>
      <c r="M95" s="1273" t="s">
        <v>133</v>
      </c>
      <c r="N95" s="1242" t="s">
        <v>17</v>
      </c>
      <c r="O95" s="1273" t="s">
        <v>133</v>
      </c>
      <c r="P95" s="959" t="s">
        <v>17</v>
      </c>
      <c r="Q95" s="1400" t="s">
        <v>133</v>
      </c>
      <c r="R95" s="959" t="s">
        <v>17</v>
      </c>
      <c r="S95" s="1400" t="s">
        <v>133</v>
      </c>
      <c r="T95" s="959" t="s">
        <v>17</v>
      </c>
      <c r="U95" s="1787" t="s">
        <v>133</v>
      </c>
      <c r="V95" s="959" t="s">
        <v>17</v>
      </c>
      <c r="W95" s="1787" t="s">
        <v>133</v>
      </c>
      <c r="X95" s="959" t="s">
        <v>17</v>
      </c>
      <c r="Y95" s="1787" t="s">
        <v>133</v>
      </c>
      <c r="Z95" s="954" t="s">
        <v>17</v>
      </c>
      <c r="AB95" s="953" t="s">
        <v>133</v>
      </c>
      <c r="AC95" s="954" t="s">
        <v>17</v>
      </c>
    </row>
    <row r="96" spans="1:31" x14ac:dyDescent="0.2">
      <c r="A96" s="1"/>
      <c r="B96" s="341" t="s">
        <v>187</v>
      </c>
      <c r="C96" s="960">
        <v>3</v>
      </c>
      <c r="D96" s="961">
        <v>1.5</v>
      </c>
      <c r="E96" s="960">
        <v>5</v>
      </c>
      <c r="F96" s="961">
        <v>2.1</v>
      </c>
      <c r="G96" s="960">
        <v>3</v>
      </c>
      <c r="H96" s="961">
        <v>1.1000000000000001</v>
      </c>
      <c r="I96" s="960">
        <v>5</v>
      </c>
      <c r="J96" s="961">
        <v>2.1</v>
      </c>
      <c r="K96" s="960">
        <v>7</v>
      </c>
      <c r="L96" s="961">
        <v>2.6</v>
      </c>
      <c r="M96" s="960">
        <v>9</v>
      </c>
      <c r="N96" s="961">
        <v>3.9</v>
      </c>
      <c r="O96" s="960">
        <v>8</v>
      </c>
      <c r="P96" s="961">
        <v>3.9</v>
      </c>
      <c r="Q96" s="960">
        <v>4</v>
      </c>
      <c r="R96" s="961">
        <v>2</v>
      </c>
      <c r="S96" s="960">
        <v>3</v>
      </c>
      <c r="T96" s="961">
        <v>1.5</v>
      </c>
      <c r="U96" s="960">
        <v>1</v>
      </c>
      <c r="V96" s="961">
        <v>0.5</v>
      </c>
      <c r="W96" s="960">
        <v>2</v>
      </c>
      <c r="X96" s="961">
        <v>1</v>
      </c>
      <c r="Y96" s="960">
        <v>1</v>
      </c>
      <c r="Z96" s="1517">
        <v>0.5</v>
      </c>
      <c r="AB96" s="1115">
        <f t="shared" ref="AB96:AB98" si="19">AVERAGE(W96,U96,Q96,S96,Y96)</f>
        <v>2.2000000000000002</v>
      </c>
      <c r="AC96" s="1116">
        <f t="shared" ref="AC96:AC98" si="20">AVERAGE(X96,V96,R96,T96,Z96)</f>
        <v>1.1000000000000001</v>
      </c>
    </row>
    <row r="97" spans="1:31" x14ac:dyDescent="0.2">
      <c r="A97" s="1"/>
      <c r="B97" s="341" t="s">
        <v>188</v>
      </c>
      <c r="C97" s="960">
        <v>17</v>
      </c>
      <c r="D97" s="961">
        <v>8.9</v>
      </c>
      <c r="E97" s="960">
        <v>19</v>
      </c>
      <c r="F97" s="961">
        <v>9.4</v>
      </c>
      <c r="G97" s="960">
        <v>21</v>
      </c>
      <c r="H97" s="961">
        <v>10.4</v>
      </c>
      <c r="I97" s="960">
        <v>19</v>
      </c>
      <c r="J97" s="961">
        <v>8.9</v>
      </c>
      <c r="K97" s="960">
        <v>20</v>
      </c>
      <c r="L97" s="961">
        <v>9.4</v>
      </c>
      <c r="M97" s="960">
        <v>17</v>
      </c>
      <c r="N97" s="961">
        <v>8.1999999999999993</v>
      </c>
      <c r="O97" s="960">
        <v>19</v>
      </c>
      <c r="P97" s="961">
        <v>9.4</v>
      </c>
      <c r="Q97" s="960">
        <v>18</v>
      </c>
      <c r="R97" s="961">
        <v>8.6999999999999993</v>
      </c>
      <c r="S97" s="960">
        <v>18</v>
      </c>
      <c r="T97" s="961">
        <v>9</v>
      </c>
      <c r="U97" s="960">
        <v>16</v>
      </c>
      <c r="V97" s="961">
        <v>7.75</v>
      </c>
      <c r="W97" s="960">
        <v>19</v>
      </c>
      <c r="X97" s="961">
        <v>9.5</v>
      </c>
      <c r="Y97" s="960">
        <v>16</v>
      </c>
      <c r="Z97" s="1517">
        <v>8</v>
      </c>
      <c r="AB97" s="1115">
        <f t="shared" si="19"/>
        <v>17.399999999999999</v>
      </c>
      <c r="AC97" s="1116">
        <f t="shared" si="20"/>
        <v>8.59</v>
      </c>
    </row>
    <row r="98" spans="1:31" ht="13.5" thickBot="1" x14ac:dyDescent="0.25">
      <c r="A98" s="1"/>
      <c r="B98" s="344" t="s">
        <v>211</v>
      </c>
      <c r="C98" s="962">
        <v>0</v>
      </c>
      <c r="D98" s="963">
        <v>0</v>
      </c>
      <c r="E98" s="964">
        <v>0</v>
      </c>
      <c r="F98" s="963">
        <v>0</v>
      </c>
      <c r="G98" s="964">
        <v>0</v>
      </c>
      <c r="H98" s="963">
        <v>0</v>
      </c>
      <c r="I98" s="964">
        <v>0</v>
      </c>
      <c r="J98" s="963">
        <v>0</v>
      </c>
      <c r="K98" s="964">
        <v>0</v>
      </c>
      <c r="L98" s="963">
        <v>0</v>
      </c>
      <c r="M98" s="964">
        <v>0</v>
      </c>
      <c r="N98" s="963">
        <v>0</v>
      </c>
      <c r="O98" s="964">
        <v>0</v>
      </c>
      <c r="P98" s="963">
        <v>0</v>
      </c>
      <c r="Q98" s="964">
        <v>0</v>
      </c>
      <c r="R98" s="963">
        <v>0</v>
      </c>
      <c r="S98" s="964">
        <v>0</v>
      </c>
      <c r="T98" s="963">
        <v>0</v>
      </c>
      <c r="U98" s="964">
        <v>0</v>
      </c>
      <c r="V98" s="963">
        <v>0</v>
      </c>
      <c r="W98" s="964">
        <v>0</v>
      </c>
      <c r="X98" s="963">
        <v>0</v>
      </c>
      <c r="Y98" s="964">
        <v>0</v>
      </c>
      <c r="Z98" s="1518">
        <v>0</v>
      </c>
      <c r="AB98" s="1115">
        <f t="shared" si="19"/>
        <v>0</v>
      </c>
      <c r="AC98" s="1116">
        <f t="shared" si="20"/>
        <v>0</v>
      </c>
    </row>
    <row r="99" spans="1:31" ht="17.25" thickTop="1" thickBot="1" x14ac:dyDescent="0.3">
      <c r="A99" s="966"/>
      <c r="B99" s="967"/>
      <c r="C99" s="1992" t="s">
        <v>51</v>
      </c>
      <c r="D99" s="1993"/>
      <c r="E99" s="1992" t="s">
        <v>52</v>
      </c>
      <c r="F99" s="1993"/>
      <c r="G99" s="1989" t="s">
        <v>184</v>
      </c>
      <c r="H99" s="1990"/>
      <c r="I99" s="1989" t="s">
        <v>185</v>
      </c>
      <c r="J99" s="1990"/>
      <c r="K99" s="1989" t="s">
        <v>202</v>
      </c>
      <c r="L99" s="1990"/>
      <c r="M99" s="1991" t="s">
        <v>203</v>
      </c>
      <c r="N99" s="1979"/>
      <c r="O99" s="1970" t="s">
        <v>254</v>
      </c>
      <c r="P99" s="1979"/>
      <c r="Q99" s="1970" t="s">
        <v>238</v>
      </c>
      <c r="R99" s="1979"/>
      <c r="S99" s="1970" t="s">
        <v>273</v>
      </c>
      <c r="T99" s="1979"/>
      <c r="U99" s="1970" t="s">
        <v>275</v>
      </c>
      <c r="V99" s="1979"/>
      <c r="W99" s="1970" t="s">
        <v>281</v>
      </c>
      <c r="X99" s="1979"/>
      <c r="Y99" s="1970" t="s">
        <v>291</v>
      </c>
      <c r="Z99" s="1976"/>
      <c r="AA99" s="932"/>
      <c r="AB99" s="1987"/>
      <c r="AC99" s="1988"/>
      <c r="AD99" s="3"/>
      <c r="AE99" s="3"/>
    </row>
    <row r="100" spans="1:31" x14ac:dyDescent="0.2">
      <c r="A100" s="3"/>
      <c r="B100" s="342" t="s">
        <v>210</v>
      </c>
      <c r="C100" s="3"/>
      <c r="D100" s="969"/>
      <c r="E100" s="970"/>
      <c r="F100" s="971"/>
      <c r="G100" s="972"/>
      <c r="H100" s="973"/>
      <c r="I100" s="974"/>
      <c r="J100" s="593"/>
      <c r="K100" s="975"/>
      <c r="L100" s="976"/>
      <c r="M100" s="975"/>
      <c r="N100" s="991"/>
      <c r="O100" s="974"/>
      <c r="P100" s="593"/>
      <c r="Q100" s="975"/>
      <c r="R100" s="991"/>
      <c r="S100" s="975"/>
      <c r="T100" s="991"/>
      <c r="U100" s="117"/>
      <c r="V100" s="1422"/>
      <c r="W100" s="975"/>
      <c r="X100" s="991"/>
      <c r="Y100" s="975"/>
      <c r="Z100" s="977"/>
      <c r="AA100" s="28"/>
      <c r="AB100" s="28"/>
      <c r="AC100" s="28"/>
      <c r="AD100" s="3"/>
      <c r="AE100" s="3"/>
    </row>
    <row r="101" spans="1:31" x14ac:dyDescent="0.2">
      <c r="A101" s="930"/>
      <c r="B101" s="979" t="s">
        <v>192</v>
      </c>
      <c r="C101" s="1983">
        <v>10.7</v>
      </c>
      <c r="D101" s="1984"/>
      <c r="E101" s="980"/>
      <c r="F101" s="981"/>
      <c r="G101" s="982"/>
      <c r="H101" s="983"/>
      <c r="I101" s="1983">
        <v>10.15</v>
      </c>
      <c r="J101" s="1984"/>
      <c r="K101" s="984"/>
      <c r="L101" s="985"/>
      <c r="M101" s="984"/>
      <c r="N101" s="991"/>
      <c r="O101" s="1898"/>
      <c r="P101" s="1899">
        <v>23.2</v>
      </c>
      <c r="Q101" s="984"/>
      <c r="R101" s="991"/>
      <c r="S101" s="984"/>
      <c r="T101" s="991"/>
      <c r="U101" s="136"/>
      <c r="V101" s="1899">
        <v>20.55</v>
      </c>
      <c r="W101" s="984"/>
      <c r="X101" s="991"/>
      <c r="Y101" s="984"/>
      <c r="Z101" s="977"/>
      <c r="AA101" s="28"/>
      <c r="AB101" s="28"/>
      <c r="AC101" s="1106"/>
      <c r="AD101" s="3"/>
      <c r="AE101" s="3"/>
    </row>
    <row r="102" spans="1:31" x14ac:dyDescent="0.2">
      <c r="A102" s="930"/>
      <c r="B102" s="986" t="s">
        <v>193</v>
      </c>
      <c r="C102" s="1983"/>
      <c r="D102" s="1984"/>
      <c r="E102" s="980"/>
      <c r="F102" s="981"/>
      <c r="G102" s="982"/>
      <c r="H102" s="983"/>
      <c r="I102" s="1983"/>
      <c r="J102" s="1984"/>
      <c r="K102" s="984"/>
      <c r="L102" s="985"/>
      <c r="M102" s="984"/>
      <c r="N102" s="991"/>
      <c r="O102" s="1898"/>
      <c r="P102" s="1899"/>
      <c r="Q102" s="984"/>
      <c r="R102" s="991"/>
      <c r="S102" s="984"/>
      <c r="T102" s="991"/>
      <c r="U102" s="136"/>
      <c r="V102" s="1899"/>
      <c r="W102" s="984"/>
      <c r="X102" s="991"/>
      <c r="Y102" s="984"/>
      <c r="Z102" s="977"/>
      <c r="AA102" s="28"/>
      <c r="AB102" s="28"/>
      <c r="AC102" s="1106"/>
      <c r="AD102" s="3"/>
      <c r="AE102" s="3"/>
    </row>
    <row r="103" spans="1:31" x14ac:dyDescent="0.2">
      <c r="A103" s="930"/>
      <c r="B103" s="986" t="s">
        <v>194</v>
      </c>
      <c r="C103" s="1983">
        <v>5.9</v>
      </c>
      <c r="D103" s="1984"/>
      <c r="E103" s="980"/>
      <c r="F103" s="981"/>
      <c r="G103" s="982"/>
      <c r="H103" s="983"/>
      <c r="I103" s="1983">
        <v>3.1</v>
      </c>
      <c r="J103" s="1984"/>
      <c r="K103" s="984"/>
      <c r="L103" s="985"/>
      <c r="M103" s="984"/>
      <c r="N103" s="991"/>
      <c r="O103" s="1898"/>
      <c r="P103" s="1899">
        <v>5.5</v>
      </c>
      <c r="Q103" s="984"/>
      <c r="R103" s="991"/>
      <c r="S103" s="984"/>
      <c r="T103" s="991"/>
      <c r="U103" s="136"/>
      <c r="V103" s="1899">
        <v>4</v>
      </c>
      <c r="W103" s="984"/>
      <c r="X103" s="991"/>
      <c r="Y103" s="984"/>
      <c r="Z103" s="977"/>
      <c r="AA103" s="28"/>
      <c r="AB103" s="28"/>
      <c r="AC103" s="1106"/>
      <c r="AD103" s="3"/>
      <c r="AE103" s="3"/>
    </row>
    <row r="104" spans="1:31" x14ac:dyDescent="0.2">
      <c r="A104" s="930"/>
      <c r="B104" s="979" t="s">
        <v>195</v>
      </c>
      <c r="C104" s="1983">
        <v>3</v>
      </c>
      <c r="D104" s="1984"/>
      <c r="E104" s="980"/>
      <c r="F104" s="981"/>
      <c r="G104" s="982"/>
      <c r="H104" s="983"/>
      <c r="I104" s="1983">
        <v>6.3</v>
      </c>
      <c r="J104" s="1984"/>
      <c r="K104" s="984"/>
      <c r="L104" s="985"/>
      <c r="M104" s="984"/>
      <c r="N104" s="991"/>
      <c r="O104" s="1898"/>
      <c r="P104" s="1899">
        <v>5</v>
      </c>
      <c r="Q104" s="984"/>
      <c r="R104" s="991"/>
      <c r="S104" s="984"/>
      <c r="T104" s="991"/>
      <c r="U104" s="136"/>
      <c r="V104" s="1899">
        <v>4</v>
      </c>
      <c r="W104" s="984"/>
      <c r="X104" s="991"/>
      <c r="Y104" s="984"/>
      <c r="Z104" s="977"/>
      <c r="AA104" s="28"/>
      <c r="AB104" s="28"/>
      <c r="AC104" s="1106"/>
      <c r="AD104" s="3"/>
      <c r="AE104" s="3"/>
    </row>
    <row r="105" spans="1:31" x14ac:dyDescent="0.2">
      <c r="A105" s="930"/>
      <c r="B105" s="987" t="s">
        <v>196</v>
      </c>
      <c r="C105" s="1983">
        <v>3.05</v>
      </c>
      <c r="D105" s="1984"/>
      <c r="E105" s="980"/>
      <c r="F105" s="981"/>
      <c r="G105" s="982"/>
      <c r="H105" s="983"/>
      <c r="I105" s="1983">
        <v>4.3499999999999996</v>
      </c>
      <c r="J105" s="1984"/>
      <c r="K105" s="984"/>
      <c r="L105" s="985"/>
      <c r="M105" s="984"/>
      <c r="N105" s="991"/>
      <c r="O105" s="1898"/>
      <c r="P105" s="1899">
        <v>4.9000000000000004</v>
      </c>
      <c r="Q105" s="984"/>
      <c r="R105" s="991"/>
      <c r="S105" s="984"/>
      <c r="T105" s="991"/>
      <c r="U105" s="136"/>
      <c r="V105" s="1899">
        <f>2+4.15</f>
        <v>6.15</v>
      </c>
      <c r="W105" s="984"/>
      <c r="X105" s="991"/>
      <c r="Y105" s="984"/>
      <c r="Z105" s="977"/>
      <c r="AA105" s="28"/>
      <c r="AB105" s="28"/>
      <c r="AC105" s="1106"/>
      <c r="AD105" s="3"/>
      <c r="AE105" s="3"/>
    </row>
    <row r="106" spans="1:31" x14ac:dyDescent="0.2">
      <c r="A106" s="930"/>
      <c r="B106" s="987" t="s">
        <v>197</v>
      </c>
      <c r="C106" s="1983">
        <f>SUM(C101:D105)</f>
        <v>22.650000000000002</v>
      </c>
      <c r="D106" s="1984"/>
      <c r="E106" s="980"/>
      <c r="F106" s="981"/>
      <c r="G106" s="982"/>
      <c r="H106" s="983"/>
      <c r="I106" s="1983">
        <f>SUM(I101:J105)</f>
        <v>23.9</v>
      </c>
      <c r="J106" s="1984"/>
      <c r="K106" s="984"/>
      <c r="L106" s="985"/>
      <c r="M106" s="984"/>
      <c r="N106" s="991"/>
      <c r="O106" s="1898"/>
      <c r="P106" s="1899">
        <v>38.6</v>
      </c>
      <c r="Q106" s="984"/>
      <c r="R106" s="991"/>
      <c r="S106" s="984"/>
      <c r="T106" s="991"/>
      <c r="U106" s="136"/>
      <c r="V106" s="1899">
        <f>SUM(V101:V105)</f>
        <v>34.700000000000003</v>
      </c>
      <c r="W106" s="984"/>
      <c r="X106" s="991"/>
      <c r="Y106" s="984"/>
      <c r="Z106" s="977"/>
      <c r="AA106" s="28"/>
      <c r="AB106" s="28"/>
      <c r="AC106" s="1106"/>
      <c r="AD106" s="3"/>
      <c r="AE106" s="3"/>
    </row>
    <row r="107" spans="1:31" ht="13.5" thickBot="1" x14ac:dyDescent="0.25">
      <c r="A107" s="930"/>
      <c r="B107" s="988" t="s">
        <v>204</v>
      </c>
      <c r="C107" s="2056"/>
      <c r="D107" s="2055"/>
      <c r="E107" s="989"/>
      <c r="F107" s="990"/>
      <c r="G107" s="975"/>
      <c r="H107" s="991"/>
      <c r="I107" s="2056"/>
      <c r="J107" s="2055"/>
      <c r="K107" s="984"/>
      <c r="L107" s="985"/>
      <c r="M107" s="984"/>
      <c r="N107" s="991"/>
      <c r="O107" s="1900"/>
      <c r="P107" s="1901"/>
      <c r="Q107" s="984"/>
      <c r="R107" s="991"/>
      <c r="S107" s="984"/>
      <c r="T107" s="991"/>
      <c r="U107" s="136"/>
      <c r="V107" s="1901"/>
      <c r="W107" s="984"/>
      <c r="X107" s="991"/>
      <c r="Y107" s="984"/>
      <c r="Z107" s="977"/>
      <c r="AA107" s="28"/>
      <c r="AB107" s="28"/>
      <c r="AC107" s="1106"/>
      <c r="AD107" s="3"/>
      <c r="AE107" s="3"/>
    </row>
    <row r="108" spans="1:31" x14ac:dyDescent="0.2">
      <c r="A108" s="930"/>
      <c r="B108" s="979" t="s">
        <v>198</v>
      </c>
      <c r="C108" s="2043">
        <v>5161</v>
      </c>
      <c r="D108" s="2044"/>
      <c r="E108" s="992"/>
      <c r="F108" s="993"/>
      <c r="G108" s="994"/>
      <c r="H108" s="995"/>
      <c r="I108" s="2043">
        <v>6739</v>
      </c>
      <c r="J108" s="2044"/>
      <c r="K108" s="984"/>
      <c r="L108" s="985"/>
      <c r="M108" s="984"/>
      <c r="N108" s="991"/>
      <c r="O108" s="1902"/>
      <c r="P108" s="1903">
        <v>7770</v>
      </c>
      <c r="Q108" s="984"/>
      <c r="R108" s="991"/>
      <c r="S108" s="984"/>
      <c r="T108" s="991"/>
      <c r="U108" s="136"/>
      <c r="V108" s="1903">
        <v>5818</v>
      </c>
      <c r="W108" s="984"/>
      <c r="X108" s="991"/>
      <c r="Y108" s="984"/>
      <c r="Z108" s="977"/>
      <c r="AA108" s="28"/>
      <c r="AB108" s="28"/>
      <c r="AC108" s="1473"/>
      <c r="AD108" s="3"/>
      <c r="AE108" s="3"/>
    </row>
    <row r="109" spans="1:31" x14ac:dyDescent="0.2">
      <c r="A109" s="930"/>
      <c r="B109" s="987" t="s">
        <v>199</v>
      </c>
      <c r="C109" s="2043">
        <v>4815</v>
      </c>
      <c r="D109" s="2044"/>
      <c r="E109" s="992"/>
      <c r="F109" s="993"/>
      <c r="G109" s="994"/>
      <c r="H109" s="995"/>
      <c r="I109" s="2043">
        <v>2076</v>
      </c>
      <c r="J109" s="2044"/>
      <c r="K109" s="984"/>
      <c r="L109" s="985"/>
      <c r="M109" s="984"/>
      <c r="N109" s="991"/>
      <c r="O109" s="1902"/>
      <c r="P109" s="1903">
        <v>1566</v>
      </c>
      <c r="Q109" s="984"/>
      <c r="R109" s="991"/>
      <c r="S109" s="984"/>
      <c r="T109" s="991"/>
      <c r="U109" s="136"/>
      <c r="V109" s="1903">
        <v>1407</v>
      </c>
      <c r="W109" s="984"/>
      <c r="X109" s="991"/>
      <c r="Y109" s="984"/>
      <c r="Z109" s="977"/>
      <c r="AA109" s="28"/>
      <c r="AB109" s="28"/>
      <c r="AC109" s="1473"/>
      <c r="AD109" s="3"/>
      <c r="AE109" s="3"/>
    </row>
    <row r="110" spans="1:31" x14ac:dyDescent="0.2">
      <c r="A110" s="930"/>
      <c r="B110" s="987" t="s">
        <v>200</v>
      </c>
      <c r="C110" s="2043">
        <v>1857</v>
      </c>
      <c r="D110" s="2044"/>
      <c r="E110" s="992"/>
      <c r="F110" s="993"/>
      <c r="G110" s="994"/>
      <c r="H110" s="995"/>
      <c r="I110" s="2043">
        <v>1395</v>
      </c>
      <c r="J110" s="2044"/>
      <c r="K110" s="984"/>
      <c r="L110" s="985"/>
      <c r="M110" s="984"/>
      <c r="N110" s="991"/>
      <c r="O110" s="1902"/>
      <c r="P110" s="1903">
        <v>1177</v>
      </c>
      <c r="Q110" s="984"/>
      <c r="R110" s="991"/>
      <c r="S110" s="984"/>
      <c r="T110" s="991"/>
      <c r="U110" s="136"/>
      <c r="V110" s="1903">
        <f>366+2655</f>
        <v>3021</v>
      </c>
      <c r="W110" s="984"/>
      <c r="X110" s="991"/>
      <c r="Y110" s="984"/>
      <c r="Z110" s="977"/>
      <c r="AA110" s="28"/>
      <c r="AB110" s="28"/>
      <c r="AC110" s="1473"/>
      <c r="AD110" s="3"/>
      <c r="AE110" s="3"/>
    </row>
    <row r="111" spans="1:31" x14ac:dyDescent="0.2">
      <c r="A111" s="930"/>
      <c r="B111" s="987" t="s">
        <v>209</v>
      </c>
      <c r="C111" s="2043">
        <f>SUM(C108:D110)</f>
        <v>11833</v>
      </c>
      <c r="D111" s="2044"/>
      <c r="E111" s="992"/>
      <c r="F111" s="993"/>
      <c r="G111" s="994"/>
      <c r="H111" s="995"/>
      <c r="I111" s="2043">
        <f>SUM(I108:J110)</f>
        <v>10210</v>
      </c>
      <c r="J111" s="2044"/>
      <c r="K111" s="984"/>
      <c r="L111" s="985"/>
      <c r="M111" s="984"/>
      <c r="N111" s="991"/>
      <c r="O111" s="1902"/>
      <c r="P111" s="1903">
        <v>10513</v>
      </c>
      <c r="Q111" s="984"/>
      <c r="R111" s="991"/>
      <c r="S111" s="984"/>
      <c r="T111" s="991"/>
      <c r="U111" s="136"/>
      <c r="V111" s="1903">
        <f>SUM(V108:V110)</f>
        <v>10246</v>
      </c>
      <c r="W111" s="984"/>
      <c r="X111" s="991"/>
      <c r="Y111" s="984"/>
      <c r="Z111" s="977"/>
      <c r="AA111" s="28"/>
      <c r="AB111" s="28"/>
      <c r="AC111" s="1473"/>
      <c r="AD111" s="3"/>
      <c r="AE111" s="3"/>
    </row>
    <row r="112" spans="1:31" ht="13.5" thickBot="1" x14ac:dyDescent="0.25">
      <c r="A112" s="930"/>
      <c r="B112" s="988" t="s">
        <v>205</v>
      </c>
      <c r="C112" s="2056"/>
      <c r="D112" s="2055"/>
      <c r="E112" s="989"/>
      <c r="F112" s="990"/>
      <c r="G112" s="975"/>
      <c r="H112" s="991"/>
      <c r="I112" s="2056"/>
      <c r="J112" s="2055"/>
      <c r="K112" s="984"/>
      <c r="L112" s="985"/>
      <c r="M112" s="984"/>
      <c r="N112" s="991"/>
      <c r="O112" s="1900"/>
      <c r="P112" s="1901"/>
      <c r="Q112" s="984"/>
      <c r="R112" s="991"/>
      <c r="S112" s="984"/>
      <c r="T112" s="991"/>
      <c r="U112" s="136"/>
      <c r="V112" s="1901"/>
      <c r="W112" s="984"/>
      <c r="X112" s="991"/>
      <c r="Y112" s="984"/>
      <c r="Z112" s="977"/>
      <c r="AA112" s="28"/>
      <c r="AB112" s="28"/>
      <c r="AC112" s="1106"/>
      <c r="AD112" s="28"/>
      <c r="AE112" s="28"/>
    </row>
    <row r="113" spans="1:31" x14ac:dyDescent="0.2">
      <c r="A113" s="930"/>
      <c r="B113" s="979" t="s">
        <v>206</v>
      </c>
      <c r="C113" s="1985">
        <f>C108/C101</f>
        <v>482.33644859813086</v>
      </c>
      <c r="D113" s="1986"/>
      <c r="E113" s="996"/>
      <c r="F113" s="997"/>
      <c r="G113" s="998"/>
      <c r="H113" s="999"/>
      <c r="I113" s="1985">
        <f>I108/I101</f>
        <v>663.94088669950736</v>
      </c>
      <c r="J113" s="1986"/>
      <c r="K113" s="1000"/>
      <c r="L113" s="1001"/>
      <c r="M113" s="1000"/>
      <c r="N113" s="999"/>
      <c r="O113" s="1904"/>
      <c r="P113" s="1905">
        <v>334.91379310344831</v>
      </c>
      <c r="Q113" s="1000"/>
      <c r="R113" s="999"/>
      <c r="S113" s="1000"/>
      <c r="T113" s="999"/>
      <c r="U113" s="494"/>
      <c r="V113" s="1905">
        <f>V108/V101</f>
        <v>283.11435523114352</v>
      </c>
      <c r="W113" s="1000"/>
      <c r="X113" s="999"/>
      <c r="Y113" s="1000"/>
      <c r="Z113" s="1460"/>
      <c r="AA113" s="668"/>
      <c r="AB113" s="668"/>
      <c r="AC113" s="1106"/>
      <c r="AD113" s="21"/>
      <c r="AE113" s="21"/>
    </row>
    <row r="114" spans="1:31" x14ac:dyDescent="0.2">
      <c r="A114" s="930"/>
      <c r="B114" s="987" t="s">
        <v>207</v>
      </c>
      <c r="C114" s="1985">
        <f>C109/C103</f>
        <v>816.10169491525414</v>
      </c>
      <c r="D114" s="1986"/>
      <c r="E114" s="996"/>
      <c r="F114" s="997"/>
      <c r="G114" s="998"/>
      <c r="H114" s="999"/>
      <c r="I114" s="1985">
        <f>I109/I103</f>
        <v>669.67741935483866</v>
      </c>
      <c r="J114" s="1986"/>
      <c r="K114" s="1000"/>
      <c r="L114" s="1001"/>
      <c r="M114" s="1000"/>
      <c r="N114" s="999"/>
      <c r="O114" s="1904"/>
      <c r="P114" s="1905">
        <v>284.72727272727275</v>
      </c>
      <c r="Q114" s="1000"/>
      <c r="R114" s="999"/>
      <c r="S114" s="1000"/>
      <c r="T114" s="999"/>
      <c r="U114" s="494"/>
      <c r="V114" s="1905">
        <f>V109/(V103+V104)</f>
        <v>175.875</v>
      </c>
      <c r="W114" s="1000"/>
      <c r="X114" s="999"/>
      <c r="Y114" s="1000"/>
      <c r="Z114" s="1460"/>
      <c r="AA114" s="668"/>
      <c r="AB114" s="668"/>
      <c r="AC114" s="1106"/>
      <c r="AD114" s="21"/>
      <c r="AE114" s="21"/>
    </row>
    <row r="115" spans="1:31" x14ac:dyDescent="0.2">
      <c r="A115" s="930"/>
      <c r="B115" s="987" t="s">
        <v>208</v>
      </c>
      <c r="C115" s="1985">
        <f>C110/C105</f>
        <v>608.85245901639348</v>
      </c>
      <c r="D115" s="1986"/>
      <c r="E115" s="996"/>
      <c r="F115" s="997"/>
      <c r="G115" s="998"/>
      <c r="H115" s="999"/>
      <c r="I115" s="1985">
        <f>I110/I105</f>
        <v>320.68965517241384</v>
      </c>
      <c r="J115" s="1986"/>
      <c r="K115" s="1000"/>
      <c r="L115" s="1001"/>
      <c r="M115" s="1000"/>
      <c r="N115" s="999"/>
      <c r="O115" s="1904"/>
      <c r="P115" s="1905">
        <v>240.20408163265304</v>
      </c>
      <c r="Q115" s="1000"/>
      <c r="R115" s="999"/>
      <c r="S115" s="1000"/>
      <c r="T115" s="999"/>
      <c r="U115" s="494"/>
      <c r="V115" s="1905">
        <f>V110/V105</f>
        <v>491.21951219512192</v>
      </c>
      <c r="W115" s="1000"/>
      <c r="X115" s="999"/>
      <c r="Y115" s="1000"/>
      <c r="Z115" s="1460"/>
      <c r="AA115" s="668"/>
      <c r="AB115" s="668"/>
      <c r="AC115" s="1106"/>
      <c r="AD115" s="21"/>
      <c r="AE115" s="21"/>
    </row>
    <row r="116" spans="1:31" ht="13.5" thickBot="1" x14ac:dyDescent="0.25">
      <c r="A116" s="930"/>
      <c r="B116" s="1002" t="s">
        <v>201</v>
      </c>
      <c r="C116" s="2045">
        <f>C111/C106</f>
        <v>522.42825607064015</v>
      </c>
      <c r="D116" s="2046"/>
      <c r="E116" s="1003"/>
      <c r="F116" s="1004"/>
      <c r="G116" s="1005"/>
      <c r="H116" s="1006"/>
      <c r="I116" s="2045">
        <f>I111/I106</f>
        <v>427.19665271966528</v>
      </c>
      <c r="J116" s="2046"/>
      <c r="K116" s="1005"/>
      <c r="L116" s="1006"/>
      <c r="M116" s="1005"/>
      <c r="N116" s="1006"/>
      <c r="O116" s="1906"/>
      <c r="P116" s="1907">
        <v>272.35751295336786</v>
      </c>
      <c r="Q116" s="1005"/>
      <c r="R116" s="1006"/>
      <c r="S116" s="1005"/>
      <c r="T116" s="1006"/>
      <c r="U116" s="1233"/>
      <c r="V116" s="1907">
        <f>V111/V106</f>
        <v>295.27377521613829</v>
      </c>
      <c r="W116" s="1005"/>
      <c r="X116" s="1006"/>
      <c r="Y116" s="1005"/>
      <c r="Z116" s="1461"/>
      <c r="AA116" s="668"/>
      <c r="AB116" s="668"/>
      <c r="AC116" s="1106"/>
      <c r="AD116" s="21"/>
      <c r="AE116" s="21"/>
    </row>
    <row r="117" spans="1:31" ht="13.5" thickTop="1" x14ac:dyDescent="0.2">
      <c r="A117" s="3"/>
      <c r="B117" s="3" t="str">
        <f>Dean_AS!B169</f>
        <v>*Note: Beginning with the 2009 collection cycle, Instructional FTE was defined according to the national Delaware Study of Instructional Costs and Productivity</v>
      </c>
      <c r="K117" s="3"/>
    </row>
    <row r="118" spans="1:31" x14ac:dyDescent="0.2">
      <c r="A118" s="3"/>
      <c r="B118" s="3"/>
      <c r="K118" s="3"/>
    </row>
    <row r="119" spans="1:31" x14ac:dyDescent="0.2">
      <c r="A119" s="3"/>
      <c r="B119" s="3"/>
      <c r="K119" s="3"/>
    </row>
    <row r="120" spans="1:31" x14ac:dyDescent="0.2">
      <c r="A120" s="3"/>
      <c r="B120" s="3"/>
      <c r="K120" s="3"/>
    </row>
    <row r="121" spans="1:31" x14ac:dyDescent="0.2">
      <c r="A121" s="3"/>
      <c r="B121" s="3"/>
      <c r="K121" s="3"/>
    </row>
    <row r="122" spans="1:31" x14ac:dyDescent="0.2">
      <c r="A122" s="3"/>
      <c r="B122" s="3"/>
      <c r="K122" s="3"/>
    </row>
    <row r="123" spans="1:31" x14ac:dyDescent="0.2">
      <c r="A123" s="3"/>
      <c r="B123" s="3"/>
      <c r="K123" s="3"/>
    </row>
    <row r="124" spans="1:31" x14ac:dyDescent="0.2">
      <c r="A124" s="3"/>
      <c r="B124" s="3"/>
      <c r="K124" s="3"/>
    </row>
    <row r="125" spans="1:31" x14ac:dyDescent="0.2">
      <c r="A125" s="3"/>
      <c r="B125" s="3"/>
      <c r="K125" s="3"/>
    </row>
    <row r="126" spans="1:31" x14ac:dyDescent="0.2">
      <c r="A126" s="3"/>
      <c r="B126" s="3"/>
      <c r="K126" s="3"/>
    </row>
    <row r="127" spans="1:31" x14ac:dyDescent="0.2">
      <c r="A127" s="3"/>
      <c r="B127" s="3"/>
      <c r="K127" s="3"/>
    </row>
    <row r="128" spans="1:31" x14ac:dyDescent="0.2">
      <c r="A128" s="3"/>
      <c r="B128" s="3"/>
      <c r="K128" s="3"/>
    </row>
    <row r="129" spans="1:11" x14ac:dyDescent="0.2">
      <c r="A129" s="3"/>
      <c r="B129" s="3"/>
      <c r="K129" s="3"/>
    </row>
    <row r="130" spans="1:11" x14ac:dyDescent="0.2">
      <c r="A130" s="3"/>
      <c r="B130" s="3"/>
      <c r="K130" s="3"/>
    </row>
    <row r="131" spans="1:11" x14ac:dyDescent="0.2">
      <c r="A131" s="3"/>
      <c r="B131" s="3"/>
      <c r="K131" s="3"/>
    </row>
    <row r="132" spans="1:11" x14ac:dyDescent="0.2">
      <c r="A132" s="3"/>
      <c r="B132" s="3"/>
      <c r="K132" s="3"/>
    </row>
    <row r="133" spans="1:11" x14ac:dyDescent="0.2">
      <c r="A133" s="3"/>
      <c r="B133" s="3"/>
      <c r="K133" s="3"/>
    </row>
    <row r="134" spans="1:11" x14ac:dyDescent="0.2">
      <c r="A134" s="3"/>
      <c r="B134" s="3"/>
      <c r="K134" s="3"/>
    </row>
    <row r="135" spans="1:11" x14ac:dyDescent="0.2">
      <c r="A135" s="3"/>
      <c r="B135" s="3"/>
      <c r="K135" s="3"/>
    </row>
    <row r="136" spans="1:11" x14ac:dyDescent="0.2">
      <c r="A136" s="3"/>
      <c r="B136" s="3"/>
      <c r="K136" s="3"/>
    </row>
    <row r="137" spans="1:11" x14ac:dyDescent="0.2">
      <c r="A137" s="3"/>
      <c r="B137" s="3"/>
      <c r="K137" s="3"/>
    </row>
    <row r="138" spans="1:11" x14ac:dyDescent="0.2">
      <c r="A138" s="3"/>
      <c r="B138" s="3"/>
      <c r="K138" s="3"/>
    </row>
    <row r="139" spans="1:11" x14ac:dyDescent="0.2">
      <c r="A139" s="3"/>
      <c r="B139" s="3"/>
      <c r="K139" s="3"/>
    </row>
    <row r="140" spans="1:11" x14ac:dyDescent="0.2">
      <c r="A140" s="3"/>
      <c r="B140" s="3"/>
      <c r="K140" s="3"/>
    </row>
    <row r="141" spans="1:11" x14ac:dyDescent="0.2">
      <c r="A141" s="3"/>
      <c r="B141" s="3"/>
      <c r="K141" s="3"/>
    </row>
    <row r="142" spans="1:11" x14ac:dyDescent="0.2">
      <c r="A142" s="3"/>
      <c r="B142" s="3"/>
      <c r="K142" s="3"/>
    </row>
    <row r="143" spans="1:11" x14ac:dyDescent="0.2">
      <c r="A143" s="3"/>
      <c r="B143" s="3"/>
      <c r="K143" s="3"/>
    </row>
    <row r="144" spans="1:11" x14ac:dyDescent="0.2">
      <c r="A144" s="3"/>
      <c r="B144" s="3"/>
      <c r="K144" s="3"/>
    </row>
    <row r="145" spans="1:11" x14ac:dyDescent="0.2">
      <c r="A145" s="3"/>
      <c r="B145" s="3"/>
      <c r="K145" s="3"/>
    </row>
    <row r="146" spans="1:11" x14ac:dyDescent="0.2">
      <c r="A146" s="3"/>
      <c r="B146" s="3"/>
      <c r="K146" s="3"/>
    </row>
    <row r="147" spans="1:11" x14ac:dyDescent="0.2">
      <c r="A147" s="3"/>
      <c r="B147" s="3"/>
      <c r="K147" s="3"/>
    </row>
    <row r="148" spans="1:11" x14ac:dyDescent="0.2">
      <c r="A148" s="3"/>
      <c r="B148" s="3"/>
      <c r="K148" s="3"/>
    </row>
    <row r="149" spans="1:11" x14ac:dyDescent="0.2">
      <c r="A149" s="3"/>
      <c r="B149" s="3"/>
      <c r="K149" s="3"/>
    </row>
    <row r="150" spans="1:11" x14ac:dyDescent="0.2">
      <c r="A150" s="3"/>
      <c r="B150" s="3"/>
      <c r="K150" s="3"/>
    </row>
    <row r="151" spans="1:11" x14ac:dyDescent="0.2">
      <c r="A151" s="3"/>
      <c r="B151" s="3"/>
      <c r="K151" s="3"/>
    </row>
    <row r="152" spans="1:11" x14ac:dyDescent="0.2">
      <c r="A152" s="3"/>
      <c r="B152" s="3"/>
      <c r="K152" s="3"/>
    </row>
    <row r="153" spans="1:11" x14ac:dyDescent="0.2">
      <c r="A153" s="3"/>
      <c r="B153" s="3"/>
      <c r="K153" s="3"/>
    </row>
    <row r="154" spans="1:11" x14ac:dyDescent="0.2">
      <c r="A154" s="3"/>
      <c r="B154" s="3"/>
      <c r="K154" s="3"/>
    </row>
    <row r="155" spans="1:11" x14ac:dyDescent="0.2">
      <c r="A155" s="3"/>
      <c r="B155" s="3"/>
      <c r="K155" s="3"/>
    </row>
    <row r="156" spans="1:11" x14ac:dyDescent="0.2">
      <c r="A156" s="3"/>
      <c r="B156" s="3"/>
      <c r="K156" s="3"/>
    </row>
    <row r="157" spans="1:11" x14ac:dyDescent="0.2">
      <c r="A157" s="3"/>
      <c r="B157" s="3"/>
      <c r="K157" s="3"/>
    </row>
    <row r="158" spans="1:11" x14ac:dyDescent="0.2">
      <c r="A158" s="3"/>
      <c r="B158" s="3"/>
      <c r="K158" s="3"/>
    </row>
    <row r="159" spans="1:11" x14ac:dyDescent="0.2">
      <c r="A159" s="3"/>
      <c r="B159" s="3"/>
      <c r="K159" s="3"/>
    </row>
    <row r="160" spans="1:11" x14ac:dyDescent="0.2">
      <c r="A160" s="3"/>
      <c r="B160" s="3"/>
      <c r="K160" s="3"/>
    </row>
    <row r="161" spans="1:11" x14ac:dyDescent="0.2">
      <c r="A161" s="3"/>
      <c r="B161" s="3"/>
      <c r="K161" s="3"/>
    </row>
    <row r="162" spans="1:11" x14ac:dyDescent="0.2">
      <c r="A162" s="3"/>
      <c r="B162" s="3"/>
      <c r="K162" s="3"/>
    </row>
    <row r="163" spans="1:11" x14ac:dyDescent="0.2">
      <c r="A163" s="3"/>
      <c r="B163" s="3"/>
      <c r="K163" s="3"/>
    </row>
    <row r="164" spans="1:11" x14ac:dyDescent="0.2">
      <c r="A164" s="3"/>
      <c r="B164" s="3"/>
      <c r="K164" s="3"/>
    </row>
    <row r="165" spans="1:11" x14ac:dyDescent="0.2">
      <c r="A165" s="3"/>
      <c r="B165" s="3"/>
      <c r="K165" s="3"/>
    </row>
    <row r="166" spans="1:11" x14ac:dyDescent="0.2">
      <c r="A166" s="3"/>
      <c r="B166" s="3"/>
      <c r="K166" s="3"/>
    </row>
    <row r="167" spans="1:11" x14ac:dyDescent="0.2">
      <c r="A167" s="3"/>
      <c r="B167" s="3"/>
      <c r="K167" s="3"/>
    </row>
    <row r="168" spans="1:11" x14ac:dyDescent="0.2">
      <c r="A168" s="3"/>
      <c r="B168" s="3"/>
      <c r="K168" s="3"/>
    </row>
    <row r="169" spans="1:11" x14ac:dyDescent="0.2">
      <c r="A169" s="3"/>
      <c r="B169" s="3"/>
      <c r="K169" s="3"/>
    </row>
    <row r="170" spans="1:11" x14ac:dyDescent="0.2">
      <c r="A170" s="3"/>
      <c r="B170" s="3"/>
      <c r="K170" s="3"/>
    </row>
    <row r="171" spans="1:11" x14ac:dyDescent="0.2">
      <c r="A171" s="3"/>
      <c r="B171" s="3"/>
      <c r="K171" s="3"/>
    </row>
    <row r="172" spans="1:11" x14ac:dyDescent="0.2">
      <c r="A172" s="3"/>
      <c r="B172" s="3"/>
      <c r="K172" s="3"/>
    </row>
    <row r="173" spans="1:11" x14ac:dyDescent="0.2">
      <c r="A173" s="3"/>
      <c r="B173" s="3"/>
      <c r="K173" s="3"/>
    </row>
    <row r="174" spans="1:11" x14ac:dyDescent="0.2">
      <c r="A174" s="3"/>
      <c r="B174" s="3"/>
      <c r="K174" s="3"/>
    </row>
    <row r="175" spans="1:11" x14ac:dyDescent="0.2">
      <c r="A175" s="3"/>
      <c r="B175" s="3"/>
      <c r="K175" s="3"/>
    </row>
    <row r="176" spans="1:11" x14ac:dyDescent="0.2">
      <c r="A176" s="3"/>
      <c r="B176" s="3"/>
      <c r="K176" s="3"/>
    </row>
    <row r="177" spans="1:11" x14ac:dyDescent="0.2">
      <c r="A177" s="3"/>
      <c r="B177" s="3"/>
      <c r="K177" s="3"/>
    </row>
    <row r="178" spans="1:11" x14ac:dyDescent="0.2">
      <c r="A178" s="3"/>
      <c r="B178" s="3"/>
      <c r="K178" s="3"/>
    </row>
    <row r="179" spans="1:11" x14ac:dyDescent="0.2">
      <c r="A179" s="3"/>
      <c r="B179" s="3"/>
      <c r="K179" s="3"/>
    </row>
    <row r="180" spans="1:11" x14ac:dyDescent="0.2">
      <c r="A180" s="3"/>
      <c r="B180" s="3"/>
      <c r="K180" s="3"/>
    </row>
    <row r="181" spans="1:11" x14ac:dyDescent="0.2">
      <c r="A181" s="3"/>
      <c r="B181" s="3"/>
      <c r="K181" s="3"/>
    </row>
    <row r="182" spans="1:11" x14ac:dyDescent="0.2">
      <c r="A182" s="3"/>
      <c r="B182" s="3"/>
      <c r="K182" s="3"/>
    </row>
    <row r="183" spans="1:11" x14ac:dyDescent="0.2">
      <c r="A183" s="3"/>
      <c r="B183" s="3"/>
      <c r="K183" s="3"/>
    </row>
    <row r="184" spans="1:11" x14ac:dyDescent="0.2">
      <c r="A184" s="3"/>
      <c r="B184" s="3"/>
      <c r="K184" s="3"/>
    </row>
    <row r="185" spans="1:11" x14ac:dyDescent="0.2">
      <c r="A185" s="3"/>
      <c r="B185" s="3"/>
      <c r="K185" s="3"/>
    </row>
    <row r="186" spans="1:11" x14ac:dyDescent="0.2">
      <c r="A186" s="3"/>
      <c r="B186" s="3"/>
      <c r="K186" s="3"/>
    </row>
    <row r="187" spans="1:11" x14ac:dyDescent="0.2">
      <c r="A187" s="3"/>
      <c r="B187" s="3"/>
      <c r="K187" s="3"/>
    </row>
    <row r="188" spans="1:11" x14ac:dyDescent="0.2">
      <c r="A188" s="3"/>
      <c r="B188" s="3"/>
      <c r="K188" s="3"/>
    </row>
    <row r="189" spans="1:11" x14ac:dyDescent="0.2">
      <c r="A189" s="3"/>
      <c r="B189" s="3"/>
      <c r="K189" s="3"/>
    </row>
    <row r="190" spans="1:11" x14ac:dyDescent="0.2">
      <c r="A190" s="3"/>
      <c r="B190" s="3"/>
      <c r="K190" s="3"/>
    </row>
    <row r="191" spans="1:11" x14ac:dyDescent="0.2">
      <c r="A191" s="3"/>
      <c r="B191" s="3"/>
      <c r="K191" s="3"/>
    </row>
    <row r="192" spans="1:11" x14ac:dyDescent="0.2">
      <c r="A192" s="3"/>
      <c r="B192" s="3"/>
      <c r="K192" s="3"/>
    </row>
    <row r="193" spans="1:11" x14ac:dyDescent="0.2">
      <c r="A193" s="3"/>
      <c r="B193" s="3"/>
      <c r="K193" s="3"/>
    </row>
    <row r="194" spans="1:11" x14ac:dyDescent="0.2">
      <c r="A194" s="3"/>
      <c r="B194" s="3"/>
      <c r="K194" s="3"/>
    </row>
    <row r="195" spans="1:11" x14ac:dyDescent="0.2">
      <c r="A195" s="3"/>
      <c r="B195" s="3"/>
      <c r="K195" s="3"/>
    </row>
    <row r="196" spans="1:11" x14ac:dyDescent="0.2">
      <c r="A196" s="3"/>
      <c r="B196" s="3"/>
      <c r="K196" s="3"/>
    </row>
    <row r="197" spans="1:11" x14ac:dyDescent="0.2">
      <c r="A197" s="3"/>
      <c r="B197" s="3"/>
      <c r="K197" s="3"/>
    </row>
    <row r="198" spans="1:11" x14ac:dyDescent="0.2">
      <c r="A198" s="3"/>
      <c r="B198" s="3"/>
      <c r="K198" s="3"/>
    </row>
    <row r="199" spans="1:11" x14ac:dyDescent="0.2">
      <c r="A199" s="3"/>
      <c r="B199" s="3"/>
      <c r="K199" s="3"/>
    </row>
    <row r="200" spans="1:11" x14ac:dyDescent="0.2">
      <c r="A200" s="3"/>
      <c r="B200" s="3"/>
      <c r="K200" s="3"/>
    </row>
    <row r="201" spans="1:11" x14ac:dyDescent="0.2">
      <c r="A201" s="3"/>
      <c r="B201" s="3"/>
      <c r="K201" s="3"/>
    </row>
    <row r="202" spans="1:11" x14ac:dyDescent="0.2">
      <c r="A202" s="3"/>
      <c r="B202" s="3"/>
      <c r="K202" s="3"/>
    </row>
    <row r="203" spans="1:11" x14ac:dyDescent="0.2">
      <c r="A203" s="3"/>
      <c r="B203" s="3"/>
      <c r="K203" s="3"/>
    </row>
    <row r="204" spans="1:11" x14ac:dyDescent="0.2">
      <c r="A204" s="3"/>
      <c r="B204" s="3"/>
      <c r="K204" s="3"/>
    </row>
    <row r="205" spans="1:11" x14ac:dyDescent="0.2">
      <c r="A205" s="3"/>
      <c r="B205" s="3"/>
      <c r="K205" s="3"/>
    </row>
    <row r="206" spans="1:11" x14ac:dyDescent="0.2">
      <c r="A206" s="3"/>
      <c r="B206" s="3"/>
      <c r="K206" s="3"/>
    </row>
    <row r="207" spans="1:11" x14ac:dyDescent="0.2">
      <c r="A207" s="3"/>
      <c r="B207" s="3"/>
      <c r="K207" s="3"/>
    </row>
    <row r="208" spans="1:11" x14ac:dyDescent="0.2">
      <c r="A208" s="3"/>
      <c r="B208" s="3"/>
      <c r="K208" s="3"/>
    </row>
    <row r="209" spans="1:11" x14ac:dyDescent="0.2">
      <c r="A209" s="3"/>
      <c r="B209" s="3"/>
      <c r="K209" s="3"/>
    </row>
    <row r="210" spans="1:11" x14ac:dyDescent="0.2">
      <c r="A210" s="3"/>
      <c r="B210" s="3"/>
      <c r="K210" s="3"/>
    </row>
    <row r="211" spans="1:11" x14ac:dyDescent="0.2">
      <c r="A211" s="3"/>
      <c r="B211" s="3"/>
      <c r="K211" s="3"/>
    </row>
    <row r="212" spans="1:11" x14ac:dyDescent="0.2">
      <c r="A212" s="3"/>
      <c r="B212" s="3"/>
      <c r="K212" s="3"/>
    </row>
    <row r="213" spans="1:11" x14ac:dyDescent="0.2">
      <c r="A213" s="3"/>
      <c r="B213" s="3"/>
      <c r="K213" s="3"/>
    </row>
    <row r="214" spans="1:11" x14ac:dyDescent="0.2">
      <c r="A214" s="3"/>
      <c r="B214" s="3"/>
      <c r="K214" s="3"/>
    </row>
    <row r="215" spans="1:11" x14ac:dyDescent="0.2">
      <c r="A215" s="3"/>
      <c r="B215" s="3"/>
      <c r="K215" s="3"/>
    </row>
    <row r="216" spans="1:11" x14ac:dyDescent="0.2">
      <c r="A216" s="3"/>
      <c r="B216" s="3"/>
      <c r="K216" s="3"/>
    </row>
    <row r="217" spans="1:11" x14ac:dyDescent="0.2">
      <c r="A217" s="3"/>
      <c r="B217" s="3"/>
      <c r="K217" s="3"/>
    </row>
    <row r="218" spans="1:11" x14ac:dyDescent="0.2">
      <c r="A218" s="3"/>
      <c r="B218" s="3"/>
      <c r="K218" s="3"/>
    </row>
    <row r="219" spans="1:11" x14ac:dyDescent="0.2">
      <c r="A219" s="3"/>
      <c r="B219" s="3"/>
      <c r="K219" s="3"/>
    </row>
    <row r="220" spans="1:11" x14ac:dyDescent="0.2">
      <c r="A220" s="3"/>
      <c r="B220" s="3"/>
      <c r="K220" s="3"/>
    </row>
    <row r="221" spans="1:11" x14ac:dyDescent="0.2">
      <c r="A221" s="3"/>
      <c r="B221" s="3"/>
      <c r="K221" s="3"/>
    </row>
    <row r="222" spans="1:11" x14ac:dyDescent="0.2">
      <c r="A222" s="3"/>
      <c r="B222" s="3"/>
      <c r="K222" s="3"/>
    </row>
    <row r="223" spans="1:11" x14ac:dyDescent="0.2">
      <c r="A223" s="3"/>
      <c r="B223" s="3"/>
      <c r="K223" s="3"/>
    </row>
    <row r="224" spans="1:11" x14ac:dyDescent="0.2">
      <c r="A224" s="3"/>
      <c r="B224" s="3"/>
      <c r="K224" s="3"/>
    </row>
    <row r="225" spans="1:11" x14ac:dyDescent="0.2">
      <c r="A225" s="3"/>
      <c r="B225" s="3"/>
      <c r="K225" s="3"/>
    </row>
    <row r="226" spans="1:11" x14ac:dyDescent="0.2">
      <c r="A226" s="3"/>
      <c r="B226" s="3"/>
      <c r="K226" s="3"/>
    </row>
    <row r="227" spans="1:11" x14ac:dyDescent="0.2">
      <c r="A227" s="3"/>
      <c r="B227" s="3"/>
      <c r="K227" s="3"/>
    </row>
    <row r="228" spans="1:11" x14ac:dyDescent="0.2">
      <c r="A228" s="3"/>
      <c r="B228" s="3"/>
      <c r="K228" s="3"/>
    </row>
    <row r="229" spans="1:11" x14ac:dyDescent="0.2">
      <c r="A229" s="3"/>
      <c r="B229" s="3"/>
      <c r="K229" s="3"/>
    </row>
    <row r="230" spans="1:11" x14ac:dyDescent="0.2">
      <c r="A230" s="3"/>
      <c r="B230" s="3"/>
      <c r="K230" s="3"/>
    </row>
    <row r="231" spans="1:11" x14ac:dyDescent="0.2">
      <c r="A231" s="3"/>
      <c r="B231" s="3"/>
      <c r="K231" s="3"/>
    </row>
    <row r="232" spans="1:11" x14ac:dyDescent="0.2">
      <c r="A232" s="3"/>
      <c r="B232" s="3"/>
      <c r="K232" s="3"/>
    </row>
    <row r="233" spans="1:11" x14ac:dyDescent="0.2">
      <c r="A233" s="3"/>
      <c r="B233" s="3"/>
      <c r="K233" s="3"/>
    </row>
    <row r="234" spans="1:11" x14ac:dyDescent="0.2">
      <c r="A234" s="3"/>
      <c r="B234" s="3"/>
      <c r="K234" s="3"/>
    </row>
    <row r="235" spans="1:11" x14ac:dyDescent="0.2">
      <c r="A235" s="3"/>
      <c r="B235" s="3"/>
      <c r="K235" s="3"/>
    </row>
    <row r="236" spans="1:11" x14ac:dyDescent="0.2">
      <c r="A236" s="3"/>
      <c r="B236" s="3"/>
      <c r="K236" s="3"/>
    </row>
  </sheetData>
  <mergeCells count="141">
    <mergeCell ref="C31:D31"/>
    <mergeCell ref="E31:F31"/>
    <mergeCell ref="G31:H31"/>
    <mergeCell ref="I106:J106"/>
    <mergeCell ref="C103:D103"/>
    <mergeCell ref="C116:D116"/>
    <mergeCell ref="I116:J116"/>
    <mergeCell ref="AB7:AC7"/>
    <mergeCell ref="AB22:AC22"/>
    <mergeCell ref="AB37:AC37"/>
    <mergeCell ref="AB64:AC64"/>
    <mergeCell ref="AB33:AC33"/>
    <mergeCell ref="AB30:AC30"/>
    <mergeCell ref="C113:D113"/>
    <mergeCell ref="I113:J113"/>
    <mergeCell ref="Q94:R94"/>
    <mergeCell ref="Q99:R99"/>
    <mergeCell ref="Q7:R7"/>
    <mergeCell ref="Q22:R22"/>
    <mergeCell ref="Q30:R30"/>
    <mergeCell ref="Q33:R33"/>
    <mergeCell ref="Q37:R37"/>
    <mergeCell ref="Q64:R64"/>
    <mergeCell ref="U94:V94"/>
    <mergeCell ref="C108:D108"/>
    <mergeCell ref="I108:J108"/>
    <mergeCell ref="C94:D94"/>
    <mergeCell ref="E94:F94"/>
    <mergeCell ref="K94:L94"/>
    <mergeCell ref="M94:N94"/>
    <mergeCell ref="C64:D64"/>
    <mergeCell ref="E64:F64"/>
    <mergeCell ref="E37:F37"/>
    <mergeCell ref="C37:D37"/>
    <mergeCell ref="G64:H64"/>
    <mergeCell ref="I37:J37"/>
    <mergeCell ref="C115:D115"/>
    <mergeCell ref="I115:J115"/>
    <mergeCell ref="C110:D110"/>
    <mergeCell ref="I110:J110"/>
    <mergeCell ref="C111:D111"/>
    <mergeCell ref="I111:J111"/>
    <mergeCell ref="C112:D112"/>
    <mergeCell ref="I112:J112"/>
    <mergeCell ref="C101:D101"/>
    <mergeCell ref="I101:J101"/>
    <mergeCell ref="C102:D102"/>
    <mergeCell ref="I102:J102"/>
    <mergeCell ref="C105:D105"/>
    <mergeCell ref="I105:J105"/>
    <mergeCell ref="I103:J103"/>
    <mergeCell ref="C104:D104"/>
    <mergeCell ref="I104:J104"/>
    <mergeCell ref="C106:D106"/>
    <mergeCell ref="C109:D109"/>
    <mergeCell ref="I109:J109"/>
    <mergeCell ref="C114:D114"/>
    <mergeCell ref="I114:J114"/>
    <mergeCell ref="C107:D107"/>
    <mergeCell ref="I107:J107"/>
    <mergeCell ref="AB94:AC94"/>
    <mergeCell ref="C99:D99"/>
    <mergeCell ref="E99:F99"/>
    <mergeCell ref="G99:H99"/>
    <mergeCell ref="I99:J99"/>
    <mergeCell ref="K99:L99"/>
    <mergeCell ref="M99:N99"/>
    <mergeCell ref="AB99:AC99"/>
    <mergeCell ref="O94:P94"/>
    <mergeCell ref="G94:H94"/>
    <mergeCell ref="I94:J94"/>
    <mergeCell ref="W94:X94"/>
    <mergeCell ref="W99:X99"/>
    <mergeCell ref="U99:V99"/>
    <mergeCell ref="O99:P99"/>
    <mergeCell ref="C22:D22"/>
    <mergeCell ref="E22:F22"/>
    <mergeCell ref="G22:H22"/>
    <mergeCell ref="I7:J7"/>
    <mergeCell ref="I22:J22"/>
    <mergeCell ref="C32:D32"/>
    <mergeCell ref="E32:F32"/>
    <mergeCell ref="I64:J64"/>
    <mergeCell ref="O37:P37"/>
    <mergeCell ref="O64:P64"/>
    <mergeCell ref="K37:L37"/>
    <mergeCell ref="K64:L64"/>
    <mergeCell ref="M37:N37"/>
    <mergeCell ref="G37:H37"/>
    <mergeCell ref="M64:N64"/>
    <mergeCell ref="M30:N30"/>
    <mergeCell ref="M33:N33"/>
    <mergeCell ref="C30:D30"/>
    <mergeCell ref="E30:F30"/>
    <mergeCell ref="G30:H30"/>
    <mergeCell ref="G32:H32"/>
    <mergeCell ref="C33:D33"/>
    <mergeCell ref="E33:F33"/>
    <mergeCell ref="G33:H33"/>
    <mergeCell ref="M7:N7"/>
    <mergeCell ref="M22:N22"/>
    <mergeCell ref="K33:L33"/>
    <mergeCell ref="I31:J31"/>
    <mergeCell ref="I30:J30"/>
    <mergeCell ref="K7:L7"/>
    <mergeCell ref="K22:L22"/>
    <mergeCell ref="O7:P7"/>
    <mergeCell ref="O22:P22"/>
    <mergeCell ref="O30:P30"/>
    <mergeCell ref="K30:L30"/>
    <mergeCell ref="I33:J33"/>
    <mergeCell ref="I32:J32"/>
    <mergeCell ref="U33:V33"/>
    <mergeCell ref="U37:V37"/>
    <mergeCell ref="U64:V64"/>
    <mergeCell ref="O33:P33"/>
    <mergeCell ref="S94:T94"/>
    <mergeCell ref="S99:T99"/>
    <mergeCell ref="S7:T7"/>
    <mergeCell ref="S22:T22"/>
    <mergeCell ref="S30:T30"/>
    <mergeCell ref="S33:T33"/>
    <mergeCell ref="S37:T37"/>
    <mergeCell ref="S64:T64"/>
    <mergeCell ref="U30:V30"/>
    <mergeCell ref="U7:V7"/>
    <mergeCell ref="U22:V22"/>
    <mergeCell ref="Y7:Z7"/>
    <mergeCell ref="Y22:Z22"/>
    <mergeCell ref="Y30:Z30"/>
    <mergeCell ref="Y33:Z33"/>
    <mergeCell ref="Y37:Z37"/>
    <mergeCell ref="Y64:Z64"/>
    <mergeCell ref="Y94:Z94"/>
    <mergeCell ref="Y99:Z99"/>
    <mergeCell ref="W7:X7"/>
    <mergeCell ref="W22:X22"/>
    <mergeCell ref="W30:X30"/>
    <mergeCell ref="W33:X33"/>
    <mergeCell ref="W37:X37"/>
    <mergeCell ref="W64:X64"/>
  </mergeCells>
  <phoneticPr fontId="3" type="noConversion"/>
  <printOptions horizontalCentered="1"/>
  <pageMargins left="0.5" right="0.5" top="0.25" bottom="0.25" header="0.5" footer="0.5"/>
  <pageSetup scale="70" orientation="landscape" r:id="rId1"/>
  <headerFooter alignWithMargins="0">
    <oddFooter>&amp;R&amp;P of &amp;N
&amp;D</oddFooter>
  </headerFooter>
  <rowBreaks count="1" manualBreakCount="1">
    <brk id="60" max="20" man="1"/>
  </rowBreaks>
  <ignoredErrors>
    <ignoredError sqref="M74:M92 S74:S93 W74:W93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7"/>
  <sheetViews>
    <sheetView view="pageBreakPreview" zoomScaleNormal="100" workbookViewId="0">
      <pane xSplit="2" ySplit="1" topLeftCell="O2" activePane="bottomRight" state="frozen"/>
      <selection activeCell="AF81" sqref="AF81"/>
      <selection pane="topRight" activeCell="AF81" sqref="AF81"/>
      <selection pane="bottomLeft" activeCell="AF81" sqref="AF81"/>
      <selection pane="bottomRight" activeCell="AF81" sqref="AF81"/>
    </sheetView>
  </sheetViews>
  <sheetFormatPr defaultColWidth="10.28515625" defaultRowHeight="12.75" x14ac:dyDescent="0.2"/>
  <cols>
    <col min="1" max="1" width="3.7109375" customWidth="1"/>
    <col min="2" max="2" width="29.7109375" customWidth="1"/>
    <col min="3" max="3" width="7.7109375" hidden="1" customWidth="1"/>
    <col min="4" max="4" width="10.140625" hidden="1" customWidth="1"/>
    <col min="5" max="5" width="7.7109375" hidden="1" customWidth="1"/>
    <col min="6" max="6" width="10.28515625" hidden="1" customWidth="1"/>
    <col min="7" max="7" width="7.7109375" style="115" hidden="1" customWidth="1"/>
    <col min="8" max="8" width="10.28515625" style="115" hidden="1" customWidth="1"/>
    <col min="9" max="9" width="7.7109375" style="115" hidden="1" customWidth="1"/>
    <col min="10" max="10" width="10.28515625" style="115" hidden="1" customWidth="1"/>
    <col min="11" max="11" width="7.7109375" hidden="1" customWidth="1"/>
    <col min="12" max="12" width="11.85546875" hidden="1" customWidth="1"/>
    <col min="13" max="13" width="7.7109375" hidden="1" customWidth="1"/>
    <col min="14" max="14" width="10.85546875" hidden="1" customWidth="1"/>
    <col min="15" max="15" width="7.7109375" customWidth="1"/>
    <col min="16" max="16" width="10.140625" customWidth="1"/>
    <col min="17" max="17" width="7.7109375" customWidth="1"/>
    <col min="18" max="18" width="10.140625" customWidth="1"/>
    <col min="19" max="19" width="7.7109375" customWidth="1"/>
    <col min="20" max="20" width="10.140625" customWidth="1"/>
    <col min="21" max="21" width="7.7109375" customWidth="1"/>
    <col min="22" max="22" width="10.140625" customWidth="1"/>
    <col min="23" max="23" width="7.7109375" customWidth="1"/>
    <col min="24" max="24" width="10.140625" customWidth="1"/>
    <col min="25" max="25" width="7.7109375" customWidth="1"/>
    <col min="26" max="26" width="10.140625" customWidth="1"/>
    <col min="27" max="27" width="2" customWidth="1"/>
    <col min="28" max="28" width="7.7109375" customWidth="1"/>
    <col min="29" max="29" width="10.7109375" customWidth="1"/>
    <col min="30" max="30" width="1.7109375" customWidth="1"/>
  </cols>
  <sheetData>
    <row r="1" spans="1:31" ht="18" x14ac:dyDescent="0.25">
      <c r="A1" s="1183" t="str">
        <f>Dean_AS!A1</f>
        <v>Department Profile Report - FY 2015</v>
      </c>
      <c r="B1" s="1183"/>
      <c r="C1" s="1183"/>
      <c r="D1" s="1183"/>
      <c r="E1" s="1183"/>
      <c r="F1" s="1183"/>
      <c r="G1" s="1183"/>
      <c r="H1" s="1183"/>
      <c r="I1" s="1181"/>
      <c r="J1" s="1181"/>
      <c r="K1" s="1182"/>
      <c r="L1" s="1182"/>
      <c r="M1" s="1182"/>
      <c r="N1" s="1182"/>
      <c r="O1" s="1182"/>
      <c r="P1" s="1182"/>
      <c r="Q1" s="1182"/>
      <c r="R1" s="1182"/>
      <c r="S1" s="1182"/>
      <c r="T1" s="1182"/>
      <c r="U1" s="1182"/>
      <c r="V1" s="1182"/>
      <c r="W1" s="1182"/>
      <c r="X1" s="1182"/>
      <c r="Y1" s="1182"/>
      <c r="Z1" s="1182"/>
      <c r="AA1" s="1182"/>
      <c r="AB1" s="1182"/>
      <c r="AC1" s="1182"/>
    </row>
    <row r="2" spans="1:31" x14ac:dyDescent="0.2">
      <c r="A2" s="3"/>
      <c r="B2" s="3"/>
      <c r="C2" s="117"/>
      <c r="D2" s="3"/>
      <c r="E2" s="3"/>
      <c r="F2" s="3"/>
      <c r="G2" s="117"/>
      <c r="H2" s="117"/>
      <c r="I2" s="117"/>
      <c r="J2" s="117"/>
    </row>
    <row r="3" spans="1:31" x14ac:dyDescent="0.2">
      <c r="A3" s="2" t="s">
        <v>97</v>
      </c>
      <c r="B3" s="117"/>
      <c r="C3" s="3"/>
      <c r="D3" s="3"/>
      <c r="E3" s="3"/>
      <c r="F3" s="3"/>
      <c r="G3" s="117"/>
      <c r="H3" s="117"/>
      <c r="I3" s="117"/>
      <c r="J3" s="117"/>
    </row>
    <row r="4" spans="1:31" x14ac:dyDescent="0.2">
      <c r="A4" s="618"/>
      <c r="B4" s="618"/>
      <c r="C4" s="618"/>
      <c r="D4" s="618"/>
      <c r="E4" s="618"/>
      <c r="F4" s="618"/>
      <c r="G4" s="619"/>
      <c r="H4" s="619"/>
      <c r="I4" s="619"/>
      <c r="J4" s="619"/>
      <c r="K4" s="617"/>
      <c r="L4" s="617"/>
    </row>
    <row r="5" spans="1:31" x14ac:dyDescent="0.2">
      <c r="A5" s="620" t="s">
        <v>77</v>
      </c>
      <c r="B5" s="618"/>
      <c r="C5" s="618"/>
      <c r="D5" s="618"/>
      <c r="E5" s="618"/>
      <c r="F5" s="618"/>
      <c r="G5" s="619"/>
      <c r="H5" s="619"/>
      <c r="I5" s="619"/>
      <c r="J5" s="619"/>
      <c r="K5" s="617"/>
      <c r="L5" s="617"/>
    </row>
    <row r="6" spans="1:31" ht="13.5" thickBot="1" x14ac:dyDescent="0.25">
      <c r="A6" s="621"/>
      <c r="B6" s="1347"/>
      <c r="C6" s="618"/>
      <c r="D6" s="618"/>
      <c r="E6" s="1347"/>
      <c r="F6" s="618"/>
      <c r="G6" s="619"/>
      <c r="H6" s="619"/>
      <c r="I6" s="619"/>
      <c r="J6" s="619"/>
      <c r="K6" s="617"/>
      <c r="L6" s="617"/>
    </row>
    <row r="7" spans="1:31" s="617" customFormat="1" ht="14.25" thickTop="1" thickBot="1" x14ac:dyDescent="0.25">
      <c r="A7" s="618"/>
      <c r="B7" s="1349"/>
      <c r="C7" s="624" t="s">
        <v>49</v>
      </c>
      <c r="D7" s="625"/>
      <c r="E7" s="622" t="s">
        <v>50</v>
      </c>
      <c r="F7" s="625"/>
      <c r="G7" s="626" t="s">
        <v>141</v>
      </c>
      <c r="H7" s="627"/>
      <c r="I7" s="2093" t="s">
        <v>152</v>
      </c>
      <c r="J7" s="2093"/>
      <c r="K7" s="2096" t="s">
        <v>154</v>
      </c>
      <c r="L7" s="2093"/>
      <c r="M7" s="2096" t="s">
        <v>171</v>
      </c>
      <c r="N7" s="2095"/>
      <c r="O7" s="2093" t="s">
        <v>227</v>
      </c>
      <c r="P7" s="2095"/>
      <c r="Q7" s="2093" t="s">
        <v>237</v>
      </c>
      <c r="R7" s="2095"/>
      <c r="S7" s="2093" t="s">
        <v>272</v>
      </c>
      <c r="T7" s="2095"/>
      <c r="U7" s="2093" t="s">
        <v>274</v>
      </c>
      <c r="V7" s="2095"/>
      <c r="W7" s="2093" t="s">
        <v>280</v>
      </c>
      <c r="X7" s="2095"/>
      <c r="Y7" s="2093" t="s">
        <v>290</v>
      </c>
      <c r="Z7" s="2094"/>
      <c r="AB7" s="2003" t="s">
        <v>213</v>
      </c>
      <c r="AC7" s="2004"/>
    </row>
    <row r="8" spans="1:31" s="617" customFormat="1" x14ac:dyDescent="0.2">
      <c r="A8" s="618"/>
      <c r="B8" s="628"/>
      <c r="C8" s="677" t="s">
        <v>1</v>
      </c>
      <c r="D8" s="679" t="s">
        <v>2</v>
      </c>
      <c r="E8" s="1342" t="s">
        <v>1</v>
      </c>
      <c r="F8" s="679" t="s">
        <v>2</v>
      </c>
      <c r="G8" s="673" t="s">
        <v>1</v>
      </c>
      <c r="H8" s="680" t="s">
        <v>2</v>
      </c>
      <c r="I8" s="681" t="s">
        <v>1</v>
      </c>
      <c r="J8" s="674" t="s">
        <v>2</v>
      </c>
      <c r="K8" s="673" t="s">
        <v>1</v>
      </c>
      <c r="L8" s="674" t="s">
        <v>2</v>
      </c>
      <c r="M8" s="673" t="s">
        <v>1</v>
      </c>
      <c r="N8" s="680" t="s">
        <v>2</v>
      </c>
      <c r="O8" s="681" t="s">
        <v>1</v>
      </c>
      <c r="P8" s="680" t="s">
        <v>2</v>
      </c>
      <c r="Q8" s="681" t="s">
        <v>1</v>
      </c>
      <c r="R8" s="680" t="s">
        <v>2</v>
      </c>
      <c r="S8" s="681" t="s">
        <v>1</v>
      </c>
      <c r="T8" s="680" t="s">
        <v>2</v>
      </c>
      <c r="U8" s="681" t="s">
        <v>1</v>
      </c>
      <c r="V8" s="680" t="s">
        <v>2</v>
      </c>
      <c r="W8" s="681" t="s">
        <v>1</v>
      </c>
      <c r="X8" s="680" t="s">
        <v>2</v>
      </c>
      <c r="Y8" s="681" t="s">
        <v>1</v>
      </c>
      <c r="Z8" s="675" t="s">
        <v>2</v>
      </c>
      <c r="AB8" s="921" t="s">
        <v>214</v>
      </c>
      <c r="AC8" s="922" t="s">
        <v>215</v>
      </c>
    </row>
    <row r="9" spans="1:31" s="617" customFormat="1" ht="13.5" thickBot="1" x14ac:dyDescent="0.25">
      <c r="A9" s="618"/>
      <c r="B9" s="637"/>
      <c r="C9" s="629" t="s">
        <v>3</v>
      </c>
      <c r="D9" s="631" t="s">
        <v>4</v>
      </c>
      <c r="E9" s="1343" t="s">
        <v>3</v>
      </c>
      <c r="F9" s="631" t="s">
        <v>4</v>
      </c>
      <c r="G9" s="632" t="s">
        <v>3</v>
      </c>
      <c r="H9" s="633" t="s">
        <v>4</v>
      </c>
      <c r="I9" s="634" t="s">
        <v>3</v>
      </c>
      <c r="J9" s="635" t="s">
        <v>4</v>
      </c>
      <c r="K9" s="632" t="s">
        <v>3</v>
      </c>
      <c r="L9" s="635" t="s">
        <v>4</v>
      </c>
      <c r="M9" s="632" t="s">
        <v>3</v>
      </c>
      <c r="N9" s="633" t="s">
        <v>4</v>
      </c>
      <c r="O9" s="634" t="s">
        <v>3</v>
      </c>
      <c r="P9" s="633" t="s">
        <v>4</v>
      </c>
      <c r="Q9" s="634" t="s">
        <v>3</v>
      </c>
      <c r="R9" s="633" t="s">
        <v>4</v>
      </c>
      <c r="S9" s="634" t="s">
        <v>3</v>
      </c>
      <c r="T9" s="633" t="s">
        <v>4</v>
      </c>
      <c r="U9" s="634" t="s">
        <v>3</v>
      </c>
      <c r="V9" s="633" t="s">
        <v>4</v>
      </c>
      <c r="W9" s="634" t="s">
        <v>3</v>
      </c>
      <c r="X9" s="633" t="s">
        <v>4</v>
      </c>
      <c r="Y9" s="634" t="s">
        <v>3</v>
      </c>
      <c r="Z9" s="636" t="s">
        <v>4</v>
      </c>
      <c r="AB9" s="923" t="s">
        <v>3</v>
      </c>
      <c r="AC9" s="924" t="s">
        <v>4</v>
      </c>
    </row>
    <row r="10" spans="1:31" s="617" customFormat="1" x14ac:dyDescent="0.2">
      <c r="A10" s="618"/>
      <c r="B10" s="642" t="s">
        <v>5</v>
      </c>
      <c r="C10" s="686"/>
      <c r="D10" s="687"/>
      <c r="E10" s="1344"/>
      <c r="F10" s="687"/>
      <c r="G10" s="688"/>
      <c r="H10" s="689"/>
      <c r="I10" s="690"/>
      <c r="J10" s="691"/>
      <c r="K10" s="688"/>
      <c r="L10" s="691"/>
      <c r="M10" s="688"/>
      <c r="N10" s="689"/>
      <c r="O10" s="690"/>
      <c r="P10" s="689"/>
      <c r="Q10" s="690"/>
      <c r="R10" s="689"/>
      <c r="S10" s="690"/>
      <c r="T10" s="689"/>
      <c r="U10" s="690"/>
      <c r="V10" s="689"/>
      <c r="W10" s="690"/>
      <c r="X10" s="689"/>
      <c r="Y10" s="690"/>
      <c r="Z10" s="692"/>
      <c r="AB10" s="925"/>
      <c r="AC10" s="581"/>
    </row>
    <row r="11" spans="1:31" s="617" customFormat="1" x14ac:dyDescent="0.2">
      <c r="A11" s="618"/>
      <c r="B11" s="1538" t="s">
        <v>98</v>
      </c>
      <c r="C11" s="693"/>
      <c r="D11" s="695"/>
      <c r="E11" s="1345"/>
      <c r="F11" s="695"/>
      <c r="G11" s="649"/>
      <c r="H11" s="696"/>
      <c r="I11" s="650"/>
      <c r="J11" s="697"/>
      <c r="K11" s="649"/>
      <c r="L11" s="697"/>
      <c r="M11" s="649"/>
      <c r="N11" s="696"/>
      <c r="O11" s="650"/>
      <c r="P11" s="696"/>
      <c r="Q11" s="650"/>
      <c r="R11" s="696"/>
      <c r="S11" s="650"/>
      <c r="T11" s="696"/>
      <c r="U11" s="650"/>
      <c r="V11" s="696"/>
      <c r="W11" s="650"/>
      <c r="X11" s="696"/>
      <c r="Y11" s="650"/>
      <c r="Z11" s="698"/>
      <c r="AB11" s="926"/>
      <c r="AC11" s="927"/>
    </row>
    <row r="12" spans="1:31" s="617" customFormat="1" x14ac:dyDescent="0.2">
      <c r="A12" s="618"/>
      <c r="B12" s="654" t="s">
        <v>221</v>
      </c>
      <c r="C12" s="672">
        <v>6</v>
      </c>
      <c r="D12" s="701">
        <v>1</v>
      </c>
      <c r="E12" s="1346">
        <f>5+5</f>
        <v>10</v>
      </c>
      <c r="F12" s="701">
        <v>1</v>
      </c>
      <c r="G12" s="662">
        <v>14</v>
      </c>
      <c r="H12" s="663">
        <v>3</v>
      </c>
      <c r="I12" s="664">
        <f>11+4</f>
        <v>15</v>
      </c>
      <c r="J12" s="665">
        <f>4+4</f>
        <v>8</v>
      </c>
      <c r="K12" s="662">
        <v>8</v>
      </c>
      <c r="L12" s="665">
        <f>2+1</f>
        <v>3</v>
      </c>
      <c r="M12" s="662">
        <f>10+5</f>
        <v>15</v>
      </c>
      <c r="N12" s="663">
        <v>2</v>
      </c>
      <c r="O12" s="664">
        <v>15</v>
      </c>
      <c r="P12" s="663">
        <v>2</v>
      </c>
      <c r="Q12" s="664">
        <v>13</v>
      </c>
      <c r="R12" s="663">
        <v>6</v>
      </c>
      <c r="S12" s="664">
        <v>12</v>
      </c>
      <c r="T12" s="663">
        <v>1</v>
      </c>
      <c r="U12" s="664">
        <v>16</v>
      </c>
      <c r="V12" s="663">
        <v>6</v>
      </c>
      <c r="W12" s="664">
        <v>17</v>
      </c>
      <c r="X12" s="663">
        <v>4</v>
      </c>
      <c r="Y12" s="664">
        <v>18</v>
      </c>
      <c r="Z12" s="1646"/>
      <c r="AA12" s="1020"/>
      <c r="AB12" s="926">
        <f>AVERAGE(W12,U12,Q12,S12,Y12)</f>
        <v>15.2</v>
      </c>
      <c r="AC12" s="928">
        <f>AVERAGE(X12,V12,R12,T12,P12)</f>
        <v>3.8</v>
      </c>
      <c r="AE12" s="617" t="s">
        <v>29</v>
      </c>
    </row>
    <row r="13" spans="1:31" s="617" customFormat="1" x14ac:dyDescent="0.2">
      <c r="A13" s="618"/>
      <c r="B13" s="669" t="s">
        <v>80</v>
      </c>
      <c r="C13" s="664"/>
      <c r="D13" s="701">
        <v>4</v>
      </c>
      <c r="E13" s="1346">
        <v>2</v>
      </c>
      <c r="F13" s="701">
        <v>4</v>
      </c>
      <c r="G13" s="662">
        <v>2</v>
      </c>
      <c r="H13" s="663">
        <v>0</v>
      </c>
      <c r="I13" s="664">
        <v>2</v>
      </c>
      <c r="J13" s="665">
        <v>0</v>
      </c>
      <c r="K13" s="662">
        <v>3</v>
      </c>
      <c r="L13" s="665">
        <v>1</v>
      </c>
      <c r="M13" s="662">
        <v>4</v>
      </c>
      <c r="N13" s="663">
        <v>5</v>
      </c>
      <c r="O13" s="664">
        <v>3</v>
      </c>
      <c r="P13" s="663">
        <v>2</v>
      </c>
      <c r="Q13" s="664">
        <v>11</v>
      </c>
      <c r="R13" s="663">
        <v>7</v>
      </c>
      <c r="S13" s="664">
        <v>7</v>
      </c>
      <c r="T13" s="663">
        <v>7</v>
      </c>
      <c r="U13" s="664">
        <v>10</v>
      </c>
      <c r="V13" s="663">
        <v>3</v>
      </c>
      <c r="W13" s="664">
        <v>22</v>
      </c>
      <c r="X13" s="663">
        <v>18</v>
      </c>
      <c r="Y13" s="664">
        <v>24</v>
      </c>
      <c r="Z13" s="1646"/>
      <c r="AA13" s="1020"/>
      <c r="AB13" s="926">
        <f t="shared" ref="AB13:AB16" si="0">AVERAGE(W13,U13,Q13,S13,Y13)</f>
        <v>14.8</v>
      </c>
      <c r="AC13" s="928">
        <f t="shared" ref="AC13:AC15" si="1">AVERAGE(X13,V13,R13,T13,P13)</f>
        <v>7.4</v>
      </c>
    </row>
    <row r="14" spans="1:31" s="617" customFormat="1" x14ac:dyDescent="0.2">
      <c r="A14" s="618"/>
      <c r="B14" s="669" t="s">
        <v>167</v>
      </c>
      <c r="C14" s="672">
        <v>25</v>
      </c>
      <c r="D14" s="701">
        <f>5+1</f>
        <v>6</v>
      </c>
      <c r="E14" s="1346">
        <v>31</v>
      </c>
      <c r="F14" s="701">
        <f>12+1</f>
        <v>13</v>
      </c>
      <c r="G14" s="662">
        <v>21</v>
      </c>
      <c r="H14" s="663">
        <f>12+1</f>
        <v>13</v>
      </c>
      <c r="I14" s="664">
        <v>21</v>
      </c>
      <c r="J14" s="665">
        <v>8</v>
      </c>
      <c r="K14" s="662">
        <v>24</v>
      </c>
      <c r="L14" s="665">
        <v>4</v>
      </c>
      <c r="M14" s="662">
        <v>28</v>
      </c>
      <c r="N14" s="663">
        <v>5</v>
      </c>
      <c r="O14" s="664">
        <v>34</v>
      </c>
      <c r="P14" s="663">
        <v>9</v>
      </c>
      <c r="Q14" s="664">
        <v>29</v>
      </c>
      <c r="R14" s="663">
        <v>15</v>
      </c>
      <c r="S14" s="664">
        <v>34</v>
      </c>
      <c r="T14" s="663">
        <v>12</v>
      </c>
      <c r="U14" s="664">
        <v>31</v>
      </c>
      <c r="V14" s="663">
        <v>18</v>
      </c>
      <c r="W14" s="664">
        <v>25</v>
      </c>
      <c r="X14" s="663">
        <v>7</v>
      </c>
      <c r="Y14" s="664">
        <v>13</v>
      </c>
      <c r="Z14" s="1646"/>
      <c r="AA14" s="1020"/>
      <c r="AB14" s="926">
        <f t="shared" si="0"/>
        <v>26.4</v>
      </c>
      <c r="AC14" s="928">
        <f t="shared" si="1"/>
        <v>12.2</v>
      </c>
    </row>
    <row r="15" spans="1:31" s="617" customFormat="1" x14ac:dyDescent="0.2">
      <c r="A15" s="618"/>
      <c r="B15" s="1552" t="s">
        <v>82</v>
      </c>
      <c r="C15" s="706"/>
      <c r="D15" s="708"/>
      <c r="E15" s="709"/>
      <c r="F15" s="708"/>
      <c r="G15" s="709"/>
      <c r="H15" s="707"/>
      <c r="I15" s="706"/>
      <c r="J15" s="708"/>
      <c r="K15" s="710">
        <v>2</v>
      </c>
      <c r="L15" s="730">
        <v>0</v>
      </c>
      <c r="M15" s="710">
        <v>4</v>
      </c>
      <c r="N15" s="729">
        <v>1</v>
      </c>
      <c r="O15" s="734">
        <v>7</v>
      </c>
      <c r="P15" s="729">
        <v>6</v>
      </c>
      <c r="Q15" s="734">
        <v>6</v>
      </c>
      <c r="R15" s="729">
        <v>14</v>
      </c>
      <c r="S15" s="734">
        <v>9</v>
      </c>
      <c r="T15" s="729">
        <v>10</v>
      </c>
      <c r="U15" s="734">
        <v>6</v>
      </c>
      <c r="V15" s="729">
        <v>7</v>
      </c>
      <c r="W15" s="734">
        <v>10</v>
      </c>
      <c r="X15" s="729">
        <v>14</v>
      </c>
      <c r="Y15" s="734">
        <v>7</v>
      </c>
      <c r="Z15" s="1647"/>
      <c r="AA15" s="1020"/>
      <c r="AB15" s="926">
        <f t="shared" si="0"/>
        <v>7.6</v>
      </c>
      <c r="AC15" s="928">
        <f t="shared" si="1"/>
        <v>10.199999999999999</v>
      </c>
    </row>
    <row r="16" spans="1:31" s="617" customFormat="1" ht="13.5" thickBot="1" x14ac:dyDescent="0.25">
      <c r="A16" s="618"/>
      <c r="B16" s="737" t="s">
        <v>6</v>
      </c>
      <c r="C16" s="714">
        <v>19</v>
      </c>
      <c r="D16" s="713">
        <v>5</v>
      </c>
      <c r="E16" s="744">
        <v>19</v>
      </c>
      <c r="F16" s="713">
        <v>2</v>
      </c>
      <c r="G16" s="715">
        <v>21</v>
      </c>
      <c r="H16" s="716">
        <v>4</v>
      </c>
      <c r="I16" s="717">
        <v>24</v>
      </c>
      <c r="J16" s="718">
        <v>1</v>
      </c>
      <c r="K16" s="715">
        <v>33</v>
      </c>
      <c r="L16" s="718">
        <v>3</v>
      </c>
      <c r="M16" s="715">
        <v>32</v>
      </c>
      <c r="N16" s="716">
        <v>2</v>
      </c>
      <c r="O16" s="717">
        <v>29</v>
      </c>
      <c r="P16" s="716">
        <v>5</v>
      </c>
      <c r="Q16" s="717">
        <v>28</v>
      </c>
      <c r="R16" s="716">
        <v>2</v>
      </c>
      <c r="S16" s="717">
        <v>24</v>
      </c>
      <c r="T16" s="716">
        <v>5</v>
      </c>
      <c r="U16" s="717">
        <v>24</v>
      </c>
      <c r="V16" s="716">
        <v>3</v>
      </c>
      <c r="W16" s="717">
        <v>27</v>
      </c>
      <c r="X16" s="716">
        <v>4</v>
      </c>
      <c r="Y16" s="717">
        <v>33</v>
      </c>
      <c r="Z16" s="1648"/>
      <c r="AA16" s="1020"/>
      <c r="AB16" s="929">
        <f t="shared" si="0"/>
        <v>27.2</v>
      </c>
      <c r="AC16" s="1019">
        <f>AVERAGE(X16,V16,R16,T16,P16)</f>
        <v>3.8</v>
      </c>
    </row>
    <row r="17" spans="1:32" ht="13.5" thickTop="1" x14ac:dyDescent="0.2">
      <c r="A17" s="618"/>
      <c r="B17" s="719" t="s">
        <v>170</v>
      </c>
      <c r="C17" s="671"/>
      <c r="D17" s="720"/>
      <c r="E17" s="671"/>
      <c r="F17" s="720"/>
      <c r="G17" s="667"/>
      <c r="H17" s="495"/>
      <c r="I17" s="667"/>
      <c r="J17" s="495"/>
      <c r="K17" s="667"/>
      <c r="L17" s="495"/>
      <c r="N17" s="495"/>
      <c r="P17" s="495"/>
      <c r="R17" s="495"/>
      <c r="T17" s="495"/>
      <c r="U17" s="115"/>
      <c r="V17" s="495"/>
      <c r="X17" s="495"/>
      <c r="Z17" s="495"/>
      <c r="AB17" s="1044"/>
      <c r="AC17" s="1551"/>
    </row>
    <row r="18" spans="1:32" ht="13.5" thickBot="1" x14ac:dyDescent="0.25">
      <c r="A18" s="3"/>
      <c r="B18" s="3"/>
      <c r="C18" s="3"/>
      <c r="D18" s="3"/>
      <c r="E18" s="3"/>
      <c r="F18" s="3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91"/>
      <c r="AB18" s="668"/>
      <c r="AC18" s="494"/>
    </row>
    <row r="19" spans="1:32" ht="14.25" thickTop="1" thickBot="1" x14ac:dyDescent="0.25">
      <c r="A19" s="3"/>
      <c r="B19" s="340"/>
      <c r="C19" s="2015" t="s">
        <v>49</v>
      </c>
      <c r="D19" s="2014"/>
      <c r="E19" s="2015" t="s">
        <v>50</v>
      </c>
      <c r="F19" s="2015"/>
      <c r="G19" s="2002" t="s">
        <v>141</v>
      </c>
      <c r="H19" s="1982"/>
      <c r="I19" s="1974" t="s">
        <v>152</v>
      </c>
      <c r="J19" s="1974"/>
      <c r="K19" s="2002" t="s">
        <v>154</v>
      </c>
      <c r="L19" s="1974"/>
      <c r="M19" s="2002" t="s">
        <v>171</v>
      </c>
      <c r="N19" s="1982"/>
      <c r="O19" s="1974" t="s">
        <v>227</v>
      </c>
      <c r="P19" s="1982"/>
      <c r="Q19" s="1974" t="s">
        <v>237</v>
      </c>
      <c r="R19" s="1982"/>
      <c r="S19" s="1974" t="s">
        <v>272</v>
      </c>
      <c r="T19" s="1982"/>
      <c r="U19" s="1974" t="s">
        <v>274</v>
      </c>
      <c r="V19" s="1982"/>
      <c r="W19" s="1974" t="s">
        <v>280</v>
      </c>
      <c r="X19" s="1982"/>
      <c r="Y19" s="1974" t="s">
        <v>290</v>
      </c>
      <c r="Z19" s="1974"/>
      <c r="AA19" s="845"/>
      <c r="AB19" s="2003" t="s">
        <v>213</v>
      </c>
      <c r="AC19" s="2004"/>
    </row>
    <row r="20" spans="1:32" x14ac:dyDescent="0.2">
      <c r="A20" s="3"/>
      <c r="B20" s="73" t="s">
        <v>7</v>
      </c>
      <c r="C20" s="30"/>
      <c r="D20" s="92"/>
      <c r="E20" s="30"/>
      <c r="F20" s="30"/>
      <c r="G20" s="243"/>
      <c r="H20" s="244"/>
      <c r="I20" s="138"/>
      <c r="J20" s="138"/>
      <c r="K20" s="243"/>
      <c r="L20" s="138"/>
      <c r="M20" s="243"/>
      <c r="N20" s="244"/>
      <c r="O20" s="138"/>
      <c r="P20" s="244"/>
      <c r="Q20" s="138"/>
      <c r="R20" s="244"/>
      <c r="S20" s="138"/>
      <c r="T20" s="244"/>
      <c r="U20" s="138"/>
      <c r="V20" s="244"/>
      <c r="W20" s="138"/>
      <c r="X20" s="244"/>
      <c r="Y20" s="138"/>
      <c r="Z20" s="140"/>
      <c r="AB20" s="831"/>
      <c r="AC20" s="930"/>
    </row>
    <row r="21" spans="1:32" x14ac:dyDescent="0.2">
      <c r="A21" s="3"/>
      <c r="B21" s="78" t="s">
        <v>8</v>
      </c>
      <c r="C21" s="31"/>
      <c r="D21" s="93"/>
      <c r="E21" s="31"/>
      <c r="F21" s="31"/>
      <c r="G21" s="239"/>
      <c r="H21" s="245"/>
      <c r="I21" s="139"/>
      <c r="J21" s="139"/>
      <c r="K21" s="239"/>
      <c r="L21" s="139"/>
      <c r="M21" s="239"/>
      <c r="N21" s="245"/>
      <c r="O21" s="139"/>
      <c r="P21" s="245"/>
      <c r="Q21" s="139"/>
      <c r="R21" s="245"/>
      <c r="S21" s="139"/>
      <c r="T21" s="245"/>
      <c r="U21" s="139"/>
      <c r="V21" s="245"/>
      <c r="W21" s="139"/>
      <c r="X21" s="245"/>
      <c r="Y21" s="139"/>
      <c r="Z21" s="141"/>
      <c r="AB21" s="831"/>
      <c r="AC21" s="930"/>
    </row>
    <row r="22" spans="1:32" x14ac:dyDescent="0.2">
      <c r="A22" s="3"/>
      <c r="B22" s="78" t="s">
        <v>9</v>
      </c>
      <c r="C22" s="31"/>
      <c r="D22" s="165">
        <v>258</v>
      </c>
      <c r="E22" s="31"/>
      <c r="F22" s="171">
        <v>252</v>
      </c>
      <c r="G22" s="239"/>
      <c r="H22" s="261">
        <v>261</v>
      </c>
      <c r="I22" s="139"/>
      <c r="J22" s="183">
        <v>261</v>
      </c>
      <c r="K22" s="239"/>
      <c r="L22" s="183">
        <v>330</v>
      </c>
      <c r="M22" s="239"/>
      <c r="N22" s="261">
        <v>453</v>
      </c>
      <c r="O22" s="139"/>
      <c r="P22" s="261">
        <v>561</v>
      </c>
      <c r="Q22" s="139"/>
      <c r="R22" s="261">
        <v>573</v>
      </c>
      <c r="S22" s="139"/>
      <c r="T22" s="261">
        <v>588</v>
      </c>
      <c r="U22" s="139"/>
      <c r="V22" s="261">
        <v>588</v>
      </c>
      <c r="W22" s="139"/>
      <c r="X22" s="261">
        <v>567</v>
      </c>
      <c r="Y22" s="139"/>
      <c r="Z22" s="1649"/>
      <c r="AB22" s="24"/>
      <c r="AC22" s="947">
        <f t="shared" ref="AC22:AC25" si="2">AVERAGE(X22,V22,R22,T22,P22)</f>
        <v>575.4</v>
      </c>
    </row>
    <row r="23" spans="1:32" x14ac:dyDescent="0.2">
      <c r="A23" s="3"/>
      <c r="B23" s="78" t="s">
        <v>10</v>
      </c>
      <c r="C23" s="31"/>
      <c r="D23" s="165">
        <v>9416</v>
      </c>
      <c r="E23" s="31"/>
      <c r="F23" s="171">
        <v>10250</v>
      </c>
      <c r="G23" s="239"/>
      <c r="H23" s="261">
        <v>10379</v>
      </c>
      <c r="I23" s="139"/>
      <c r="J23" s="183">
        <v>10429</v>
      </c>
      <c r="K23" s="239"/>
      <c r="L23" s="183">
        <v>10194</v>
      </c>
      <c r="M23" s="239"/>
      <c r="N23" s="261">
        <v>10271</v>
      </c>
      <c r="O23" s="139"/>
      <c r="P23" s="261">
        <v>10117</v>
      </c>
      <c r="Q23" s="139"/>
      <c r="R23" s="261">
        <v>10426</v>
      </c>
      <c r="S23" s="139"/>
      <c r="T23" s="261">
        <v>10606</v>
      </c>
      <c r="U23" s="139"/>
      <c r="V23" s="261">
        <v>10492</v>
      </c>
      <c r="W23" s="139"/>
      <c r="X23" s="261">
        <v>10872</v>
      </c>
      <c r="Y23" s="139"/>
      <c r="Z23" s="1649"/>
      <c r="AB23" s="12"/>
      <c r="AC23" s="947">
        <f t="shared" si="2"/>
        <v>10502.6</v>
      </c>
    </row>
    <row r="24" spans="1:32" x14ac:dyDescent="0.2">
      <c r="A24" s="3"/>
      <c r="B24" s="78" t="s">
        <v>11</v>
      </c>
      <c r="C24" s="31"/>
      <c r="D24" s="165">
        <v>1931</v>
      </c>
      <c r="E24" s="31"/>
      <c r="F24" s="171">
        <v>2121</v>
      </c>
      <c r="G24" s="239"/>
      <c r="H24" s="261">
        <v>2184</v>
      </c>
      <c r="I24" s="139"/>
      <c r="J24" s="183">
        <v>2302</v>
      </c>
      <c r="K24" s="239"/>
      <c r="L24" s="183">
        <v>2623</v>
      </c>
      <c r="M24" s="239"/>
      <c r="N24" s="261">
        <v>2499</v>
      </c>
      <c r="O24" s="139"/>
      <c r="P24" s="261">
        <v>2845</v>
      </c>
      <c r="Q24" s="139"/>
      <c r="R24" s="261">
        <v>2818</v>
      </c>
      <c r="S24" s="139"/>
      <c r="T24" s="261">
        <v>2817</v>
      </c>
      <c r="U24" s="139"/>
      <c r="V24" s="261">
        <v>2731</v>
      </c>
      <c r="W24" s="139"/>
      <c r="X24" s="261">
        <v>2754</v>
      </c>
      <c r="Y24" s="139"/>
      <c r="Z24" s="1649"/>
      <c r="AA24" s="1031"/>
      <c r="AB24" s="31"/>
      <c r="AC24" s="947">
        <f t="shared" si="2"/>
        <v>2793</v>
      </c>
    </row>
    <row r="25" spans="1:32" x14ac:dyDescent="0.2">
      <c r="A25" s="3"/>
      <c r="B25" s="78" t="s">
        <v>12</v>
      </c>
      <c r="C25" s="31"/>
      <c r="D25" s="94">
        <v>131</v>
      </c>
      <c r="E25" s="31"/>
      <c r="F25" s="39">
        <v>207</v>
      </c>
      <c r="G25" s="239"/>
      <c r="H25" s="240">
        <v>299</v>
      </c>
      <c r="I25" s="139"/>
      <c r="J25" s="241">
        <v>280</v>
      </c>
      <c r="K25" s="239"/>
      <c r="L25" s="241">
        <v>286</v>
      </c>
      <c r="M25" s="239"/>
      <c r="N25" s="240">
        <v>201</v>
      </c>
      <c r="O25" s="139"/>
      <c r="P25" s="240">
        <v>204</v>
      </c>
      <c r="Q25" s="139"/>
      <c r="R25" s="240">
        <v>276</v>
      </c>
      <c r="S25" s="139"/>
      <c r="T25" s="240">
        <v>261</v>
      </c>
      <c r="U25" s="139"/>
      <c r="V25" s="240">
        <v>224</v>
      </c>
      <c r="W25" s="139"/>
      <c r="X25" s="240">
        <v>191</v>
      </c>
      <c r="Y25" s="139"/>
      <c r="Z25" s="1650"/>
      <c r="AA25" s="1031"/>
      <c r="AB25" s="31"/>
      <c r="AC25" s="947">
        <f t="shared" si="2"/>
        <v>231.2</v>
      </c>
    </row>
    <row r="26" spans="1:32" ht="13.5" thickBot="1" x14ac:dyDescent="0.25">
      <c r="A26" s="3"/>
      <c r="B26" s="79" t="s">
        <v>13</v>
      </c>
      <c r="C26" s="1297"/>
      <c r="D26" s="186">
        <f>SUM(D22:D25)</f>
        <v>11736</v>
      </c>
      <c r="E26" s="90"/>
      <c r="F26" s="58">
        <f>SUM(F22:F25)</f>
        <v>12830</v>
      </c>
      <c r="G26" s="246"/>
      <c r="H26" s="247">
        <f>SUM(H22:H25)</f>
        <v>13123</v>
      </c>
      <c r="I26" s="164"/>
      <c r="J26" s="242">
        <f>SUM(J22:J25)</f>
        <v>13272</v>
      </c>
      <c r="K26" s="246"/>
      <c r="L26" s="242">
        <f>SUM(L22:L25)</f>
        <v>13433</v>
      </c>
      <c r="M26" s="246"/>
      <c r="N26" s="247">
        <f>SUM(N22:N25)</f>
        <v>13424</v>
      </c>
      <c r="O26" s="164"/>
      <c r="P26" s="247">
        <f>SUM(P22:P25)</f>
        <v>13727</v>
      </c>
      <c r="Q26" s="164"/>
      <c r="R26" s="247">
        <f>SUM(R22:R25)</f>
        <v>14093</v>
      </c>
      <c r="S26" s="164"/>
      <c r="T26" s="247">
        <f>SUM(T22:T25)</f>
        <v>14272</v>
      </c>
      <c r="U26" s="164"/>
      <c r="V26" s="247">
        <f>SUM(V22:V25)</f>
        <v>14035</v>
      </c>
      <c r="W26" s="164"/>
      <c r="X26" s="247">
        <f>SUM(X22:X25)</f>
        <v>14384</v>
      </c>
      <c r="Y26" s="164"/>
      <c r="Z26" s="1651"/>
      <c r="AA26" s="1031"/>
      <c r="AB26" s="182"/>
      <c r="AC26" s="1008">
        <f>AVERAGE(X26,V26,R26,T26,P26)</f>
        <v>14102.2</v>
      </c>
      <c r="AE26" t="s">
        <v>29</v>
      </c>
    </row>
    <row r="27" spans="1:32" ht="12" customHeight="1" thickTop="1" thickBot="1" x14ac:dyDescent="0.25">
      <c r="A27" s="930"/>
      <c r="B27" s="1339" t="s">
        <v>212</v>
      </c>
      <c r="C27" s="2052" t="s">
        <v>51</v>
      </c>
      <c r="D27" s="1997"/>
      <c r="E27" s="1992" t="s">
        <v>52</v>
      </c>
      <c r="F27" s="1997"/>
      <c r="G27" s="1989" t="s">
        <v>184</v>
      </c>
      <c r="H27" s="1981"/>
      <c r="I27" s="1989" t="s">
        <v>185</v>
      </c>
      <c r="J27" s="2005"/>
      <c r="K27" s="1989" t="s">
        <v>202</v>
      </c>
      <c r="L27" s="2005"/>
      <c r="M27" s="1991" t="s">
        <v>203</v>
      </c>
      <c r="N27" s="1981"/>
      <c r="O27" s="1970" t="s">
        <v>228</v>
      </c>
      <c r="P27" s="1981"/>
      <c r="Q27" s="1970" t="s">
        <v>238</v>
      </c>
      <c r="R27" s="1981"/>
      <c r="S27" s="1970" t="s">
        <v>273</v>
      </c>
      <c r="T27" s="1981"/>
      <c r="U27" s="1970" t="s">
        <v>275</v>
      </c>
      <c r="V27" s="1981"/>
      <c r="W27" s="1970" t="s">
        <v>281</v>
      </c>
      <c r="X27" s="1981"/>
      <c r="Y27" s="1970" t="s">
        <v>291</v>
      </c>
      <c r="Z27" s="1971"/>
      <c r="AA27" s="932"/>
      <c r="AB27" s="2009"/>
      <c r="AC27" s="2010"/>
      <c r="AD27" s="293"/>
      <c r="AE27" s="293"/>
      <c r="AF27" s="21"/>
    </row>
    <row r="28" spans="1:32" ht="12" customHeight="1" x14ac:dyDescent="0.2">
      <c r="A28" s="930"/>
      <c r="B28" s="1331" t="s">
        <v>189</v>
      </c>
      <c r="C28" s="2062">
        <v>1E-3</v>
      </c>
      <c r="D28" s="2017"/>
      <c r="E28" s="1995">
        <v>2E-3</v>
      </c>
      <c r="F28" s="1996"/>
      <c r="G28" s="1995">
        <v>6.0000000000000001E-3</v>
      </c>
      <c r="H28" s="1996"/>
      <c r="I28" s="1995">
        <v>4.0000000000000001E-3</v>
      </c>
      <c r="J28" s="2006"/>
      <c r="K28" s="934"/>
      <c r="L28" s="935">
        <v>3.0000000000000001E-3</v>
      </c>
      <c r="M28" s="936"/>
      <c r="N28" s="1178">
        <v>3.0000000000000001E-3</v>
      </c>
      <c r="O28" s="1176"/>
      <c r="P28" s="1178">
        <v>5.0000000000000001E-3</v>
      </c>
      <c r="Q28" s="1271"/>
      <c r="R28" s="1178">
        <v>5.0000000000000001E-3</v>
      </c>
      <c r="S28" s="1271"/>
      <c r="T28" s="1178">
        <v>4.0000000000000001E-3</v>
      </c>
      <c r="U28" s="1271"/>
      <c r="V28" s="1178">
        <v>4.0000000000000001E-3</v>
      </c>
      <c r="W28" s="1271"/>
      <c r="X28" s="1178">
        <v>3.0000000000000001E-3</v>
      </c>
      <c r="Y28" s="1271"/>
      <c r="Z28" s="1479">
        <v>8.0000000000000002E-3</v>
      </c>
      <c r="AA28" s="937"/>
      <c r="AB28" s="938"/>
      <c r="AC28" s="1048">
        <f>AVERAGE(X28,V28,R28,T28,Z28)</f>
        <v>4.8000000000000004E-3</v>
      </c>
      <c r="AD28" s="293"/>
      <c r="AE28" s="293"/>
      <c r="AF28" s="21"/>
    </row>
    <row r="29" spans="1:32" ht="12" customHeight="1" x14ac:dyDescent="0.2">
      <c r="A29" s="930"/>
      <c r="B29" s="1333" t="s">
        <v>190</v>
      </c>
      <c r="C29" s="2061">
        <v>4.3999999999999997E-2</v>
      </c>
      <c r="D29" s="2019"/>
      <c r="E29" s="2000">
        <v>5.7000000000000002E-2</v>
      </c>
      <c r="F29" s="2001"/>
      <c r="G29" s="2000">
        <v>0.08</v>
      </c>
      <c r="H29" s="2001"/>
      <c r="I29" s="2000">
        <v>5.5E-2</v>
      </c>
      <c r="J29" s="2011"/>
      <c r="K29" s="941"/>
      <c r="L29" s="942">
        <v>3.2000000000000001E-2</v>
      </c>
      <c r="M29" s="941"/>
      <c r="N29" s="1179">
        <v>5.5E-2</v>
      </c>
      <c r="O29" s="1177"/>
      <c r="P29" s="1179">
        <v>6.3E-2</v>
      </c>
      <c r="Q29" s="1272"/>
      <c r="R29" s="1179">
        <v>6.3E-2</v>
      </c>
      <c r="S29" s="1272"/>
      <c r="T29" s="1179">
        <v>5.5E-2</v>
      </c>
      <c r="U29" s="1272"/>
      <c r="V29" s="1179">
        <v>5.8000000000000003E-2</v>
      </c>
      <c r="W29" s="1272"/>
      <c r="X29" s="1179">
        <v>5.1999999999999998E-2</v>
      </c>
      <c r="Y29" s="1272"/>
      <c r="Z29" s="1480">
        <v>4.3999999999999997E-2</v>
      </c>
      <c r="AA29" s="937"/>
      <c r="AB29" s="938"/>
      <c r="AC29" s="1048">
        <f>AVERAGE(X29,V29,R29,T29,Z29)</f>
        <v>5.439999999999999E-2</v>
      </c>
      <c r="AD29" s="293"/>
      <c r="AE29" s="293"/>
      <c r="AF29" s="21"/>
    </row>
    <row r="30" spans="1:32" ht="12.75" customHeight="1" thickBot="1" x14ac:dyDescent="0.25">
      <c r="A30" s="3"/>
      <c r="B30" s="943" t="s">
        <v>191</v>
      </c>
      <c r="C30" s="2012">
        <f>1-C28-C29</f>
        <v>0.95499999999999996</v>
      </c>
      <c r="D30" s="1999"/>
      <c r="E30" s="1998">
        <f>1-E28-E29</f>
        <v>0.94099999999999995</v>
      </c>
      <c r="F30" s="1999"/>
      <c r="G30" s="1998">
        <f>1-G28-G29</f>
        <v>0.91400000000000003</v>
      </c>
      <c r="H30" s="1999"/>
      <c r="I30" s="1998">
        <f>1-I28-I29</f>
        <v>0.94099999999999995</v>
      </c>
      <c r="J30" s="1999"/>
      <c r="K30" s="1998">
        <f>1-L28-L29</f>
        <v>0.96499999999999997</v>
      </c>
      <c r="L30" s="1999"/>
      <c r="M30" s="1998">
        <f>1-N28-N29</f>
        <v>0.94199999999999995</v>
      </c>
      <c r="N30" s="1999"/>
      <c r="O30" s="1998">
        <f>1-P28-P29</f>
        <v>0.93199999999999994</v>
      </c>
      <c r="P30" s="1999"/>
      <c r="Q30" s="1972">
        <f>1-R28-R29</f>
        <v>0.93199999999999994</v>
      </c>
      <c r="R30" s="1973"/>
      <c r="S30" s="1972">
        <f>1-T28-T29</f>
        <v>0.94099999999999995</v>
      </c>
      <c r="T30" s="1973"/>
      <c r="U30" s="1972">
        <f>1-V28-V29</f>
        <v>0.93799999999999994</v>
      </c>
      <c r="V30" s="1973"/>
      <c r="W30" s="1972">
        <f>1-X28-X29</f>
        <v>0.94499999999999995</v>
      </c>
      <c r="X30" s="1973"/>
      <c r="Y30" s="1972">
        <f>1-Z28-Z29</f>
        <v>0.94799999999999995</v>
      </c>
      <c r="Z30" s="1973"/>
      <c r="AA30" s="937"/>
      <c r="AB30" s="2007">
        <f t="shared" ref="AB30:AC30" si="3">AVERAGE(W30,U30,Q30,S30,Y30)</f>
        <v>0.94079999999999997</v>
      </c>
      <c r="AC30" s="2008" t="e">
        <f t="shared" si="3"/>
        <v>#DIV/0!</v>
      </c>
      <c r="AD30" s="1050"/>
      <c r="AE30" s="293"/>
      <c r="AF30" s="21"/>
    </row>
    <row r="31" spans="1:32" s="3" customFormat="1" thickTop="1" x14ac:dyDescent="0.2">
      <c r="B31" s="109"/>
      <c r="C31" s="110"/>
      <c r="D31" s="111"/>
      <c r="E31" s="110"/>
      <c r="F31" s="111"/>
      <c r="G31" s="146"/>
      <c r="H31" s="147"/>
      <c r="I31" s="146"/>
      <c r="J31" s="147"/>
      <c r="K31" s="146"/>
      <c r="L31" s="147"/>
      <c r="M31" s="146"/>
      <c r="N31" s="147"/>
      <c r="O31" s="146"/>
      <c r="P31" s="147"/>
      <c r="Q31" s="146"/>
      <c r="R31" s="147"/>
      <c r="S31" s="146"/>
      <c r="T31" s="147"/>
      <c r="U31" s="146"/>
      <c r="V31" s="147"/>
      <c r="W31" s="146"/>
      <c r="X31" s="147"/>
      <c r="Y31" s="146"/>
      <c r="Z31" s="147"/>
    </row>
    <row r="32" spans="1:32" s="3" customFormat="1" x14ac:dyDescent="0.2">
      <c r="A32" s="112" t="s">
        <v>68</v>
      </c>
      <c r="B32" s="96"/>
      <c r="C32" s="28"/>
      <c r="D32" s="28"/>
      <c r="E32" s="28"/>
      <c r="F32" s="28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</row>
    <row r="33" spans="1:29" s="3" customFormat="1" ht="13.5" thickBot="1" x14ac:dyDescent="0.25">
      <c r="A33" s="112"/>
      <c r="B33" s="1348"/>
      <c r="C33" s="28"/>
      <c r="D33" s="28"/>
      <c r="E33" s="28"/>
      <c r="F33" s="28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</row>
    <row r="34" spans="1:29" s="3" customFormat="1" ht="14.25" thickTop="1" thickBot="1" x14ac:dyDescent="0.25">
      <c r="A34" s="2"/>
      <c r="B34" s="329" t="s">
        <v>69</v>
      </c>
      <c r="C34" s="2015" t="s">
        <v>49</v>
      </c>
      <c r="D34" s="2014"/>
      <c r="E34" s="2015" t="s">
        <v>50</v>
      </c>
      <c r="F34" s="2015"/>
      <c r="G34" s="2002" t="s">
        <v>141</v>
      </c>
      <c r="H34" s="1982"/>
      <c r="I34" s="2002" t="s">
        <v>152</v>
      </c>
      <c r="J34" s="1974"/>
      <c r="K34" s="2002" t="s">
        <v>154</v>
      </c>
      <c r="L34" s="1974"/>
      <c r="M34" s="2002" t="s">
        <v>171</v>
      </c>
      <c r="N34" s="1982"/>
      <c r="O34" s="1974" t="s">
        <v>227</v>
      </c>
      <c r="P34" s="1982"/>
      <c r="Q34" s="1974" t="s">
        <v>237</v>
      </c>
      <c r="R34" s="1982"/>
      <c r="S34" s="1974" t="s">
        <v>272</v>
      </c>
      <c r="T34" s="1982"/>
      <c r="U34" s="1974" t="s">
        <v>274</v>
      </c>
      <c r="V34" s="1982"/>
      <c r="W34" s="1974" t="s">
        <v>280</v>
      </c>
      <c r="X34" s="1982"/>
      <c r="Y34" s="1974" t="s">
        <v>290</v>
      </c>
      <c r="Z34" s="1975"/>
      <c r="AA34" s="955"/>
      <c r="AB34" s="2015" t="s">
        <v>213</v>
      </c>
      <c r="AC34" s="2004"/>
    </row>
    <row r="35" spans="1:29" s="3" customFormat="1" x14ac:dyDescent="0.2">
      <c r="A35" s="2"/>
      <c r="B35" s="330" t="s">
        <v>70</v>
      </c>
      <c r="C35" s="31"/>
      <c r="D35" s="93"/>
      <c r="E35" s="31"/>
      <c r="F35" s="31"/>
      <c r="G35" s="239"/>
      <c r="H35" s="245"/>
      <c r="I35" s="138"/>
      <c r="J35" s="138"/>
      <c r="K35" s="243"/>
      <c r="L35" s="138"/>
      <c r="M35" s="243"/>
      <c r="N35" s="244"/>
      <c r="O35" s="138"/>
      <c r="P35" s="244"/>
      <c r="Q35" s="138"/>
      <c r="R35" s="244"/>
      <c r="S35" s="138"/>
      <c r="T35" s="244"/>
      <c r="U35" s="138"/>
      <c r="V35" s="244"/>
      <c r="W35" s="138"/>
      <c r="X35" s="244"/>
      <c r="Y35" s="138"/>
      <c r="Z35" s="140"/>
      <c r="AA35" s="955"/>
      <c r="AB35" s="28"/>
      <c r="AC35" s="930"/>
    </row>
    <row r="36" spans="1:29" s="3" customFormat="1" x14ac:dyDescent="0.2">
      <c r="A36" s="2"/>
      <c r="B36" s="331" t="s">
        <v>71</v>
      </c>
      <c r="C36" s="30"/>
      <c r="D36" s="188">
        <v>811031</v>
      </c>
      <c r="E36" s="30"/>
      <c r="F36" s="205">
        <v>943129</v>
      </c>
      <c r="G36" s="243"/>
      <c r="H36" s="416">
        <v>884645</v>
      </c>
      <c r="I36" s="138"/>
      <c r="J36" s="451">
        <v>884792</v>
      </c>
      <c r="K36" s="243"/>
      <c r="L36" s="451">
        <v>1014873</v>
      </c>
      <c r="M36" s="243"/>
      <c r="N36" s="416">
        <v>1034326</v>
      </c>
      <c r="O36" s="138"/>
      <c r="P36" s="416">
        <v>1256884</v>
      </c>
      <c r="Q36" s="138"/>
      <c r="R36" s="416">
        <v>1308743</v>
      </c>
      <c r="S36" s="138"/>
      <c r="T36" s="416">
        <v>1267332</v>
      </c>
      <c r="U36" s="138"/>
      <c r="V36" s="416">
        <v>1400945</v>
      </c>
      <c r="W36" s="138"/>
      <c r="X36" s="416">
        <f>1323343+20794</f>
        <v>1344137</v>
      </c>
      <c r="Y36" s="138"/>
      <c r="Z36" s="294">
        <f>1387290+21761</f>
        <v>1409051</v>
      </c>
      <c r="AA36" s="955"/>
      <c r="AB36" s="30"/>
      <c r="AC36" s="947">
        <f t="shared" ref="AC36:AC39" si="4">AVERAGE(X36,V36,R36,T36,Z36)</f>
        <v>1346041.6</v>
      </c>
    </row>
    <row r="37" spans="1:29" s="3" customFormat="1" x14ac:dyDescent="0.2">
      <c r="A37" s="2"/>
      <c r="B37" s="331" t="s">
        <v>247</v>
      </c>
      <c r="C37" s="30"/>
      <c r="D37" s="188"/>
      <c r="E37" s="30"/>
      <c r="F37" s="205"/>
      <c r="G37" s="243"/>
      <c r="H37" s="1439"/>
      <c r="I37" s="138"/>
      <c r="J37" s="451">
        <v>13283</v>
      </c>
      <c r="K37" s="243"/>
      <c r="L37" s="451">
        <v>13272</v>
      </c>
      <c r="M37" s="243"/>
      <c r="N37" s="416">
        <v>0</v>
      </c>
      <c r="O37" s="138"/>
      <c r="P37" s="416">
        <v>0</v>
      </c>
      <c r="Q37" s="138"/>
      <c r="R37" s="416">
        <v>0</v>
      </c>
      <c r="S37" s="138"/>
      <c r="T37" s="416"/>
      <c r="U37" s="138"/>
      <c r="V37" s="416"/>
      <c r="W37" s="138"/>
      <c r="X37" s="416"/>
      <c r="Y37" s="138"/>
      <c r="Z37" s="294"/>
      <c r="AA37" s="955"/>
      <c r="AB37" s="30"/>
      <c r="AC37" s="947">
        <f t="shared" si="4"/>
        <v>0</v>
      </c>
    </row>
    <row r="38" spans="1:29" s="3" customFormat="1" ht="36" x14ac:dyDescent="0.2">
      <c r="A38" s="2"/>
      <c r="B38" s="332" t="s">
        <v>251</v>
      </c>
      <c r="C38" s="31"/>
      <c r="D38" s="189">
        <f>12670+110973</f>
        <v>123643</v>
      </c>
      <c r="E38" s="31"/>
      <c r="F38" s="206">
        <f>12680+158553</f>
        <v>171233</v>
      </c>
      <c r="G38" s="239"/>
      <c r="H38" s="369">
        <v>243145</v>
      </c>
      <c r="I38" s="139"/>
      <c r="J38" s="347">
        <v>233580</v>
      </c>
      <c r="K38" s="239"/>
      <c r="L38" s="347">
        <v>113216</v>
      </c>
      <c r="M38" s="239"/>
      <c r="N38" s="369">
        <v>136104</v>
      </c>
      <c r="O38" s="139"/>
      <c r="P38" s="369">
        <v>73568</v>
      </c>
      <c r="Q38" s="139"/>
      <c r="R38" s="369">
        <v>142653</v>
      </c>
      <c r="S38" s="139"/>
      <c r="T38" s="369">
        <v>179037</v>
      </c>
      <c r="U38" s="139"/>
      <c r="V38" s="369">
        <v>85659</v>
      </c>
      <c r="W38" s="139"/>
      <c r="X38" s="369">
        <v>376010</v>
      </c>
      <c r="Y38" s="139"/>
      <c r="Z38" s="282">
        <v>485506</v>
      </c>
      <c r="AA38" s="955"/>
      <c r="AB38" s="31"/>
      <c r="AC38" s="947">
        <f t="shared" si="4"/>
        <v>253773</v>
      </c>
    </row>
    <row r="39" spans="1:29" s="3" customFormat="1" x14ac:dyDescent="0.2">
      <c r="A39" s="2"/>
      <c r="B39" s="333" t="s">
        <v>72</v>
      </c>
      <c r="C39" s="90"/>
      <c r="D39" s="190">
        <f>SUM(D36:D38)</f>
        <v>934674</v>
      </c>
      <c r="E39" s="90"/>
      <c r="F39" s="207">
        <f>SUM(F36:F38)</f>
        <v>1114362</v>
      </c>
      <c r="G39" s="262"/>
      <c r="H39" s="263">
        <f>SUM(H36:H38)</f>
        <v>1127790</v>
      </c>
      <c r="I39" s="250"/>
      <c r="J39" s="249">
        <f>SUM(J36:J38)</f>
        <v>1131655</v>
      </c>
      <c r="K39" s="262"/>
      <c r="L39" s="249">
        <f>SUM(L36:L38)</f>
        <v>1141361</v>
      </c>
      <c r="M39" s="262"/>
      <c r="N39" s="263">
        <f>SUM(N36:N38)</f>
        <v>1170430</v>
      </c>
      <c r="O39" s="250"/>
      <c r="P39" s="263">
        <f>SUM(P36:P38)</f>
        <v>1330452</v>
      </c>
      <c r="Q39" s="250"/>
      <c r="R39" s="263">
        <f>SUM(R36:R38)</f>
        <v>1451396</v>
      </c>
      <c r="S39" s="250"/>
      <c r="T39" s="263">
        <f>SUM(T36:T38)</f>
        <v>1446369</v>
      </c>
      <c r="U39" s="250"/>
      <c r="V39" s="263">
        <f>SUM(V36:V38)</f>
        <v>1486604</v>
      </c>
      <c r="W39" s="250"/>
      <c r="X39" s="263">
        <f>SUM(X36:X38)</f>
        <v>1720147</v>
      </c>
      <c r="Y39" s="250"/>
      <c r="Z39" s="149">
        <f>SUM(Z36:Z38)</f>
        <v>1894557</v>
      </c>
      <c r="AA39" s="955"/>
      <c r="AB39" s="31"/>
      <c r="AC39" s="1008">
        <f t="shared" si="4"/>
        <v>1599814.6</v>
      </c>
    </row>
    <row r="40" spans="1:29" s="3" customFormat="1" x14ac:dyDescent="0.2">
      <c r="A40" s="2"/>
      <c r="B40" s="330" t="s">
        <v>73</v>
      </c>
      <c r="C40" s="31"/>
      <c r="D40" s="189"/>
      <c r="E40" s="31"/>
      <c r="F40" s="206"/>
      <c r="G40" s="239"/>
      <c r="H40" s="369" t="s">
        <v>29</v>
      </c>
      <c r="I40" s="139"/>
      <c r="J40" s="347" t="s">
        <v>29</v>
      </c>
      <c r="K40" s="239"/>
      <c r="L40" s="347" t="s">
        <v>29</v>
      </c>
      <c r="M40" s="239"/>
      <c r="N40" s="369" t="s">
        <v>29</v>
      </c>
      <c r="O40" s="139"/>
      <c r="P40" s="369" t="s">
        <v>29</v>
      </c>
      <c r="Q40" s="139"/>
      <c r="R40" s="369" t="s">
        <v>29</v>
      </c>
      <c r="S40" s="139"/>
      <c r="T40" s="369" t="s">
        <v>29</v>
      </c>
      <c r="U40" s="139"/>
      <c r="V40" s="369" t="s">
        <v>29</v>
      </c>
      <c r="W40" s="139"/>
      <c r="X40" s="369" t="s">
        <v>29</v>
      </c>
      <c r="Y40" s="139"/>
      <c r="Z40" s="282" t="s">
        <v>29</v>
      </c>
      <c r="AA40" s="955"/>
      <c r="AB40" s="31"/>
      <c r="AC40" s="947"/>
    </row>
    <row r="41" spans="1:29" s="3" customFormat="1" x14ac:dyDescent="0.2">
      <c r="A41" s="2"/>
      <c r="B41" s="331" t="s">
        <v>71</v>
      </c>
      <c r="C41" s="31"/>
      <c r="D41" s="189">
        <v>339823</v>
      </c>
      <c r="E41" s="31"/>
      <c r="F41" s="206">
        <v>368986</v>
      </c>
      <c r="G41" s="239"/>
      <c r="H41" s="369">
        <v>378280</v>
      </c>
      <c r="I41" s="139"/>
      <c r="J41" s="347">
        <v>387375</v>
      </c>
      <c r="K41" s="239"/>
      <c r="L41" s="347">
        <v>406996</v>
      </c>
      <c r="M41" s="239"/>
      <c r="N41" s="369">
        <v>407485</v>
      </c>
      <c r="O41" s="139"/>
      <c r="P41" s="369">
        <v>408696</v>
      </c>
      <c r="Q41" s="139"/>
      <c r="R41" s="369">
        <v>415420</v>
      </c>
      <c r="S41" s="139"/>
      <c r="T41" s="369">
        <v>419664</v>
      </c>
      <c r="U41" s="139"/>
      <c r="V41" s="369">
        <v>407383</v>
      </c>
      <c r="W41" s="139"/>
      <c r="X41" s="369">
        <v>404012</v>
      </c>
      <c r="Y41" s="139"/>
      <c r="Z41" s="282">
        <v>419806</v>
      </c>
      <c r="AA41" s="955"/>
      <c r="AB41" s="31"/>
      <c r="AC41" s="947">
        <f>AVERAGE(X41,V41,R41,T41,Z41)</f>
        <v>413257</v>
      </c>
    </row>
    <row r="42" spans="1:29" s="3" customFormat="1" x14ac:dyDescent="0.2">
      <c r="A42" s="2"/>
      <c r="B42" s="331" t="s">
        <v>247</v>
      </c>
      <c r="C42" s="31"/>
      <c r="D42" s="189"/>
      <c r="E42" s="31"/>
      <c r="F42" s="206"/>
      <c r="G42" s="239"/>
      <c r="H42" s="369"/>
      <c r="I42" s="139"/>
      <c r="J42" s="347"/>
      <c r="K42" s="239"/>
      <c r="L42" s="347"/>
      <c r="M42" s="239"/>
      <c r="N42" s="369"/>
      <c r="O42" s="139"/>
      <c r="P42" s="369"/>
      <c r="Q42" s="139"/>
      <c r="R42" s="369"/>
      <c r="S42" s="139"/>
      <c r="T42" s="369"/>
      <c r="U42" s="139"/>
      <c r="V42" s="369"/>
      <c r="W42" s="139"/>
      <c r="X42" s="369"/>
      <c r="Y42" s="139"/>
      <c r="Z42" s="282"/>
      <c r="AA42" s="955"/>
      <c r="AB42" s="31"/>
      <c r="AC42" s="947"/>
    </row>
    <row r="43" spans="1:29" s="3" customFormat="1" ht="36" x14ac:dyDescent="0.2">
      <c r="A43" s="2"/>
      <c r="B43" s="332" t="s">
        <v>248</v>
      </c>
      <c r="C43" s="31"/>
      <c r="D43" s="189">
        <v>50000</v>
      </c>
      <c r="E43" s="31"/>
      <c r="F43" s="206">
        <v>77087</v>
      </c>
      <c r="G43" s="239"/>
      <c r="H43" s="369">
        <v>77067</v>
      </c>
      <c r="I43" s="139"/>
      <c r="J43" s="347">
        <v>77249</v>
      </c>
      <c r="K43" s="239"/>
      <c r="L43" s="347">
        <v>77205</v>
      </c>
      <c r="M43" s="239"/>
      <c r="N43" s="369">
        <v>77155</v>
      </c>
      <c r="O43" s="139"/>
      <c r="P43" s="369">
        <v>77066</v>
      </c>
      <c r="Q43" s="139"/>
      <c r="R43" s="369">
        <v>77226</v>
      </c>
      <c r="S43" s="139"/>
      <c r="T43" s="369">
        <v>77189</v>
      </c>
      <c r="U43" s="139"/>
      <c r="V43" s="369">
        <v>77163</v>
      </c>
      <c r="W43" s="139"/>
      <c r="X43" s="369">
        <v>149621</v>
      </c>
      <c r="Y43" s="139"/>
      <c r="Z43" s="282">
        <v>150810</v>
      </c>
      <c r="AA43" s="955"/>
      <c r="AB43" s="31"/>
      <c r="AC43" s="947">
        <f t="shared" ref="AC43:AC45" si="5">AVERAGE(X43,V43,R43,T43,Z43)</f>
        <v>106401.8</v>
      </c>
    </row>
    <row r="44" spans="1:29" s="3" customFormat="1" x14ac:dyDescent="0.2">
      <c r="A44" s="2"/>
      <c r="B44" s="333" t="s">
        <v>74</v>
      </c>
      <c r="C44" s="90"/>
      <c r="D44" s="190">
        <f>SUM(D41:D43)</f>
        <v>389823</v>
      </c>
      <c r="E44" s="90"/>
      <c r="F44" s="207">
        <f>SUM(F41:F43)</f>
        <v>446073</v>
      </c>
      <c r="G44" s="262"/>
      <c r="H44" s="263">
        <f>SUM(H41:H43)</f>
        <v>455347</v>
      </c>
      <c r="I44" s="250"/>
      <c r="J44" s="249">
        <f>SUM(J41:J43)</f>
        <v>464624</v>
      </c>
      <c r="K44" s="262"/>
      <c r="L44" s="249">
        <f>SUM(L41:L43)</f>
        <v>484201</v>
      </c>
      <c r="M44" s="262"/>
      <c r="N44" s="263">
        <f>SUM(N41:N43)</f>
        <v>484640</v>
      </c>
      <c r="O44" s="250"/>
      <c r="P44" s="263">
        <f>SUM(P41:P43)</f>
        <v>485762</v>
      </c>
      <c r="Q44" s="250"/>
      <c r="R44" s="263">
        <f>SUM(R41:R43)</f>
        <v>492646</v>
      </c>
      <c r="S44" s="250"/>
      <c r="T44" s="263">
        <f>SUM(T41:T43)</f>
        <v>496853</v>
      </c>
      <c r="U44" s="250"/>
      <c r="V44" s="263">
        <f>SUM(V41:V43)</f>
        <v>484546</v>
      </c>
      <c r="W44" s="250"/>
      <c r="X44" s="263">
        <f>SUM(X41:X43)</f>
        <v>553633</v>
      </c>
      <c r="Y44" s="250"/>
      <c r="Z44" s="149">
        <f>SUM(Z41:Z43)</f>
        <v>570616</v>
      </c>
      <c r="AA44" s="955"/>
      <c r="AB44" s="31"/>
      <c r="AC44" s="1008">
        <f t="shared" si="5"/>
        <v>519658.8</v>
      </c>
    </row>
    <row r="45" spans="1:29" s="3" customFormat="1" ht="13.5" thickBot="1" x14ac:dyDescent="0.25">
      <c r="A45" s="2"/>
      <c r="B45" s="334" t="s">
        <v>75</v>
      </c>
      <c r="C45" s="31"/>
      <c r="D45" s="190">
        <f>SUM(D39,D44)</f>
        <v>1324497</v>
      </c>
      <c r="E45" s="31"/>
      <c r="F45" s="249">
        <f>SUM(F39,F44)</f>
        <v>1560435</v>
      </c>
      <c r="G45" s="239"/>
      <c r="H45" s="263">
        <f>SUM(H39,H44)</f>
        <v>1583137</v>
      </c>
      <c r="I45" s="139"/>
      <c r="J45" s="249">
        <f>SUM(J39,J44)</f>
        <v>1596279</v>
      </c>
      <c r="K45" s="239"/>
      <c r="L45" s="249">
        <f>SUM(L39,L44)</f>
        <v>1625562</v>
      </c>
      <c r="M45" s="239"/>
      <c r="N45" s="263">
        <f>SUM(N39,N44)</f>
        <v>1655070</v>
      </c>
      <c r="O45" s="139"/>
      <c r="P45" s="263">
        <f>SUM(P39,P44)</f>
        <v>1816214</v>
      </c>
      <c r="Q45" s="139"/>
      <c r="R45" s="263">
        <f>SUM(R39,R44)</f>
        <v>1944042</v>
      </c>
      <c r="S45" s="139"/>
      <c r="T45" s="263">
        <f>SUM(T39,T44)</f>
        <v>1943222</v>
      </c>
      <c r="U45" s="139"/>
      <c r="V45" s="263">
        <f>SUM(V39,V44)</f>
        <v>1971150</v>
      </c>
      <c r="W45" s="139"/>
      <c r="X45" s="263">
        <f>SUM(X39,X44)</f>
        <v>2273780</v>
      </c>
      <c r="Y45" s="139"/>
      <c r="Z45" s="149">
        <f>SUM(Z39,Z44)</f>
        <v>2465173</v>
      </c>
      <c r="AA45" s="955"/>
      <c r="AB45" s="327"/>
      <c r="AC45" s="1008">
        <f t="shared" si="5"/>
        <v>2119473.4</v>
      </c>
    </row>
    <row r="46" spans="1:29" s="3" customFormat="1" ht="12" x14ac:dyDescent="0.2">
      <c r="B46" s="81" t="s">
        <v>259</v>
      </c>
      <c r="C46" s="151"/>
      <c r="D46" s="248"/>
      <c r="E46" s="36"/>
      <c r="F46" s="36"/>
      <c r="G46" s="265"/>
      <c r="H46" s="248"/>
      <c r="I46" s="151"/>
      <c r="J46" s="151"/>
      <c r="K46" s="265"/>
      <c r="L46" s="151"/>
      <c r="M46" s="265"/>
      <c r="N46" s="248"/>
      <c r="O46" s="151"/>
      <c r="P46" s="248"/>
      <c r="Q46" s="151"/>
      <c r="R46" s="248"/>
      <c r="S46" s="151"/>
      <c r="T46" s="248"/>
      <c r="U46" s="151"/>
      <c r="V46" s="248"/>
      <c r="W46" s="151"/>
      <c r="X46" s="248"/>
      <c r="Y46" s="151"/>
      <c r="Z46" s="152"/>
      <c r="AA46" s="955"/>
      <c r="AB46" s="28"/>
      <c r="AC46" s="978"/>
    </row>
    <row r="47" spans="1:29" x14ac:dyDescent="0.2">
      <c r="A47" s="3"/>
      <c r="B47" s="78" t="s">
        <v>14</v>
      </c>
      <c r="C47" s="254"/>
      <c r="D47" s="462">
        <v>1267124</v>
      </c>
      <c r="E47" s="31"/>
      <c r="F47" s="459">
        <v>1363436</v>
      </c>
      <c r="G47" s="239"/>
      <c r="H47" s="1526">
        <v>1496624.89</v>
      </c>
      <c r="I47" s="173"/>
      <c r="J47" s="458">
        <v>1347880.26</v>
      </c>
      <c r="K47" s="215"/>
      <c r="L47" s="826">
        <f>20582+26019+376759+1495198</f>
        <v>1918558</v>
      </c>
      <c r="M47" s="215"/>
      <c r="N47" s="510">
        <v>1686650</v>
      </c>
      <c r="O47" s="173"/>
      <c r="P47" s="510">
        <v>1630036</v>
      </c>
      <c r="Q47" s="252"/>
      <c r="R47" s="510">
        <v>1567842</v>
      </c>
      <c r="S47" s="252"/>
      <c r="T47" s="510">
        <v>1900409</v>
      </c>
      <c r="U47" s="252"/>
      <c r="V47" s="510">
        <v>2009475</v>
      </c>
      <c r="W47" s="252"/>
      <c r="X47" s="510">
        <v>2149727.7400000002</v>
      </c>
      <c r="Y47" s="252"/>
      <c r="Z47" s="1584"/>
      <c r="AA47" s="1031"/>
      <c r="AB47" s="30"/>
      <c r="AC47" s="949">
        <f>AVERAGE(X47,V47,R47,T47,P47)</f>
        <v>1851497.9480000001</v>
      </c>
    </row>
    <row r="48" spans="1:29" x14ac:dyDescent="0.2">
      <c r="A48" s="3"/>
      <c r="B48" s="1340" t="s">
        <v>15</v>
      </c>
      <c r="C48" s="415"/>
      <c r="D48" s="464">
        <v>366340</v>
      </c>
      <c r="E48" s="38"/>
      <c r="F48" s="376">
        <v>339247</v>
      </c>
      <c r="G48" s="266"/>
      <c r="H48" s="433">
        <v>383761</v>
      </c>
      <c r="I48" s="463"/>
      <c r="J48" s="458">
        <v>368168</v>
      </c>
      <c r="K48" s="432"/>
      <c r="L48" s="826">
        <f>983</f>
        <v>983</v>
      </c>
      <c r="M48" s="432"/>
      <c r="N48" s="510">
        <f>388741</f>
        <v>388741</v>
      </c>
      <c r="O48" s="463"/>
      <c r="P48" s="510">
        <f>387661+9930+4783</f>
        <v>402374</v>
      </c>
      <c r="Q48" s="252"/>
      <c r="R48" s="510">
        <f>400491.76+8534.07</f>
        <v>409025.83</v>
      </c>
      <c r="S48" s="252"/>
      <c r="T48" s="510">
        <f>2722.45+7450.48+407840.79</f>
        <v>418013.72</v>
      </c>
      <c r="U48" s="252"/>
      <c r="V48" s="510">
        <v>380304</v>
      </c>
      <c r="W48" s="252"/>
      <c r="X48" s="510">
        <v>383875.76</v>
      </c>
      <c r="Y48" s="252"/>
      <c r="Z48" s="1584"/>
      <c r="AA48" s="1031"/>
      <c r="AB48" s="31"/>
      <c r="AC48" s="1041">
        <f>AVERAGE(X48,V48,R48,T48,P48)</f>
        <v>398718.66200000001</v>
      </c>
    </row>
    <row r="49" spans="1:29" ht="13.5" thickBot="1" x14ac:dyDescent="0.25">
      <c r="A49" s="3"/>
      <c r="B49" s="1341"/>
      <c r="C49" s="154"/>
      <c r="D49" s="467"/>
      <c r="E49" s="40"/>
      <c r="F49" s="399"/>
      <c r="G49" s="268"/>
      <c r="H49" s="428"/>
      <c r="I49" s="154"/>
      <c r="J49" s="399"/>
      <c r="K49" s="268"/>
      <c r="L49" s="399"/>
      <c r="M49" s="268"/>
      <c r="N49" s="1336"/>
      <c r="O49" s="154"/>
      <c r="P49" s="428"/>
      <c r="Q49" s="154"/>
      <c r="R49" s="428"/>
      <c r="S49" s="154"/>
      <c r="T49" s="428"/>
      <c r="U49" s="154"/>
      <c r="V49" s="428"/>
      <c r="W49" s="154"/>
      <c r="X49" s="428"/>
      <c r="Y49" s="154"/>
      <c r="Z49" s="155"/>
      <c r="AA49" s="1031"/>
      <c r="AB49" s="1039" t="s">
        <v>133</v>
      </c>
      <c r="AC49" s="1040" t="s">
        <v>139</v>
      </c>
    </row>
    <row r="50" spans="1:29" x14ac:dyDescent="0.2">
      <c r="A50" s="3"/>
      <c r="B50" s="77"/>
      <c r="C50" s="166" t="s">
        <v>133</v>
      </c>
      <c r="D50" s="194" t="s">
        <v>139</v>
      </c>
      <c r="E50" s="166" t="s">
        <v>133</v>
      </c>
      <c r="F50" s="84" t="s">
        <v>139</v>
      </c>
      <c r="G50" s="308" t="s">
        <v>133</v>
      </c>
      <c r="H50" s="417" t="s">
        <v>139</v>
      </c>
      <c r="I50" s="414" t="s">
        <v>133</v>
      </c>
      <c r="J50" s="352" t="s">
        <v>139</v>
      </c>
      <c r="K50" s="308" t="s">
        <v>133</v>
      </c>
      <c r="L50" s="352" t="s">
        <v>139</v>
      </c>
      <c r="M50" s="308" t="s">
        <v>133</v>
      </c>
      <c r="N50" s="417" t="s">
        <v>139</v>
      </c>
      <c r="O50" s="414" t="s">
        <v>133</v>
      </c>
      <c r="P50" s="417" t="s">
        <v>139</v>
      </c>
      <c r="Q50" s="414" t="s">
        <v>133</v>
      </c>
      <c r="R50" s="417" t="s">
        <v>139</v>
      </c>
      <c r="S50" s="414" t="s">
        <v>133</v>
      </c>
      <c r="T50" s="417" t="s">
        <v>139</v>
      </c>
      <c r="U50" s="414" t="s">
        <v>133</v>
      </c>
      <c r="V50" s="417" t="s">
        <v>139</v>
      </c>
      <c r="W50" s="414" t="s">
        <v>133</v>
      </c>
      <c r="X50" s="417" t="s">
        <v>139</v>
      </c>
      <c r="Y50" s="414" t="s">
        <v>133</v>
      </c>
      <c r="Z50" s="295" t="s">
        <v>139</v>
      </c>
      <c r="AA50" s="1031"/>
      <c r="AB50" s="323"/>
      <c r="AC50" s="295"/>
    </row>
    <row r="51" spans="1:29" s="3" customFormat="1" ht="11.45" customHeight="1" x14ac:dyDescent="0.2">
      <c r="B51" s="80" t="s">
        <v>67</v>
      </c>
      <c r="C51" s="384">
        <v>3</v>
      </c>
      <c r="D51" s="511">
        <v>151685</v>
      </c>
      <c r="E51" s="108">
        <v>3</v>
      </c>
      <c r="F51" s="522">
        <v>149148</v>
      </c>
      <c r="G51" s="476">
        <v>1</v>
      </c>
      <c r="H51" s="439">
        <v>102397</v>
      </c>
      <c r="I51" s="477">
        <v>2</v>
      </c>
      <c r="J51" s="525">
        <v>51126</v>
      </c>
      <c r="K51" s="476">
        <v>1</v>
      </c>
      <c r="L51" s="252">
        <v>54484</v>
      </c>
      <c r="M51" s="532">
        <v>5</v>
      </c>
      <c r="N51" s="439">
        <v>295537</v>
      </c>
      <c r="O51" s="532">
        <v>12</v>
      </c>
      <c r="P51" s="439">
        <v>474874</v>
      </c>
      <c r="Q51" s="532">
        <v>9</v>
      </c>
      <c r="R51" s="439">
        <v>478416</v>
      </c>
      <c r="S51" s="532">
        <v>9</v>
      </c>
      <c r="T51" s="439">
        <v>387960</v>
      </c>
      <c r="U51" s="532">
        <v>9</v>
      </c>
      <c r="V51" s="439">
        <v>521104</v>
      </c>
      <c r="W51" s="532">
        <v>17</v>
      </c>
      <c r="X51" s="439">
        <v>515136</v>
      </c>
      <c r="Y51" s="1445"/>
      <c r="Z51" s="1482"/>
      <c r="AA51" s="955"/>
      <c r="AB51" s="108">
        <f>AVERAGE(W51,U51,Q51,S51,O51)</f>
        <v>11.2</v>
      </c>
      <c r="AC51" s="951">
        <f>AVERAGE(X51,V51,R51,T51,P51)</f>
        <v>475498</v>
      </c>
    </row>
    <row r="52" spans="1:29" s="3" customFormat="1" ht="11.45" customHeight="1" x14ac:dyDescent="0.2">
      <c r="B52" s="80"/>
      <c r="C52" s="1337"/>
      <c r="D52" s="197"/>
      <c r="E52" s="838"/>
      <c r="F52" s="306"/>
      <c r="G52" s="551"/>
      <c r="H52" s="418"/>
      <c r="I52" s="255"/>
      <c r="J52" s="452"/>
      <c r="K52" s="551"/>
      <c r="L52" s="528"/>
      <c r="M52" s="530"/>
      <c r="N52" s="527"/>
      <c r="O52" s="530"/>
      <c r="P52" s="527"/>
      <c r="Q52" s="530"/>
      <c r="R52" s="527"/>
      <c r="S52" s="530"/>
      <c r="T52" s="527"/>
      <c r="U52" s="530"/>
      <c r="V52" s="527"/>
      <c r="W52" s="530"/>
      <c r="X52" s="527"/>
      <c r="Y52" s="1446"/>
      <c r="Z52" s="1483"/>
      <c r="AA52" s="955"/>
      <c r="AB52" s="1013"/>
      <c r="AC52" s="949"/>
    </row>
    <row r="53" spans="1:29" s="3" customFormat="1" thickBot="1" x14ac:dyDescent="0.25">
      <c r="B53" s="167" t="s">
        <v>16</v>
      </c>
      <c r="C53" s="1338">
        <v>0</v>
      </c>
      <c r="D53" s="208">
        <v>0</v>
      </c>
      <c r="E53" s="839">
        <v>2</v>
      </c>
      <c r="F53" s="69">
        <v>106070</v>
      </c>
      <c r="G53" s="552">
        <v>0</v>
      </c>
      <c r="H53" s="442">
        <v>0</v>
      </c>
      <c r="I53" s="552">
        <v>0</v>
      </c>
      <c r="J53" s="456">
        <v>0</v>
      </c>
      <c r="K53" s="552">
        <v>1</v>
      </c>
      <c r="L53" s="253">
        <v>31438</v>
      </c>
      <c r="M53" s="552">
        <v>0</v>
      </c>
      <c r="N53" s="1152">
        <v>0</v>
      </c>
      <c r="O53" s="552">
        <v>3</v>
      </c>
      <c r="P53" s="1152">
        <v>51633</v>
      </c>
      <c r="Q53" s="552">
        <v>3</v>
      </c>
      <c r="R53" s="1152">
        <v>45164</v>
      </c>
      <c r="S53" s="552">
        <v>2</v>
      </c>
      <c r="T53" s="1152">
        <v>36953</v>
      </c>
      <c r="U53" s="552">
        <v>5</v>
      </c>
      <c r="V53" s="1152">
        <v>260908</v>
      </c>
      <c r="W53" s="552">
        <v>4</v>
      </c>
      <c r="X53" s="1152">
        <v>85842</v>
      </c>
      <c r="Y53" s="1447"/>
      <c r="Z53" s="1484"/>
      <c r="AA53" s="955"/>
      <c r="AB53" s="839">
        <f>AVERAGE(W53,U53,Q53,S53,O53)</f>
        <v>3.4</v>
      </c>
      <c r="AC53" s="1009">
        <f>AVERAGE(X53,V53,R53,T53,P53)</f>
        <v>96100</v>
      </c>
    </row>
    <row r="54" spans="1:29" s="3" customFormat="1" thickTop="1" x14ac:dyDescent="0.2">
      <c r="B54" s="81" t="s">
        <v>84</v>
      </c>
      <c r="C54" s="45"/>
      <c r="D54" s="209"/>
      <c r="E54" s="45"/>
      <c r="F54" s="323"/>
      <c r="G54" s="269"/>
      <c r="H54" s="419"/>
      <c r="I54" s="156"/>
      <c r="J54" s="307"/>
      <c r="K54" s="269"/>
      <c r="L54" s="307"/>
      <c r="M54" s="269"/>
      <c r="N54" s="419"/>
      <c r="O54" s="156"/>
      <c r="P54" s="419"/>
      <c r="Q54" s="156"/>
      <c r="R54" s="419"/>
      <c r="S54" s="156"/>
      <c r="T54" s="419"/>
      <c r="U54" s="156"/>
      <c r="V54" s="419"/>
      <c r="W54" s="156"/>
      <c r="X54" s="419"/>
      <c r="Y54" s="156"/>
      <c r="Z54" s="158"/>
      <c r="AA54" s="955"/>
      <c r="AB54" s="109"/>
      <c r="AC54" s="1030"/>
    </row>
    <row r="55" spans="1:29" s="3" customFormat="1" ht="12" x14ac:dyDescent="0.2">
      <c r="B55" s="337" t="s">
        <v>35</v>
      </c>
      <c r="C55" s="97"/>
      <c r="D55" s="210"/>
      <c r="E55" s="97"/>
      <c r="F55" s="34"/>
      <c r="G55" s="271"/>
      <c r="H55" s="420"/>
      <c r="I55" s="157"/>
      <c r="J55" s="135"/>
      <c r="K55" s="271"/>
      <c r="L55" s="135"/>
      <c r="M55" s="271"/>
      <c r="N55" s="420"/>
      <c r="O55" s="157"/>
      <c r="P55" s="420"/>
      <c r="Q55" s="157"/>
      <c r="R55" s="420"/>
      <c r="S55" s="157"/>
      <c r="T55" s="420"/>
      <c r="U55" s="157"/>
      <c r="V55" s="420"/>
      <c r="W55" s="157"/>
      <c r="X55" s="420"/>
      <c r="Y55" s="157"/>
      <c r="Z55" s="287"/>
      <c r="AA55" s="955"/>
      <c r="AB55" s="720"/>
      <c r="AC55" s="1011"/>
    </row>
    <row r="56" spans="1:29" s="3" customFormat="1" ht="12" x14ac:dyDescent="0.2">
      <c r="B56" s="338" t="s">
        <v>85</v>
      </c>
      <c r="C56" s="35"/>
      <c r="D56" s="232">
        <v>18895</v>
      </c>
      <c r="E56" s="35"/>
      <c r="F56" s="345">
        <v>18745</v>
      </c>
      <c r="G56" s="272"/>
      <c r="H56" s="534">
        <v>15320</v>
      </c>
      <c r="I56" s="254"/>
      <c r="J56" s="542">
        <v>17540</v>
      </c>
      <c r="K56" s="559"/>
      <c r="L56" s="555">
        <v>42864</v>
      </c>
      <c r="M56" s="559"/>
      <c r="N56" s="546">
        <v>57765</v>
      </c>
      <c r="O56" s="553"/>
      <c r="P56" s="546">
        <v>25540</v>
      </c>
      <c r="Q56" s="553"/>
      <c r="R56" s="546">
        <v>83385</v>
      </c>
      <c r="S56" s="553"/>
      <c r="T56" s="546">
        <v>18450</v>
      </c>
      <c r="U56" s="553"/>
      <c r="V56" s="546">
        <v>13825</v>
      </c>
      <c r="W56" s="553"/>
      <c r="X56" s="546">
        <v>17745</v>
      </c>
      <c r="Y56" s="553"/>
      <c r="Z56" s="1577"/>
      <c r="AB56" s="1038"/>
      <c r="AC56" s="949">
        <f>AVERAGE(X56,V56,R56,T56,P56)</f>
        <v>31789</v>
      </c>
    </row>
    <row r="57" spans="1:29" s="3" customFormat="1" thickBot="1" x14ac:dyDescent="0.25">
      <c r="B57" s="339" t="s">
        <v>86</v>
      </c>
      <c r="C57" s="37"/>
      <c r="D57" s="211">
        <v>0</v>
      </c>
      <c r="E57" s="37"/>
      <c r="F57" s="324">
        <v>0</v>
      </c>
      <c r="G57" s="274"/>
      <c r="H57" s="485">
        <v>0</v>
      </c>
      <c r="I57" s="260"/>
      <c r="J57" s="455">
        <v>0</v>
      </c>
      <c r="K57" s="274"/>
      <c r="L57" s="455">
        <v>0</v>
      </c>
      <c r="M57" s="274"/>
      <c r="N57" s="485">
        <v>0</v>
      </c>
      <c r="O57" s="260"/>
      <c r="P57" s="485">
        <v>0</v>
      </c>
      <c r="Q57" s="260"/>
      <c r="R57" s="485">
        <v>0</v>
      </c>
      <c r="S57" s="260"/>
      <c r="T57" s="485">
        <v>0</v>
      </c>
      <c r="U57" s="260"/>
      <c r="V57" s="485">
        <v>0</v>
      </c>
      <c r="W57" s="260"/>
      <c r="X57" s="485">
        <v>0</v>
      </c>
      <c r="Y57" s="260"/>
      <c r="Z57" s="1578"/>
      <c r="AB57" s="1015"/>
      <c r="AC57" s="1024">
        <f t="shared" ref="AC57" si="6">AVERAGE(X57,V57,R57,T57,P57)</f>
        <v>0</v>
      </c>
    </row>
    <row r="58" spans="1:29" ht="13.5" thickTop="1" x14ac:dyDescent="0.2">
      <c r="A58" s="3"/>
      <c r="B58" s="96"/>
      <c r="C58" s="97"/>
      <c r="D58" s="98"/>
      <c r="E58" s="97"/>
      <c r="F58" s="34"/>
      <c r="G58" s="157"/>
      <c r="H58" s="135"/>
      <c r="I58" s="157"/>
      <c r="J58" s="135"/>
      <c r="K58" s="157"/>
      <c r="L58" s="135"/>
      <c r="M58" s="157"/>
      <c r="N58" s="135"/>
      <c r="O58" s="157"/>
      <c r="P58" s="135"/>
      <c r="Q58" s="157"/>
      <c r="R58" s="135"/>
      <c r="S58" s="157"/>
      <c r="T58" s="135"/>
      <c r="U58" s="157"/>
      <c r="V58" s="135"/>
      <c r="W58" s="157"/>
      <c r="X58" s="135"/>
      <c r="Y58" s="157"/>
      <c r="Z58" s="135"/>
    </row>
    <row r="59" spans="1:29" x14ac:dyDescent="0.2">
      <c r="A59" s="2" t="s">
        <v>76</v>
      </c>
      <c r="B59" s="96"/>
      <c r="C59" s="97"/>
      <c r="D59" s="98"/>
      <c r="E59" s="97"/>
      <c r="F59" s="34"/>
      <c r="G59" s="157"/>
      <c r="H59" s="135"/>
      <c r="I59" s="157"/>
      <c r="J59" s="135"/>
      <c r="K59" s="157"/>
      <c r="L59" s="135"/>
      <c r="M59" s="157"/>
      <c r="N59" s="135"/>
      <c r="O59" s="157"/>
      <c r="P59" s="135"/>
      <c r="Q59" s="157"/>
      <c r="R59" s="135"/>
      <c r="S59" s="157"/>
      <c r="T59" s="135"/>
      <c r="U59" s="157"/>
      <c r="V59" s="135"/>
      <c r="W59" s="157"/>
      <c r="X59" s="135"/>
      <c r="Y59" s="157"/>
      <c r="Z59" s="135"/>
    </row>
    <row r="60" spans="1:29" ht="13.5" thickBot="1" x14ac:dyDescent="0.25">
      <c r="A60" s="3"/>
      <c r="B60" s="96"/>
      <c r="C60" s="97"/>
      <c r="D60" s="98"/>
      <c r="E60" s="97"/>
      <c r="F60" s="34"/>
      <c r="G60" s="157"/>
      <c r="H60" s="135"/>
      <c r="I60" s="157"/>
      <c r="J60" s="135"/>
      <c r="K60" s="157"/>
      <c r="L60" s="135"/>
      <c r="M60" s="157"/>
      <c r="N60" s="135"/>
      <c r="O60" s="157"/>
      <c r="P60" s="135"/>
      <c r="Q60" s="157"/>
      <c r="R60" s="135"/>
      <c r="S60" s="157"/>
      <c r="T60" s="135"/>
      <c r="U60" s="157"/>
      <c r="V60" s="135"/>
      <c r="W60" s="157"/>
      <c r="X60" s="135"/>
      <c r="Y60" s="157"/>
      <c r="Z60" s="135"/>
    </row>
    <row r="61" spans="1:29" s="3" customFormat="1" ht="14.25" customHeight="1" thickTop="1" thickBot="1" x14ac:dyDescent="0.25">
      <c r="B61" s="340"/>
      <c r="C61" s="2013" t="s">
        <v>49</v>
      </c>
      <c r="D61" s="2014"/>
      <c r="E61" s="2015" t="s">
        <v>50</v>
      </c>
      <c r="F61" s="2015"/>
      <c r="G61" s="2002" t="s">
        <v>141</v>
      </c>
      <c r="H61" s="1982"/>
      <c r="I61" s="2002" t="s">
        <v>152</v>
      </c>
      <c r="J61" s="1974"/>
      <c r="K61" s="2002" t="s">
        <v>154</v>
      </c>
      <c r="L61" s="1974"/>
      <c r="M61" s="2002" t="s">
        <v>171</v>
      </c>
      <c r="N61" s="1982"/>
      <c r="O61" s="1974" t="s">
        <v>227</v>
      </c>
      <c r="P61" s="1982"/>
      <c r="Q61" s="1974" t="s">
        <v>237</v>
      </c>
      <c r="R61" s="1982"/>
      <c r="S61" s="1974" t="s">
        <v>272</v>
      </c>
      <c r="T61" s="1982"/>
      <c r="U61" s="1974" t="s">
        <v>274</v>
      </c>
      <c r="V61" s="1982"/>
      <c r="W61" s="1974" t="s">
        <v>280</v>
      </c>
      <c r="X61" s="1982"/>
      <c r="Y61" s="1974" t="s">
        <v>290</v>
      </c>
      <c r="Z61" s="1975"/>
      <c r="AB61" s="2003" t="s">
        <v>213</v>
      </c>
      <c r="AC61" s="2004"/>
    </row>
    <row r="62" spans="1:29" s="3" customFormat="1" ht="12" x14ac:dyDescent="0.2">
      <c r="B62" s="73" t="s">
        <v>53</v>
      </c>
      <c r="C62" s="54"/>
      <c r="D62" s="92"/>
      <c r="E62" s="30"/>
      <c r="F62" s="30"/>
      <c r="G62" s="243"/>
      <c r="H62" s="244"/>
      <c r="I62" s="138"/>
      <c r="J62" s="138"/>
      <c r="K62" s="243"/>
      <c r="L62" s="138"/>
      <c r="M62" s="243"/>
      <c r="N62" s="244"/>
      <c r="O62" s="138"/>
      <c r="P62" s="244"/>
      <c r="Q62" s="138"/>
      <c r="R62" s="244"/>
      <c r="S62" s="138"/>
      <c r="T62" s="244"/>
      <c r="U62" s="138"/>
      <c r="V62" s="244"/>
      <c r="W62" s="138"/>
      <c r="X62" s="244"/>
      <c r="Y62" s="138"/>
      <c r="Z62" s="140"/>
      <c r="AB62" s="831"/>
      <c r="AC62" s="930"/>
    </row>
    <row r="63" spans="1:29" s="3" customFormat="1" ht="12" x14ac:dyDescent="0.2">
      <c r="B63" s="74" t="s">
        <v>54</v>
      </c>
      <c r="C63" s="184"/>
      <c r="D63" s="165"/>
      <c r="E63" s="31"/>
      <c r="F63" s="171"/>
      <c r="G63" s="239"/>
      <c r="H63" s="261"/>
      <c r="I63" s="139"/>
      <c r="J63" s="183"/>
      <c r="K63" s="239"/>
      <c r="L63" s="183"/>
      <c r="M63" s="239"/>
      <c r="N63" s="261"/>
      <c r="O63" s="139"/>
      <c r="P63" s="261"/>
      <c r="Q63" s="139"/>
      <c r="R63" s="261"/>
      <c r="S63" s="139"/>
      <c r="T63" s="261"/>
      <c r="U63" s="139"/>
      <c r="V63" s="261"/>
      <c r="W63" s="139"/>
      <c r="X63" s="261"/>
      <c r="Y63" s="139"/>
      <c r="Z63" s="142"/>
      <c r="AB63" s="24"/>
      <c r="AC63" s="1130"/>
    </row>
    <row r="64" spans="1:29" s="3" customFormat="1" ht="12" x14ac:dyDescent="0.2">
      <c r="B64" s="75" t="s">
        <v>55</v>
      </c>
      <c r="C64" s="184"/>
      <c r="D64" s="165">
        <f>8+2</f>
        <v>10</v>
      </c>
      <c r="E64" s="31"/>
      <c r="F64" s="171">
        <v>10</v>
      </c>
      <c r="G64" s="239"/>
      <c r="H64" s="261">
        <v>9</v>
      </c>
      <c r="I64" s="139"/>
      <c r="J64" s="183">
        <v>8</v>
      </c>
      <c r="K64" s="239"/>
      <c r="L64" s="183">
        <v>10</v>
      </c>
      <c r="M64" s="239"/>
      <c r="N64" s="261">
        <v>10</v>
      </c>
      <c r="O64" s="139"/>
      <c r="P64" s="261">
        <v>9</v>
      </c>
      <c r="Q64" s="139"/>
      <c r="R64" s="261">
        <v>9</v>
      </c>
      <c r="S64" s="139"/>
      <c r="T64" s="261">
        <v>9</v>
      </c>
      <c r="U64" s="139"/>
      <c r="V64" s="261">
        <v>9</v>
      </c>
      <c r="W64" s="139"/>
      <c r="X64" s="261">
        <v>13</v>
      </c>
      <c r="Y64" s="139"/>
      <c r="Z64" s="142">
        <v>11</v>
      </c>
      <c r="AB64" s="12"/>
      <c r="AC64" s="1113">
        <f>AVERAGE(X64,V64,R64,T64,P64)</f>
        <v>9.8000000000000007</v>
      </c>
    </row>
    <row r="65" spans="2:29" s="3" customFormat="1" ht="12" x14ac:dyDescent="0.2">
      <c r="B65" s="75" t="s">
        <v>181</v>
      </c>
      <c r="C65" s="184"/>
      <c r="D65" s="165">
        <v>1</v>
      </c>
      <c r="E65" s="31"/>
      <c r="F65" s="171">
        <v>2</v>
      </c>
      <c r="G65" s="239"/>
      <c r="H65" s="261">
        <v>2</v>
      </c>
      <c r="I65" s="139"/>
      <c r="J65" s="183">
        <v>2</v>
      </c>
      <c r="K65" s="239"/>
      <c r="L65" s="183">
        <v>1</v>
      </c>
      <c r="M65" s="239"/>
      <c r="N65" s="261">
        <v>2</v>
      </c>
      <c r="O65" s="139"/>
      <c r="P65" s="261">
        <v>0</v>
      </c>
      <c r="Q65" s="139"/>
      <c r="R65" s="261">
        <v>1</v>
      </c>
      <c r="S65" s="139"/>
      <c r="T65" s="261">
        <v>2</v>
      </c>
      <c r="U65" s="139"/>
      <c r="V65" s="261">
        <v>4</v>
      </c>
      <c r="W65" s="139"/>
      <c r="X65" s="261">
        <v>1</v>
      </c>
      <c r="Y65" s="139"/>
      <c r="Z65" s="142">
        <v>1</v>
      </c>
      <c r="AB65" s="12"/>
      <c r="AC65" s="1113">
        <f t="shared" ref="AC65:AC69" si="7">AVERAGE(X65,V65,R65,T65,P65)</f>
        <v>1.6</v>
      </c>
    </row>
    <row r="66" spans="2:29" s="3" customFormat="1" ht="12" x14ac:dyDescent="0.2">
      <c r="B66" s="74" t="s">
        <v>57</v>
      </c>
      <c r="C66" s="184"/>
      <c r="D66" s="94"/>
      <c r="E66" s="31"/>
      <c r="F66" s="39"/>
      <c r="G66" s="239"/>
      <c r="H66" s="240" t="s">
        <v>29</v>
      </c>
      <c r="I66" s="139"/>
      <c r="J66" s="241"/>
      <c r="K66" s="239"/>
      <c r="L66" s="241"/>
      <c r="M66" s="239"/>
      <c r="N66" s="240"/>
      <c r="O66" s="139"/>
      <c r="P66" s="240"/>
      <c r="Q66" s="139"/>
      <c r="R66" s="240"/>
      <c r="S66" s="139"/>
      <c r="T66" s="240"/>
      <c r="U66" s="139"/>
      <c r="V66" s="240"/>
      <c r="W66" s="139"/>
      <c r="X66" s="240"/>
      <c r="Y66" s="139"/>
      <c r="Z66" s="143"/>
      <c r="AB66" s="12"/>
      <c r="AC66" s="1113"/>
    </row>
    <row r="67" spans="2:29" s="3" customFormat="1" ht="12" x14ac:dyDescent="0.2">
      <c r="B67" s="75" t="s">
        <v>55</v>
      </c>
      <c r="C67" s="184"/>
      <c r="D67" s="94">
        <v>1</v>
      </c>
      <c r="E67" s="31"/>
      <c r="F67" s="39">
        <v>1</v>
      </c>
      <c r="G67" s="239"/>
      <c r="H67" s="240">
        <v>1</v>
      </c>
      <c r="I67" s="139"/>
      <c r="J67" s="241">
        <v>1</v>
      </c>
      <c r="K67" s="239"/>
      <c r="L67" s="241">
        <v>1</v>
      </c>
      <c r="M67" s="239"/>
      <c r="N67" s="240">
        <v>1</v>
      </c>
      <c r="O67" s="139"/>
      <c r="P67" s="240">
        <v>3</v>
      </c>
      <c r="Q67" s="139"/>
      <c r="R67" s="240">
        <v>2</v>
      </c>
      <c r="S67" s="139"/>
      <c r="T67" s="240">
        <v>2</v>
      </c>
      <c r="U67" s="139"/>
      <c r="V67" s="240">
        <v>4</v>
      </c>
      <c r="W67" s="139"/>
      <c r="X67" s="240">
        <v>3</v>
      </c>
      <c r="Y67" s="139"/>
      <c r="Z67" s="143">
        <v>3</v>
      </c>
      <c r="AB67" s="12"/>
      <c r="AC67" s="1113">
        <f t="shared" si="7"/>
        <v>2.8</v>
      </c>
    </row>
    <row r="68" spans="2:29" s="3" customFormat="1" ht="12" x14ac:dyDescent="0.2">
      <c r="B68" s="341" t="s">
        <v>181</v>
      </c>
      <c r="C68" s="184"/>
      <c r="D68" s="94">
        <v>1</v>
      </c>
      <c r="E68" s="31"/>
      <c r="F68" s="39">
        <v>0</v>
      </c>
      <c r="G68" s="239"/>
      <c r="H68" s="240">
        <v>1</v>
      </c>
      <c r="I68" s="139"/>
      <c r="J68" s="241">
        <v>2</v>
      </c>
      <c r="K68" s="239"/>
      <c r="L68" s="241">
        <v>0</v>
      </c>
      <c r="M68" s="239"/>
      <c r="N68" s="240">
        <v>1</v>
      </c>
      <c r="O68" s="139"/>
      <c r="P68" s="240">
        <v>1</v>
      </c>
      <c r="Q68" s="139"/>
      <c r="R68" s="240">
        <v>2</v>
      </c>
      <c r="S68" s="139"/>
      <c r="T68" s="240">
        <v>2</v>
      </c>
      <c r="U68" s="139"/>
      <c r="V68" s="240">
        <v>2</v>
      </c>
      <c r="W68" s="139"/>
      <c r="X68" s="240">
        <v>0</v>
      </c>
      <c r="Y68" s="139"/>
      <c r="Z68" s="143">
        <v>0</v>
      </c>
      <c r="AB68" s="12"/>
      <c r="AC68" s="1113">
        <f t="shared" si="7"/>
        <v>1.4</v>
      </c>
    </row>
    <row r="69" spans="2:29" s="3" customFormat="1" thickBot="1" x14ac:dyDescent="0.25">
      <c r="B69" s="79" t="s">
        <v>13</v>
      </c>
      <c r="C69" s="233"/>
      <c r="D69" s="234">
        <f>SUM(D64:D68)</f>
        <v>13</v>
      </c>
      <c r="E69" s="107"/>
      <c r="F69" s="106">
        <f>SUM(F64:F68)</f>
        <v>13</v>
      </c>
      <c r="G69" s="297"/>
      <c r="H69" s="427">
        <v>13</v>
      </c>
      <c r="I69" s="426"/>
      <c r="J69" s="454">
        <f>SUM(J64:J68)</f>
        <v>13</v>
      </c>
      <c r="K69" s="297"/>
      <c r="L69" s="454">
        <f>SUM(L64:L68)</f>
        <v>12</v>
      </c>
      <c r="M69" s="297"/>
      <c r="N69" s="427">
        <f>SUM(N64:N68)</f>
        <v>14</v>
      </c>
      <c r="O69" s="426"/>
      <c r="P69" s="427">
        <f>SUM(P64:P68)</f>
        <v>13</v>
      </c>
      <c r="Q69" s="426"/>
      <c r="R69" s="427">
        <f>SUM(R64:R68)</f>
        <v>14</v>
      </c>
      <c r="S69" s="426"/>
      <c r="T69" s="427">
        <f>SUM(T64:T68)</f>
        <v>15</v>
      </c>
      <c r="U69" s="426"/>
      <c r="V69" s="427">
        <f>SUM(V64:V68)</f>
        <v>19</v>
      </c>
      <c r="W69" s="426"/>
      <c r="X69" s="427">
        <f>SUM(X64:X68)</f>
        <v>17</v>
      </c>
      <c r="Y69" s="426"/>
      <c r="Z69" s="374">
        <f>SUM(Z64:Z68)</f>
        <v>15</v>
      </c>
      <c r="AB69" s="831"/>
      <c r="AC69" s="1114">
        <f t="shared" si="7"/>
        <v>15.6</v>
      </c>
    </row>
    <row r="70" spans="2:29" s="3" customFormat="1" thickTop="1" x14ac:dyDescent="0.2">
      <c r="B70" s="342" t="s">
        <v>135</v>
      </c>
      <c r="C70" s="392"/>
      <c r="D70" s="393"/>
      <c r="E70" s="43" t="s">
        <v>133</v>
      </c>
      <c r="F70" s="41" t="s">
        <v>134</v>
      </c>
      <c r="G70" s="317" t="s">
        <v>133</v>
      </c>
      <c r="H70" s="412" t="s">
        <v>134</v>
      </c>
      <c r="I70" s="411" t="s">
        <v>133</v>
      </c>
      <c r="J70" s="449" t="s">
        <v>134</v>
      </c>
      <c r="K70" s="317" t="s">
        <v>133</v>
      </c>
      <c r="L70" s="449" t="s">
        <v>134</v>
      </c>
      <c r="M70" s="317" t="s">
        <v>133</v>
      </c>
      <c r="N70" s="441" t="s">
        <v>134</v>
      </c>
      <c r="O70" s="411" t="s">
        <v>133</v>
      </c>
      <c r="P70" s="412" t="s">
        <v>134</v>
      </c>
      <c r="Q70" s="411" t="s">
        <v>133</v>
      </c>
      <c r="R70" s="412" t="s">
        <v>134</v>
      </c>
      <c r="S70" s="411" t="s">
        <v>133</v>
      </c>
      <c r="T70" s="412" t="s">
        <v>134</v>
      </c>
      <c r="U70" s="411" t="s">
        <v>133</v>
      </c>
      <c r="V70" s="412" t="s">
        <v>134</v>
      </c>
      <c r="W70" s="411" t="s">
        <v>133</v>
      </c>
      <c r="X70" s="412" t="s">
        <v>134</v>
      </c>
      <c r="Y70" s="411" t="s">
        <v>133</v>
      </c>
      <c r="Z70" s="289" t="s">
        <v>134</v>
      </c>
      <c r="AB70" s="952" t="s">
        <v>133</v>
      </c>
      <c r="AC70" s="862" t="s">
        <v>134</v>
      </c>
    </row>
    <row r="71" spans="2:29" s="3" customFormat="1" ht="12" x14ac:dyDescent="0.2">
      <c r="B71" s="75" t="s">
        <v>87</v>
      </c>
      <c r="C71" s="319">
        <v>11</v>
      </c>
      <c r="D71" s="216">
        <f>C71/D$69</f>
        <v>0.84615384615384615</v>
      </c>
      <c r="E71" s="173">
        <v>11</v>
      </c>
      <c r="F71" s="221">
        <f t="shared" ref="F71:F78" si="8">E71/F$69</f>
        <v>0.84615384615384615</v>
      </c>
      <c r="G71" s="400">
        <v>10</v>
      </c>
      <c r="H71" s="216">
        <f t="shared" ref="H71:J78" si="9">G71/H$69</f>
        <v>0.76923076923076927</v>
      </c>
      <c r="I71" s="173">
        <v>9</v>
      </c>
      <c r="J71" s="221">
        <f t="shared" si="9"/>
        <v>0.69230769230769229</v>
      </c>
      <c r="K71" s="215">
        <f>6+1+2</f>
        <v>9</v>
      </c>
      <c r="L71" s="221">
        <f t="shared" ref="L71:N78" si="10">K71/L$69</f>
        <v>0.75</v>
      </c>
      <c r="M71" s="215">
        <f>7+3</f>
        <v>10</v>
      </c>
      <c r="N71" s="216">
        <f t="shared" si="10"/>
        <v>0.7142857142857143</v>
      </c>
      <c r="O71" s="173">
        <v>8</v>
      </c>
      <c r="P71" s="216">
        <f t="shared" ref="P71:R78" si="11">O71/P$69</f>
        <v>0.61538461538461542</v>
      </c>
      <c r="Q71" s="173">
        <v>9</v>
      </c>
      <c r="R71" s="216">
        <f t="shared" si="11"/>
        <v>0.6428571428571429</v>
      </c>
      <c r="S71" s="173">
        <f>5+4</f>
        <v>9</v>
      </c>
      <c r="T71" s="216">
        <f t="shared" ref="T71:T78" si="12">S71/T$69</f>
        <v>0.6</v>
      </c>
      <c r="U71" s="173">
        <v>12</v>
      </c>
      <c r="V71" s="216">
        <f t="shared" ref="V71:V78" si="13">U71/V$69</f>
        <v>0.63157894736842102</v>
      </c>
      <c r="W71" s="173">
        <f>1+9</f>
        <v>10</v>
      </c>
      <c r="X71" s="216">
        <f t="shared" ref="X71:Z78" si="14">W71/X$69</f>
        <v>0.58823529411764708</v>
      </c>
      <c r="Y71" s="173">
        <v>8</v>
      </c>
      <c r="Z71" s="1494">
        <f t="shared" si="14"/>
        <v>0.53333333333333333</v>
      </c>
      <c r="AA71" s="955"/>
      <c r="AB71" s="1016">
        <f t="shared" ref="AB71:AB90" si="15">AVERAGE(W71,U71,Q71,S71,O71)</f>
        <v>9.6</v>
      </c>
      <c r="AC71" s="863">
        <f t="shared" ref="AC71:AC90" si="16">AVERAGE(X71,V71,R71,T71,P71)</f>
        <v>0.61561119994556524</v>
      </c>
    </row>
    <row r="72" spans="2:29" s="3" customFormat="1" ht="12" x14ac:dyDescent="0.2">
      <c r="B72" s="85" t="s">
        <v>88</v>
      </c>
      <c r="C72" s="319">
        <v>0</v>
      </c>
      <c r="D72" s="216">
        <f t="shared" ref="D72:D90" si="17">C72/$D$69</f>
        <v>0</v>
      </c>
      <c r="E72" s="173">
        <v>0</v>
      </c>
      <c r="F72" s="221">
        <f t="shared" si="8"/>
        <v>0</v>
      </c>
      <c r="G72" s="215">
        <v>0</v>
      </c>
      <c r="H72" s="216">
        <f t="shared" si="9"/>
        <v>0</v>
      </c>
      <c r="I72" s="173">
        <v>0</v>
      </c>
      <c r="J72" s="221">
        <f t="shared" si="9"/>
        <v>0</v>
      </c>
      <c r="K72" s="215">
        <v>0</v>
      </c>
      <c r="L72" s="221">
        <f t="shared" si="10"/>
        <v>0</v>
      </c>
      <c r="M72" s="215">
        <v>0</v>
      </c>
      <c r="N72" s="216">
        <f t="shared" si="10"/>
        <v>0</v>
      </c>
      <c r="O72" s="173">
        <v>0</v>
      </c>
      <c r="P72" s="216">
        <f t="shared" si="11"/>
        <v>0</v>
      </c>
      <c r="Q72" s="173">
        <v>0</v>
      </c>
      <c r="R72" s="216">
        <f t="shared" si="11"/>
        <v>0</v>
      </c>
      <c r="S72" s="173">
        <f>0</f>
        <v>0</v>
      </c>
      <c r="T72" s="216">
        <f t="shared" si="12"/>
        <v>0</v>
      </c>
      <c r="U72" s="173">
        <v>0</v>
      </c>
      <c r="V72" s="216">
        <f t="shared" si="13"/>
        <v>0</v>
      </c>
      <c r="W72" s="173">
        <v>0</v>
      </c>
      <c r="X72" s="216">
        <f t="shared" si="14"/>
        <v>0</v>
      </c>
      <c r="Y72" s="173">
        <v>0</v>
      </c>
      <c r="Z72" s="1494">
        <f t="shared" si="14"/>
        <v>0</v>
      </c>
      <c r="AA72" s="955"/>
      <c r="AB72" s="1016">
        <f t="shared" si="15"/>
        <v>0</v>
      </c>
      <c r="AC72" s="863">
        <f t="shared" si="16"/>
        <v>0</v>
      </c>
    </row>
    <row r="73" spans="2:29" s="3" customFormat="1" ht="12" x14ac:dyDescent="0.2">
      <c r="B73" s="85" t="s">
        <v>89</v>
      </c>
      <c r="C73" s="319">
        <v>0</v>
      </c>
      <c r="D73" s="216">
        <f t="shared" si="17"/>
        <v>0</v>
      </c>
      <c r="E73" s="173">
        <v>0</v>
      </c>
      <c r="F73" s="221">
        <f t="shared" si="8"/>
        <v>0</v>
      </c>
      <c r="G73" s="215">
        <v>0</v>
      </c>
      <c r="H73" s="216">
        <f t="shared" si="9"/>
        <v>0</v>
      </c>
      <c r="I73" s="173">
        <v>1</v>
      </c>
      <c r="J73" s="221">
        <f t="shared" si="9"/>
        <v>7.6923076923076927E-2</v>
      </c>
      <c r="K73" s="215">
        <v>0</v>
      </c>
      <c r="L73" s="221">
        <f t="shared" si="10"/>
        <v>0</v>
      </c>
      <c r="M73" s="215">
        <v>0</v>
      </c>
      <c r="N73" s="216">
        <f t="shared" si="10"/>
        <v>0</v>
      </c>
      <c r="O73" s="173">
        <v>0</v>
      </c>
      <c r="P73" s="216">
        <f t="shared" si="11"/>
        <v>0</v>
      </c>
      <c r="Q73" s="173">
        <v>0</v>
      </c>
      <c r="R73" s="216">
        <f t="shared" si="11"/>
        <v>0</v>
      </c>
      <c r="S73" s="173">
        <f>0</f>
        <v>0</v>
      </c>
      <c r="T73" s="216">
        <f t="shared" si="12"/>
        <v>0</v>
      </c>
      <c r="U73" s="173">
        <v>1</v>
      </c>
      <c r="V73" s="216">
        <f t="shared" si="13"/>
        <v>5.2631578947368418E-2</v>
      </c>
      <c r="W73" s="173">
        <v>1</v>
      </c>
      <c r="X73" s="216">
        <f t="shared" si="14"/>
        <v>5.8823529411764705E-2</v>
      </c>
      <c r="Y73" s="173">
        <v>1</v>
      </c>
      <c r="Z73" s="1494">
        <f t="shared" si="14"/>
        <v>6.6666666666666666E-2</v>
      </c>
      <c r="AA73" s="955"/>
      <c r="AB73" s="1016">
        <f t="shared" si="15"/>
        <v>0.4</v>
      </c>
      <c r="AC73" s="863">
        <f t="shared" si="16"/>
        <v>2.2291021671826623E-2</v>
      </c>
    </row>
    <row r="74" spans="2:29" s="3" customFormat="1" ht="12" x14ac:dyDescent="0.2">
      <c r="B74" s="85" t="s">
        <v>90</v>
      </c>
      <c r="C74" s="319">
        <v>0</v>
      </c>
      <c r="D74" s="216">
        <f t="shared" si="17"/>
        <v>0</v>
      </c>
      <c r="E74" s="173">
        <v>0</v>
      </c>
      <c r="F74" s="221">
        <f t="shared" si="8"/>
        <v>0</v>
      </c>
      <c r="G74" s="215">
        <v>0</v>
      </c>
      <c r="H74" s="216">
        <f t="shared" si="9"/>
        <v>0</v>
      </c>
      <c r="I74" s="173">
        <v>0</v>
      </c>
      <c r="J74" s="221">
        <f t="shared" si="9"/>
        <v>0</v>
      </c>
      <c r="K74" s="215">
        <v>0</v>
      </c>
      <c r="L74" s="221">
        <f t="shared" si="10"/>
        <v>0</v>
      </c>
      <c r="M74" s="215">
        <v>0</v>
      </c>
      <c r="N74" s="216">
        <f t="shared" si="10"/>
        <v>0</v>
      </c>
      <c r="O74" s="173">
        <v>0</v>
      </c>
      <c r="P74" s="216">
        <f t="shared" si="11"/>
        <v>0</v>
      </c>
      <c r="Q74" s="173">
        <v>0</v>
      </c>
      <c r="R74" s="216">
        <f t="shared" si="11"/>
        <v>0</v>
      </c>
      <c r="S74" s="173">
        <f>0</f>
        <v>0</v>
      </c>
      <c r="T74" s="216">
        <f t="shared" si="12"/>
        <v>0</v>
      </c>
      <c r="U74" s="173">
        <v>0</v>
      </c>
      <c r="V74" s="216">
        <f t="shared" si="13"/>
        <v>0</v>
      </c>
      <c r="W74" s="173">
        <v>0</v>
      </c>
      <c r="X74" s="216">
        <f t="shared" si="14"/>
        <v>0</v>
      </c>
      <c r="Y74" s="173">
        <v>0</v>
      </c>
      <c r="Z74" s="1494">
        <f t="shared" si="14"/>
        <v>0</v>
      </c>
      <c r="AA74" s="955"/>
      <c r="AB74" s="1016">
        <f t="shared" si="15"/>
        <v>0</v>
      </c>
      <c r="AC74" s="863">
        <f t="shared" si="16"/>
        <v>0</v>
      </c>
    </row>
    <row r="75" spans="2:29" s="3" customFormat="1" ht="12" x14ac:dyDescent="0.2">
      <c r="B75" s="85" t="s">
        <v>91</v>
      </c>
      <c r="C75" s="319">
        <v>1</v>
      </c>
      <c r="D75" s="216">
        <f t="shared" si="17"/>
        <v>7.6923076923076927E-2</v>
      </c>
      <c r="E75" s="173">
        <v>1</v>
      </c>
      <c r="F75" s="221">
        <f t="shared" si="8"/>
        <v>7.6923076923076927E-2</v>
      </c>
      <c r="G75" s="215">
        <v>1</v>
      </c>
      <c r="H75" s="216">
        <f t="shared" si="9"/>
        <v>7.6923076923076927E-2</v>
      </c>
      <c r="I75" s="173">
        <v>1</v>
      </c>
      <c r="J75" s="221">
        <f t="shared" si="9"/>
        <v>7.6923076923076927E-2</v>
      </c>
      <c r="K75" s="215">
        <v>1</v>
      </c>
      <c r="L75" s="221">
        <f t="shared" si="10"/>
        <v>8.3333333333333329E-2</v>
      </c>
      <c r="M75" s="215">
        <v>2</v>
      </c>
      <c r="N75" s="216">
        <f t="shared" si="10"/>
        <v>0.14285714285714285</v>
      </c>
      <c r="O75" s="173">
        <v>2</v>
      </c>
      <c r="P75" s="216">
        <f t="shared" si="11"/>
        <v>0.15384615384615385</v>
      </c>
      <c r="Q75" s="173">
        <v>1</v>
      </c>
      <c r="R75" s="216">
        <f t="shared" si="11"/>
        <v>7.1428571428571425E-2</v>
      </c>
      <c r="S75" s="173">
        <f>0</f>
        <v>0</v>
      </c>
      <c r="T75" s="216">
        <f t="shared" si="12"/>
        <v>0</v>
      </c>
      <c r="U75" s="173">
        <v>2</v>
      </c>
      <c r="V75" s="216">
        <f t="shared" si="13"/>
        <v>0.10526315789473684</v>
      </c>
      <c r="W75" s="173">
        <v>2</v>
      </c>
      <c r="X75" s="216">
        <f t="shared" si="14"/>
        <v>0.11764705882352941</v>
      </c>
      <c r="Y75" s="173">
        <v>2</v>
      </c>
      <c r="Z75" s="1494">
        <f t="shared" si="14"/>
        <v>0.13333333333333333</v>
      </c>
      <c r="AA75" s="955"/>
      <c r="AB75" s="1016">
        <f t="shared" si="15"/>
        <v>1.4</v>
      </c>
      <c r="AC75" s="863">
        <f t="shared" si="16"/>
        <v>8.9636988398598308E-2</v>
      </c>
    </row>
    <row r="76" spans="2:29" s="3" customFormat="1" ht="12" x14ac:dyDescent="0.2">
      <c r="B76" s="85" t="s">
        <v>92</v>
      </c>
      <c r="C76" s="319">
        <v>0</v>
      </c>
      <c r="D76" s="216">
        <f t="shared" si="17"/>
        <v>0</v>
      </c>
      <c r="E76" s="173">
        <v>1</v>
      </c>
      <c r="F76" s="221">
        <f t="shared" si="8"/>
        <v>7.6923076923076927E-2</v>
      </c>
      <c r="G76" s="215">
        <v>2</v>
      </c>
      <c r="H76" s="216">
        <f t="shared" si="9"/>
        <v>0.15384615384615385</v>
      </c>
      <c r="I76" s="173">
        <v>2</v>
      </c>
      <c r="J76" s="221">
        <f t="shared" si="9"/>
        <v>0.15384615384615385</v>
      </c>
      <c r="K76" s="215">
        <v>3</v>
      </c>
      <c r="L76" s="221">
        <f t="shared" si="10"/>
        <v>0.25</v>
      </c>
      <c r="M76" s="215">
        <v>2</v>
      </c>
      <c r="N76" s="216">
        <f t="shared" si="10"/>
        <v>0.14285714285714285</v>
      </c>
      <c r="O76" s="173">
        <v>3</v>
      </c>
      <c r="P76" s="216">
        <f t="shared" si="11"/>
        <v>0.23076923076923078</v>
      </c>
      <c r="Q76" s="173">
        <v>4</v>
      </c>
      <c r="R76" s="216">
        <f t="shared" si="11"/>
        <v>0.2857142857142857</v>
      </c>
      <c r="S76" s="173">
        <f>6</f>
        <v>6</v>
      </c>
      <c r="T76" s="216">
        <f t="shared" si="12"/>
        <v>0.4</v>
      </c>
      <c r="U76" s="173">
        <v>4</v>
      </c>
      <c r="V76" s="216">
        <f t="shared" si="13"/>
        <v>0.21052631578947367</v>
      </c>
      <c r="W76" s="173">
        <v>4</v>
      </c>
      <c r="X76" s="216">
        <f t="shared" si="14"/>
        <v>0.23529411764705882</v>
      </c>
      <c r="Y76" s="173">
        <v>4</v>
      </c>
      <c r="Z76" s="1494">
        <f t="shared" si="14"/>
        <v>0.26666666666666666</v>
      </c>
      <c r="AB76" s="1016">
        <f t="shared" si="15"/>
        <v>4.2</v>
      </c>
      <c r="AC76" s="863">
        <f t="shared" si="16"/>
        <v>0.2724607899840098</v>
      </c>
    </row>
    <row r="77" spans="2:29" s="3" customFormat="1" ht="12" x14ac:dyDescent="0.2">
      <c r="B77" s="85" t="s">
        <v>256</v>
      </c>
      <c r="C77" s="346"/>
      <c r="D77" s="216"/>
      <c r="E77" s="174"/>
      <c r="F77" s="221"/>
      <c r="G77" s="1510"/>
      <c r="H77" s="1511"/>
      <c r="I77" s="1512"/>
      <c r="J77" s="1513"/>
      <c r="K77" s="1510"/>
      <c r="L77" s="1513"/>
      <c r="M77" s="1510"/>
      <c r="N77" s="1511"/>
      <c r="O77" s="1512"/>
      <c r="P77" s="1511"/>
      <c r="Q77" s="174">
        <v>0</v>
      </c>
      <c r="R77" s="216">
        <f t="shared" si="11"/>
        <v>0</v>
      </c>
      <c r="S77" s="174">
        <f>0</f>
        <v>0</v>
      </c>
      <c r="T77" s="216">
        <f t="shared" si="12"/>
        <v>0</v>
      </c>
      <c r="U77" s="174">
        <v>0</v>
      </c>
      <c r="V77" s="216">
        <f t="shared" si="13"/>
        <v>0</v>
      </c>
      <c r="W77" s="174">
        <v>0</v>
      </c>
      <c r="X77" s="216">
        <f t="shared" si="14"/>
        <v>0</v>
      </c>
      <c r="Y77" s="174">
        <v>0</v>
      </c>
      <c r="Z77" s="1494">
        <f t="shared" si="14"/>
        <v>0</v>
      </c>
      <c r="AB77" s="1016">
        <f t="shared" si="15"/>
        <v>0</v>
      </c>
      <c r="AC77" s="863">
        <f t="shared" si="16"/>
        <v>0</v>
      </c>
    </row>
    <row r="78" spans="2:29" s="3" customFormat="1" ht="12" x14ac:dyDescent="0.2">
      <c r="B78" s="85" t="s">
        <v>93</v>
      </c>
      <c r="C78" s="346">
        <v>1</v>
      </c>
      <c r="D78" s="216">
        <f t="shared" si="17"/>
        <v>7.6923076923076927E-2</v>
      </c>
      <c r="E78" s="174">
        <v>0</v>
      </c>
      <c r="F78" s="221">
        <f t="shared" si="8"/>
        <v>0</v>
      </c>
      <c r="G78" s="217">
        <v>0</v>
      </c>
      <c r="H78" s="216">
        <f t="shared" si="9"/>
        <v>0</v>
      </c>
      <c r="I78" s="174">
        <v>0</v>
      </c>
      <c r="J78" s="221">
        <f t="shared" si="9"/>
        <v>0</v>
      </c>
      <c r="K78" s="217">
        <v>0</v>
      </c>
      <c r="L78" s="221">
        <f t="shared" si="10"/>
        <v>0</v>
      </c>
      <c r="M78" s="217">
        <v>0</v>
      </c>
      <c r="N78" s="216">
        <f t="shared" si="10"/>
        <v>0</v>
      </c>
      <c r="O78" s="174">
        <v>0</v>
      </c>
      <c r="P78" s="216">
        <f t="shared" si="11"/>
        <v>0</v>
      </c>
      <c r="Q78" s="174">
        <v>0</v>
      </c>
      <c r="R78" s="216">
        <f t="shared" si="11"/>
        <v>0</v>
      </c>
      <c r="S78" s="174">
        <f>0</f>
        <v>0</v>
      </c>
      <c r="T78" s="216">
        <f t="shared" si="12"/>
        <v>0</v>
      </c>
      <c r="U78" s="174">
        <v>0</v>
      </c>
      <c r="V78" s="216">
        <f t="shared" si="13"/>
        <v>0</v>
      </c>
      <c r="W78" s="174">
        <v>0</v>
      </c>
      <c r="X78" s="216">
        <f t="shared" si="14"/>
        <v>0</v>
      </c>
      <c r="Y78" s="174">
        <v>0</v>
      </c>
      <c r="Z78" s="1494">
        <f t="shared" si="14"/>
        <v>0</v>
      </c>
      <c r="AB78" s="1016">
        <f t="shared" si="15"/>
        <v>0</v>
      </c>
      <c r="AC78" s="863">
        <f t="shared" si="16"/>
        <v>0</v>
      </c>
    </row>
    <row r="79" spans="2:29" s="3" customFormat="1" ht="12" x14ac:dyDescent="0.2">
      <c r="B79" s="343" t="s">
        <v>136</v>
      </c>
      <c r="C79" s="218"/>
      <c r="D79" s="216"/>
      <c r="E79" s="226"/>
      <c r="F79" s="310"/>
      <c r="G79" s="326"/>
      <c r="H79" s="394"/>
      <c r="I79" s="226"/>
      <c r="J79" s="310"/>
      <c r="K79" s="326"/>
      <c r="L79" s="310"/>
      <c r="M79" s="326"/>
      <c r="N79" s="394"/>
      <c r="O79" s="226"/>
      <c r="P79" s="394"/>
      <c r="Q79" s="226"/>
      <c r="R79" s="394"/>
      <c r="S79" s="226"/>
      <c r="T79" s="394"/>
      <c r="U79" s="226"/>
      <c r="V79" s="394"/>
      <c r="W79" s="226"/>
      <c r="X79" s="394"/>
      <c r="Y79" s="226"/>
      <c r="Z79" s="1500"/>
      <c r="AB79" s="1016"/>
      <c r="AC79" s="863"/>
    </row>
    <row r="80" spans="2:29" s="3" customFormat="1" ht="12" x14ac:dyDescent="0.2">
      <c r="B80" s="75" t="s">
        <v>124</v>
      </c>
      <c r="C80" s="230">
        <v>12</v>
      </c>
      <c r="D80" s="216">
        <f t="shared" si="17"/>
        <v>0.92307692307692313</v>
      </c>
      <c r="E80" s="171">
        <v>11</v>
      </c>
      <c r="F80" s="311">
        <f>E80/F$69</f>
        <v>0.84615384615384615</v>
      </c>
      <c r="G80" s="229">
        <v>11</v>
      </c>
      <c r="H80" s="395">
        <f>G80/H$69</f>
        <v>0.84615384615384615</v>
      </c>
      <c r="I80" s="183">
        <v>9</v>
      </c>
      <c r="J80" s="221">
        <f>I80/J$69</f>
        <v>0.69230769230769229</v>
      </c>
      <c r="K80" s="229">
        <v>8</v>
      </c>
      <c r="L80" s="221">
        <f>K80/L$69</f>
        <v>0.66666666666666663</v>
      </c>
      <c r="M80" s="229">
        <f>7+3</f>
        <v>10</v>
      </c>
      <c r="N80" s="216">
        <f>M80/N$69</f>
        <v>0.7142857142857143</v>
      </c>
      <c r="O80" s="183">
        <v>8</v>
      </c>
      <c r="P80" s="216">
        <f>O80/P$69</f>
        <v>0.61538461538461542</v>
      </c>
      <c r="Q80" s="183">
        <v>8</v>
      </c>
      <c r="R80" s="216">
        <f>Q80/R$69</f>
        <v>0.5714285714285714</v>
      </c>
      <c r="S80" s="183">
        <f>5+4</f>
        <v>9</v>
      </c>
      <c r="T80" s="216">
        <f>S80/T$69</f>
        <v>0.6</v>
      </c>
      <c r="U80" s="183">
        <v>12</v>
      </c>
      <c r="V80" s="216">
        <f>U80/V$69</f>
        <v>0.63157894736842102</v>
      </c>
      <c r="W80" s="183">
        <f>1+8</f>
        <v>9</v>
      </c>
      <c r="X80" s="216">
        <f>W80/X$69</f>
        <v>0.52941176470588236</v>
      </c>
      <c r="Y80" s="183">
        <v>6</v>
      </c>
      <c r="Z80" s="1494">
        <f>Y80/Z$69</f>
        <v>0.4</v>
      </c>
      <c r="AB80" s="1016">
        <f t="shared" si="15"/>
        <v>9.1999999999999993</v>
      </c>
      <c r="AC80" s="863">
        <f t="shared" si="16"/>
        <v>0.58956077977749799</v>
      </c>
    </row>
    <row r="81" spans="1:31" s="3" customFormat="1" ht="12" x14ac:dyDescent="0.2">
      <c r="B81" s="75" t="s">
        <v>125</v>
      </c>
      <c r="C81" s="230">
        <v>1</v>
      </c>
      <c r="D81" s="216">
        <f t="shared" si="17"/>
        <v>7.6923076923076927E-2</v>
      </c>
      <c r="E81" s="223">
        <v>2</v>
      </c>
      <c r="F81" s="311">
        <f>E81/F$69</f>
        <v>0.15384615384615385</v>
      </c>
      <c r="G81" s="230">
        <v>2</v>
      </c>
      <c r="H81" s="395">
        <f>G81/H$69</f>
        <v>0.15384615384615385</v>
      </c>
      <c r="I81" s="283">
        <v>4</v>
      </c>
      <c r="J81" s="221">
        <f>I81/J$69</f>
        <v>0.30769230769230771</v>
      </c>
      <c r="K81" s="230">
        <v>4</v>
      </c>
      <c r="L81" s="221">
        <f>K81/L$69</f>
        <v>0.33333333333333331</v>
      </c>
      <c r="M81" s="230">
        <v>4</v>
      </c>
      <c r="N81" s="216">
        <f>M81/N$69</f>
        <v>0.2857142857142857</v>
      </c>
      <c r="O81" s="283">
        <v>5</v>
      </c>
      <c r="P81" s="216">
        <f>O81/P$69</f>
        <v>0.38461538461538464</v>
      </c>
      <c r="Q81" s="283">
        <v>6</v>
      </c>
      <c r="R81" s="216">
        <f>Q81/R$69</f>
        <v>0.42857142857142855</v>
      </c>
      <c r="S81" s="283">
        <f>6</f>
        <v>6</v>
      </c>
      <c r="T81" s="216">
        <f>S81/T$69</f>
        <v>0.4</v>
      </c>
      <c r="U81" s="283">
        <v>7</v>
      </c>
      <c r="V81" s="216">
        <f>U81/V$69</f>
        <v>0.36842105263157893</v>
      </c>
      <c r="W81" s="283">
        <v>8</v>
      </c>
      <c r="X81" s="216">
        <f>W81/X$69</f>
        <v>0.47058823529411764</v>
      </c>
      <c r="Y81" s="283">
        <v>9</v>
      </c>
      <c r="Z81" s="1494">
        <f>Y81/Z$69</f>
        <v>0.6</v>
      </c>
      <c r="AB81" s="1016">
        <f t="shared" si="15"/>
        <v>6.4</v>
      </c>
      <c r="AC81" s="863">
        <f t="shared" si="16"/>
        <v>0.41043922022250195</v>
      </c>
    </row>
    <row r="82" spans="1:31" s="3" customFormat="1" ht="12" x14ac:dyDescent="0.2">
      <c r="B82" s="343" t="s">
        <v>137</v>
      </c>
      <c r="C82" s="219"/>
      <c r="D82" s="216"/>
      <c r="E82" s="227"/>
      <c r="F82" s="311"/>
      <c r="G82" s="315"/>
      <c r="H82" s="395"/>
      <c r="I82" s="285"/>
      <c r="J82" s="221"/>
      <c r="K82" s="315"/>
      <c r="L82" s="221"/>
      <c r="M82" s="315"/>
      <c r="N82" s="216"/>
      <c r="O82" s="285"/>
      <c r="P82" s="216"/>
      <c r="Q82" s="285"/>
      <c r="R82" s="216"/>
      <c r="S82" s="285"/>
      <c r="T82" s="216"/>
      <c r="U82" s="285"/>
      <c r="V82" s="216"/>
      <c r="W82" s="285"/>
      <c r="X82" s="216"/>
      <c r="Y82" s="285"/>
      <c r="Z82" s="1494"/>
      <c r="AB82" s="1016"/>
      <c r="AC82" s="863"/>
    </row>
    <row r="83" spans="1:31" s="3" customFormat="1" ht="12" x14ac:dyDescent="0.2">
      <c r="B83" s="75" t="s">
        <v>126</v>
      </c>
      <c r="C83" s="224">
        <v>10</v>
      </c>
      <c r="D83" s="216">
        <f t="shared" si="17"/>
        <v>0.76923076923076927</v>
      </c>
      <c r="E83" s="223">
        <v>13</v>
      </c>
      <c r="F83" s="311">
        <f>E83/F$69</f>
        <v>1</v>
      </c>
      <c r="G83" s="230">
        <v>10</v>
      </c>
      <c r="H83" s="395">
        <f>G83/H$69</f>
        <v>0.76923076923076927</v>
      </c>
      <c r="I83" s="283">
        <v>8</v>
      </c>
      <c r="J83" s="221">
        <f>I83/J$69</f>
        <v>0.61538461538461542</v>
      </c>
      <c r="K83" s="230">
        <v>7</v>
      </c>
      <c r="L83" s="221">
        <f>K83/L$69</f>
        <v>0.58333333333333337</v>
      </c>
      <c r="M83" s="230">
        <f>7+2</f>
        <v>9</v>
      </c>
      <c r="N83" s="216">
        <f>M83/N$69</f>
        <v>0.6428571428571429</v>
      </c>
      <c r="O83" s="283">
        <v>8</v>
      </c>
      <c r="P83" s="216">
        <f>O83/P$69</f>
        <v>0.61538461538461542</v>
      </c>
      <c r="Q83" s="283">
        <v>8</v>
      </c>
      <c r="R83" s="216">
        <f>Q83/R$69</f>
        <v>0.5714285714285714</v>
      </c>
      <c r="S83" s="283">
        <f>5+3</f>
        <v>8</v>
      </c>
      <c r="T83" s="216">
        <f>S83/T$69</f>
        <v>0.53333333333333333</v>
      </c>
      <c r="U83" s="283">
        <v>9</v>
      </c>
      <c r="V83" s="216">
        <f>U83/V$69</f>
        <v>0.47368421052631576</v>
      </c>
      <c r="W83" s="283">
        <f>1+9</f>
        <v>10</v>
      </c>
      <c r="X83" s="216">
        <f>W83/X$69</f>
        <v>0.58823529411764708</v>
      </c>
      <c r="Y83" s="283">
        <v>7</v>
      </c>
      <c r="Z83" s="1494">
        <f>Y83/Z$69</f>
        <v>0.46666666666666667</v>
      </c>
      <c r="AB83" s="1016">
        <f t="shared" si="15"/>
        <v>8.6</v>
      </c>
      <c r="AC83" s="863">
        <f t="shared" si="16"/>
        <v>0.55641320495809654</v>
      </c>
    </row>
    <row r="84" spans="1:31" s="3" customFormat="1" ht="12" x14ac:dyDescent="0.2">
      <c r="B84" s="75" t="s">
        <v>127</v>
      </c>
      <c r="C84" s="224">
        <v>2</v>
      </c>
      <c r="D84" s="216">
        <f t="shared" si="17"/>
        <v>0.15384615384615385</v>
      </c>
      <c r="E84" s="223">
        <v>0</v>
      </c>
      <c r="F84" s="311">
        <f>E84/F$69</f>
        <v>0</v>
      </c>
      <c r="G84" s="230">
        <v>2</v>
      </c>
      <c r="H84" s="395">
        <f>G84/H$69</f>
        <v>0.15384615384615385</v>
      </c>
      <c r="I84" s="283">
        <v>3</v>
      </c>
      <c r="J84" s="221">
        <f>I84/J$69</f>
        <v>0.23076923076923078</v>
      </c>
      <c r="K84" s="230">
        <v>4</v>
      </c>
      <c r="L84" s="221">
        <f>K84/L$69</f>
        <v>0.33333333333333331</v>
      </c>
      <c r="M84" s="230">
        <v>3</v>
      </c>
      <c r="N84" s="216">
        <f>M84/N$69</f>
        <v>0.21428571428571427</v>
      </c>
      <c r="O84" s="283">
        <v>4</v>
      </c>
      <c r="P84" s="216">
        <f>O84/P$69</f>
        <v>0.30769230769230771</v>
      </c>
      <c r="Q84" s="283">
        <v>4</v>
      </c>
      <c r="R84" s="216">
        <f>Q84/R$69</f>
        <v>0.2857142857142857</v>
      </c>
      <c r="S84" s="283">
        <f>5</f>
        <v>5</v>
      </c>
      <c r="T84" s="216">
        <f>S84/T$69</f>
        <v>0.33333333333333331</v>
      </c>
      <c r="U84" s="283">
        <v>6</v>
      </c>
      <c r="V84" s="216">
        <f>U84/V$69</f>
        <v>0.31578947368421051</v>
      </c>
      <c r="W84" s="283">
        <v>5</v>
      </c>
      <c r="X84" s="216">
        <f>W84/X$69</f>
        <v>0.29411764705882354</v>
      </c>
      <c r="Y84" s="283">
        <v>5</v>
      </c>
      <c r="Z84" s="1494">
        <f>Y84/Z$69</f>
        <v>0.33333333333333331</v>
      </c>
      <c r="AB84" s="1016">
        <f t="shared" si="15"/>
        <v>4.8</v>
      </c>
      <c r="AC84" s="863">
        <f t="shared" si="16"/>
        <v>0.30732940949659215</v>
      </c>
    </row>
    <row r="85" spans="1:31" s="3" customFormat="1" ht="12" x14ac:dyDescent="0.2">
      <c r="B85" s="75" t="s">
        <v>128</v>
      </c>
      <c r="C85" s="224">
        <v>1</v>
      </c>
      <c r="D85" s="216">
        <f t="shared" si="17"/>
        <v>7.6923076923076927E-2</v>
      </c>
      <c r="E85" s="223">
        <v>0</v>
      </c>
      <c r="F85" s="311">
        <f>E85/F$69</f>
        <v>0</v>
      </c>
      <c r="G85" s="230">
        <v>1</v>
      </c>
      <c r="H85" s="395">
        <f>G85/H$69</f>
        <v>7.6923076923076927E-2</v>
      </c>
      <c r="I85" s="283">
        <v>2</v>
      </c>
      <c r="J85" s="221">
        <f>I85/J$69</f>
        <v>0.15384615384615385</v>
      </c>
      <c r="K85" s="230">
        <v>1</v>
      </c>
      <c r="L85" s="221">
        <f>K85/L$69</f>
        <v>8.3333333333333329E-2</v>
      </c>
      <c r="M85" s="230">
        <f>1+1</f>
        <v>2</v>
      </c>
      <c r="N85" s="216">
        <f>M85/N$69</f>
        <v>0.14285714285714285</v>
      </c>
      <c r="O85" s="283">
        <v>1</v>
      </c>
      <c r="P85" s="216">
        <f>O85/P$69</f>
        <v>7.6923076923076927E-2</v>
      </c>
      <c r="Q85" s="283">
        <v>2</v>
      </c>
      <c r="R85" s="216">
        <f>Q85/R$69</f>
        <v>0.14285714285714285</v>
      </c>
      <c r="S85" s="283">
        <f>1+1</f>
        <v>2</v>
      </c>
      <c r="T85" s="216">
        <f>S85/T$69</f>
        <v>0.13333333333333333</v>
      </c>
      <c r="U85" s="283">
        <v>4</v>
      </c>
      <c r="V85" s="216">
        <f>U85/V$69</f>
        <v>0.21052631578947367</v>
      </c>
      <c r="W85" s="283">
        <v>2</v>
      </c>
      <c r="X85" s="216">
        <f>W85/X$69</f>
        <v>0.11764705882352941</v>
      </c>
      <c r="Y85" s="283">
        <v>3</v>
      </c>
      <c r="Z85" s="1494">
        <f>Y85/Z$69</f>
        <v>0.2</v>
      </c>
      <c r="AB85" s="1016">
        <f t="shared" si="15"/>
        <v>2.2000000000000002</v>
      </c>
      <c r="AC85" s="863">
        <f t="shared" si="16"/>
        <v>0.13625738554531125</v>
      </c>
    </row>
    <row r="86" spans="1:31" s="3" customFormat="1" ht="12" x14ac:dyDescent="0.2">
      <c r="B86" s="343" t="s">
        <v>138</v>
      </c>
      <c r="C86" s="219"/>
      <c r="D86" s="216"/>
      <c r="E86" s="227"/>
      <c r="F86" s="311"/>
      <c r="G86" s="315" t="s">
        <v>29</v>
      </c>
      <c r="H86" s="395"/>
      <c r="I86" s="285"/>
      <c r="J86" s="221"/>
      <c r="K86" s="315"/>
      <c r="L86" s="221"/>
      <c r="M86" s="315"/>
      <c r="N86" s="216"/>
      <c r="O86" s="285"/>
      <c r="P86" s="216"/>
      <c r="Q86" s="285"/>
      <c r="R86" s="216"/>
      <c r="S86" s="285"/>
      <c r="T86" s="216"/>
      <c r="U86" s="285"/>
      <c r="V86" s="216"/>
      <c r="W86" s="285"/>
      <c r="X86" s="216"/>
      <c r="Y86" s="285"/>
      <c r="Z86" s="1494"/>
      <c r="AB86" s="1016"/>
      <c r="AC86" s="863"/>
    </row>
    <row r="87" spans="1:31" s="3" customFormat="1" ht="12" x14ac:dyDescent="0.2">
      <c r="B87" s="75" t="s">
        <v>129</v>
      </c>
      <c r="C87" s="224">
        <v>13</v>
      </c>
      <c r="D87" s="216">
        <f t="shared" si="17"/>
        <v>1</v>
      </c>
      <c r="E87" s="223">
        <v>13</v>
      </c>
      <c r="F87" s="311">
        <f>E87/F$69</f>
        <v>1</v>
      </c>
      <c r="G87" s="230">
        <v>13</v>
      </c>
      <c r="H87" s="395">
        <f>G87/H$69</f>
        <v>1</v>
      </c>
      <c r="I87" s="283">
        <v>12</v>
      </c>
      <c r="J87" s="221">
        <f>I87/J$69</f>
        <v>0.92307692307692313</v>
      </c>
      <c r="K87" s="230">
        <v>12</v>
      </c>
      <c r="L87" s="221">
        <f>K87/L$69</f>
        <v>1</v>
      </c>
      <c r="M87" s="230">
        <f>11+2</f>
        <v>13</v>
      </c>
      <c r="N87" s="216">
        <f>M87/N$69</f>
        <v>0.9285714285714286</v>
      </c>
      <c r="O87" s="283">
        <v>13</v>
      </c>
      <c r="P87" s="216">
        <f>O87/P$69</f>
        <v>1</v>
      </c>
      <c r="Q87" s="283">
        <v>14</v>
      </c>
      <c r="R87" s="216">
        <f>Q87/R$69</f>
        <v>1</v>
      </c>
      <c r="S87" s="283">
        <f>11+4</f>
        <v>15</v>
      </c>
      <c r="T87" s="216">
        <f>S87/T$69</f>
        <v>1</v>
      </c>
      <c r="U87" s="283">
        <v>19</v>
      </c>
      <c r="V87" s="216">
        <f>U87/V$69</f>
        <v>1</v>
      </c>
      <c r="W87" s="283">
        <f>1+16</f>
        <v>17</v>
      </c>
      <c r="X87" s="216">
        <f>W87/X$69</f>
        <v>1</v>
      </c>
      <c r="Y87" s="283">
        <v>15</v>
      </c>
      <c r="Z87" s="1494">
        <f>Y87/Z$69</f>
        <v>1</v>
      </c>
      <c r="AB87" s="1016">
        <f t="shared" si="15"/>
        <v>15.6</v>
      </c>
      <c r="AC87" s="863">
        <f t="shared" si="16"/>
        <v>1</v>
      </c>
    </row>
    <row r="88" spans="1:31" s="3" customFormat="1" ht="12" x14ac:dyDescent="0.2">
      <c r="B88" s="75" t="s">
        <v>130</v>
      </c>
      <c r="C88" s="224">
        <v>0</v>
      </c>
      <c r="D88" s="216">
        <f t="shared" si="17"/>
        <v>0</v>
      </c>
      <c r="E88" s="223">
        <v>0</v>
      </c>
      <c r="F88" s="311">
        <f>E88/F$69</f>
        <v>0</v>
      </c>
      <c r="G88" s="230">
        <v>0</v>
      </c>
      <c r="H88" s="395">
        <f>G88/H$69</f>
        <v>0</v>
      </c>
      <c r="I88" s="283">
        <v>0</v>
      </c>
      <c r="J88" s="221">
        <f>I88/J$69</f>
        <v>0</v>
      </c>
      <c r="K88" s="230">
        <v>0</v>
      </c>
      <c r="L88" s="221">
        <f>K88/L$69</f>
        <v>0</v>
      </c>
      <c r="M88" s="230">
        <v>1</v>
      </c>
      <c r="N88" s="216">
        <f>M88/N$69</f>
        <v>7.1428571428571425E-2</v>
      </c>
      <c r="O88" s="283">
        <v>0</v>
      </c>
      <c r="P88" s="216">
        <f>O88/P$69</f>
        <v>0</v>
      </c>
      <c r="Q88" s="283">
        <v>0</v>
      </c>
      <c r="R88" s="216">
        <f>Q88/R$69</f>
        <v>0</v>
      </c>
      <c r="S88" s="283">
        <f>0</f>
        <v>0</v>
      </c>
      <c r="T88" s="216">
        <f>S88/T$69</f>
        <v>0</v>
      </c>
      <c r="U88" s="283">
        <v>0</v>
      </c>
      <c r="V88" s="216">
        <f>U88/V$69</f>
        <v>0</v>
      </c>
      <c r="W88" s="283">
        <v>0</v>
      </c>
      <c r="X88" s="216">
        <f>W88/X$69</f>
        <v>0</v>
      </c>
      <c r="Y88" s="283">
        <v>0</v>
      </c>
      <c r="Z88" s="1494">
        <f>Y88/Z$69</f>
        <v>0</v>
      </c>
      <c r="AB88" s="1016">
        <f t="shared" si="15"/>
        <v>0</v>
      </c>
      <c r="AC88" s="863">
        <f t="shared" si="16"/>
        <v>0</v>
      </c>
    </row>
    <row r="89" spans="1:31" s="3" customFormat="1" ht="12" x14ac:dyDescent="0.2">
      <c r="B89" s="75" t="s">
        <v>131</v>
      </c>
      <c r="C89" s="224">
        <v>0</v>
      </c>
      <c r="D89" s="216">
        <f t="shared" si="17"/>
        <v>0</v>
      </c>
      <c r="E89" s="223">
        <v>0</v>
      </c>
      <c r="F89" s="311">
        <f>E89/F$69</f>
        <v>0</v>
      </c>
      <c r="G89" s="230">
        <v>0</v>
      </c>
      <c r="H89" s="395">
        <f>G89/H$69</f>
        <v>0</v>
      </c>
      <c r="I89" s="283">
        <v>1</v>
      </c>
      <c r="J89" s="221">
        <f>I89/J$69</f>
        <v>7.6923076923076927E-2</v>
      </c>
      <c r="K89" s="230">
        <v>0</v>
      </c>
      <c r="L89" s="221">
        <f>K89/L$69</f>
        <v>0</v>
      </c>
      <c r="M89" s="230">
        <v>0</v>
      </c>
      <c r="N89" s="216">
        <f>M89/N$69</f>
        <v>0</v>
      </c>
      <c r="O89" s="283">
        <v>0</v>
      </c>
      <c r="P89" s="216">
        <f>O89/P$69</f>
        <v>0</v>
      </c>
      <c r="Q89" s="283">
        <v>0</v>
      </c>
      <c r="R89" s="216">
        <f>Q89/R$69</f>
        <v>0</v>
      </c>
      <c r="S89" s="283">
        <f>0</f>
        <v>0</v>
      </c>
      <c r="T89" s="216">
        <f>S89/T$69</f>
        <v>0</v>
      </c>
      <c r="U89" s="283">
        <v>0</v>
      </c>
      <c r="V89" s="216">
        <f>U89/V$69</f>
        <v>0</v>
      </c>
      <c r="W89" s="283">
        <v>0</v>
      </c>
      <c r="X89" s="216">
        <f>W89/X$69</f>
        <v>0</v>
      </c>
      <c r="Y89" s="283">
        <v>0</v>
      </c>
      <c r="Z89" s="1494">
        <f>Y89/Z$69</f>
        <v>0</v>
      </c>
      <c r="AB89" s="1016">
        <f t="shared" si="15"/>
        <v>0</v>
      </c>
      <c r="AC89" s="863">
        <f t="shared" si="16"/>
        <v>0</v>
      </c>
    </row>
    <row r="90" spans="1:31" s="3" customFormat="1" thickBot="1" x14ac:dyDescent="0.25">
      <c r="B90" s="344" t="s">
        <v>132</v>
      </c>
      <c r="C90" s="61">
        <v>0</v>
      </c>
      <c r="D90" s="220">
        <f t="shared" si="17"/>
        <v>0</v>
      </c>
      <c r="E90" s="228">
        <v>0</v>
      </c>
      <c r="F90" s="312">
        <f>E90/F$69</f>
        <v>0</v>
      </c>
      <c r="G90" s="375">
        <v>0</v>
      </c>
      <c r="H90" s="397">
        <f>G90/H$69</f>
        <v>0</v>
      </c>
      <c r="I90" s="284">
        <v>0</v>
      </c>
      <c r="J90" s="222">
        <f>I90/J$69</f>
        <v>0</v>
      </c>
      <c r="K90" s="375">
        <v>0</v>
      </c>
      <c r="L90" s="222">
        <f>K90/L$69</f>
        <v>0</v>
      </c>
      <c r="M90" s="375">
        <v>0</v>
      </c>
      <c r="N90" s="220">
        <f>M90/N$69</f>
        <v>0</v>
      </c>
      <c r="O90" s="284">
        <v>0</v>
      </c>
      <c r="P90" s="220">
        <f>O90/P$69</f>
        <v>0</v>
      </c>
      <c r="Q90" s="284">
        <v>0</v>
      </c>
      <c r="R90" s="220">
        <f>Q90/R$69</f>
        <v>0</v>
      </c>
      <c r="S90" s="284">
        <f>0</f>
        <v>0</v>
      </c>
      <c r="T90" s="220">
        <f>S90/T$69</f>
        <v>0</v>
      </c>
      <c r="U90" s="284">
        <v>0</v>
      </c>
      <c r="V90" s="220">
        <f>U90/V$69</f>
        <v>0</v>
      </c>
      <c r="W90" s="284">
        <v>0</v>
      </c>
      <c r="X90" s="220">
        <f>W90/X$69</f>
        <v>0</v>
      </c>
      <c r="Y90" s="284">
        <v>0</v>
      </c>
      <c r="Z90" s="1495">
        <f>Y90/Z$69</f>
        <v>0</v>
      </c>
      <c r="AB90" s="1016">
        <f t="shared" si="15"/>
        <v>0</v>
      </c>
      <c r="AC90" s="863">
        <f t="shared" si="16"/>
        <v>0</v>
      </c>
    </row>
    <row r="91" spans="1:31" ht="14.25" thickTop="1" thickBot="1" x14ac:dyDescent="0.25">
      <c r="A91" s="1"/>
      <c r="B91" s="956" t="s">
        <v>186</v>
      </c>
      <c r="C91" s="1992" t="s">
        <v>51</v>
      </c>
      <c r="D91" s="1993"/>
      <c r="E91" s="1992" t="s">
        <v>52</v>
      </c>
      <c r="F91" s="1993"/>
      <c r="G91" s="1989" t="s">
        <v>184</v>
      </c>
      <c r="H91" s="1990"/>
      <c r="I91" s="1989" t="s">
        <v>185</v>
      </c>
      <c r="J91" s="1990"/>
      <c r="K91" s="1989" t="s">
        <v>202</v>
      </c>
      <c r="L91" s="1990"/>
      <c r="M91" s="1991" t="s">
        <v>203</v>
      </c>
      <c r="N91" s="1979"/>
      <c r="O91" s="1970" t="s">
        <v>228</v>
      </c>
      <c r="P91" s="1979"/>
      <c r="Q91" s="1970" t="s">
        <v>238</v>
      </c>
      <c r="R91" s="1979"/>
      <c r="S91" s="1970" t="s">
        <v>273</v>
      </c>
      <c r="T91" s="1979"/>
      <c r="U91" s="1970" t="s">
        <v>275</v>
      </c>
      <c r="V91" s="1979"/>
      <c r="W91" s="1970" t="s">
        <v>281</v>
      </c>
      <c r="X91" s="1979"/>
      <c r="Y91" s="1970" t="s">
        <v>291</v>
      </c>
      <c r="Z91" s="1976"/>
      <c r="AB91" s="2003" t="s">
        <v>213</v>
      </c>
      <c r="AC91" s="2004"/>
    </row>
    <row r="92" spans="1:31" x14ac:dyDescent="0.2">
      <c r="A92" s="1"/>
      <c r="B92" s="957"/>
      <c r="C92" s="958"/>
      <c r="D92" s="959"/>
      <c r="E92" s="1273" t="s">
        <v>133</v>
      </c>
      <c r="F92" s="1180" t="s">
        <v>17</v>
      </c>
      <c r="G92" s="958" t="s">
        <v>133</v>
      </c>
      <c r="H92" s="1242" t="s">
        <v>17</v>
      </c>
      <c r="I92" s="1273" t="s">
        <v>133</v>
      </c>
      <c r="J92" s="1242" t="s">
        <v>17</v>
      </c>
      <c r="K92" s="1273" t="s">
        <v>133</v>
      </c>
      <c r="L92" s="1242" t="s">
        <v>17</v>
      </c>
      <c r="M92" s="1273" t="s">
        <v>133</v>
      </c>
      <c r="N92" s="1242" t="s">
        <v>17</v>
      </c>
      <c r="O92" s="1273" t="s">
        <v>133</v>
      </c>
      <c r="P92" s="959" t="s">
        <v>17</v>
      </c>
      <c r="Q92" s="1400" t="s">
        <v>133</v>
      </c>
      <c r="R92" s="959" t="s">
        <v>17</v>
      </c>
      <c r="S92" s="1400" t="s">
        <v>133</v>
      </c>
      <c r="T92" s="959" t="s">
        <v>17</v>
      </c>
      <c r="U92" s="1787" t="s">
        <v>133</v>
      </c>
      <c r="V92" s="959" t="s">
        <v>17</v>
      </c>
      <c r="W92" s="1787" t="s">
        <v>133</v>
      </c>
      <c r="X92" s="959" t="s">
        <v>17</v>
      </c>
      <c r="Y92" s="1787" t="s">
        <v>133</v>
      </c>
      <c r="Z92" s="954" t="s">
        <v>17</v>
      </c>
      <c r="AB92" s="953" t="s">
        <v>133</v>
      </c>
      <c r="AC92" s="954" t="s">
        <v>17</v>
      </c>
    </row>
    <row r="93" spans="1:31" x14ac:dyDescent="0.2">
      <c r="A93" s="1"/>
      <c r="B93" s="341" t="s">
        <v>187</v>
      </c>
      <c r="C93" s="960">
        <v>7</v>
      </c>
      <c r="D93" s="961">
        <v>2.2999999999999998</v>
      </c>
      <c r="E93" s="960">
        <v>4</v>
      </c>
      <c r="F93" s="961">
        <v>1.2</v>
      </c>
      <c r="G93" s="960">
        <v>3</v>
      </c>
      <c r="H93" s="961">
        <v>1.5</v>
      </c>
      <c r="I93" s="960">
        <v>2</v>
      </c>
      <c r="J93" s="961">
        <v>1</v>
      </c>
      <c r="K93" s="960">
        <v>2</v>
      </c>
      <c r="L93" s="961">
        <v>1</v>
      </c>
      <c r="M93" s="960">
        <v>3</v>
      </c>
      <c r="N93" s="961">
        <v>1.5</v>
      </c>
      <c r="O93" s="960">
        <v>2</v>
      </c>
      <c r="P93" s="961">
        <v>1</v>
      </c>
      <c r="Q93" s="960">
        <v>2</v>
      </c>
      <c r="R93" s="961">
        <v>1</v>
      </c>
      <c r="S93" s="960">
        <v>3</v>
      </c>
      <c r="T93" s="961">
        <v>1.5</v>
      </c>
      <c r="U93" s="960">
        <v>3</v>
      </c>
      <c r="V93" s="961">
        <v>1.5</v>
      </c>
      <c r="W93" s="960">
        <v>6</v>
      </c>
      <c r="X93" s="961">
        <v>3</v>
      </c>
      <c r="Y93" s="960">
        <v>4</v>
      </c>
      <c r="Z93" s="1517">
        <v>2</v>
      </c>
      <c r="AB93" s="1115">
        <f t="shared" ref="AB93:AB95" si="18">AVERAGE(W93,U93,Q93,S93,O93)</f>
        <v>3.2</v>
      </c>
      <c r="AC93" s="1116">
        <f t="shared" ref="AC93:AC95" si="19">AVERAGE(X93,V93,R93,T93,P93)</f>
        <v>1.6</v>
      </c>
    </row>
    <row r="94" spans="1:31" x14ac:dyDescent="0.2">
      <c r="A94" s="1"/>
      <c r="B94" s="341" t="s">
        <v>188</v>
      </c>
      <c r="C94" s="960">
        <v>26</v>
      </c>
      <c r="D94" s="961">
        <v>13.1</v>
      </c>
      <c r="E94" s="960">
        <v>31</v>
      </c>
      <c r="F94" s="961">
        <v>15.1</v>
      </c>
      <c r="G94" s="960">
        <v>33</v>
      </c>
      <c r="H94" s="961">
        <v>16.2</v>
      </c>
      <c r="I94" s="960">
        <v>32</v>
      </c>
      <c r="J94" s="961">
        <v>15.8</v>
      </c>
      <c r="K94" s="960">
        <v>31</v>
      </c>
      <c r="L94" s="961">
        <v>15.4</v>
      </c>
      <c r="M94" s="960">
        <v>35</v>
      </c>
      <c r="N94" s="961">
        <v>17.3</v>
      </c>
      <c r="O94" s="960">
        <v>35</v>
      </c>
      <c r="P94" s="961">
        <v>17.5</v>
      </c>
      <c r="Q94" s="960">
        <v>30</v>
      </c>
      <c r="R94" s="961">
        <v>15</v>
      </c>
      <c r="S94" s="960">
        <v>34</v>
      </c>
      <c r="T94" s="961">
        <v>16.8</v>
      </c>
      <c r="U94" s="960">
        <v>33</v>
      </c>
      <c r="V94" s="961">
        <v>16.100000000000001</v>
      </c>
      <c r="W94" s="960">
        <v>34</v>
      </c>
      <c r="X94" s="961">
        <v>16.600000000000001</v>
      </c>
      <c r="Y94" s="960">
        <v>33</v>
      </c>
      <c r="Z94" s="1517">
        <v>16.100000000000001</v>
      </c>
      <c r="AB94" s="1115">
        <f t="shared" si="18"/>
        <v>33.200000000000003</v>
      </c>
      <c r="AC94" s="1116">
        <f t="shared" si="19"/>
        <v>16.399999999999999</v>
      </c>
    </row>
    <row r="95" spans="1:31" ht="13.5" thickBot="1" x14ac:dyDescent="0.25">
      <c r="A95" s="1"/>
      <c r="B95" s="344" t="s">
        <v>211</v>
      </c>
      <c r="C95" s="962">
        <v>0</v>
      </c>
      <c r="D95" s="963">
        <v>0</v>
      </c>
      <c r="E95" s="964">
        <v>0</v>
      </c>
      <c r="F95" s="963">
        <v>0</v>
      </c>
      <c r="G95" s="964">
        <v>0</v>
      </c>
      <c r="H95" s="963">
        <v>0</v>
      </c>
      <c r="I95" s="964">
        <v>0</v>
      </c>
      <c r="J95" s="963">
        <v>0</v>
      </c>
      <c r="K95" s="964">
        <v>0</v>
      </c>
      <c r="L95" s="963">
        <v>0</v>
      </c>
      <c r="M95" s="964">
        <v>0</v>
      </c>
      <c r="N95" s="963">
        <v>0</v>
      </c>
      <c r="O95" s="964">
        <v>0</v>
      </c>
      <c r="P95" s="963">
        <v>0</v>
      </c>
      <c r="Q95" s="964">
        <v>0</v>
      </c>
      <c r="R95" s="963">
        <v>0</v>
      </c>
      <c r="S95" s="964">
        <v>0</v>
      </c>
      <c r="T95" s="963">
        <v>0</v>
      </c>
      <c r="U95" s="964">
        <v>0</v>
      </c>
      <c r="V95" s="963">
        <v>0</v>
      </c>
      <c r="W95" s="964">
        <v>0</v>
      </c>
      <c r="X95" s="963">
        <v>0</v>
      </c>
      <c r="Y95" s="964">
        <v>2</v>
      </c>
      <c r="Z95" s="1518">
        <v>0.2</v>
      </c>
      <c r="AB95" s="1115">
        <f t="shared" si="18"/>
        <v>0</v>
      </c>
      <c r="AC95" s="1116">
        <f t="shared" si="19"/>
        <v>0</v>
      </c>
    </row>
    <row r="96" spans="1:31" ht="17.25" thickTop="1" thickBot="1" x14ac:dyDescent="0.3">
      <c r="A96" s="966"/>
      <c r="B96" s="967"/>
      <c r="C96" s="1992" t="s">
        <v>51</v>
      </c>
      <c r="D96" s="1993"/>
      <c r="E96" s="1992" t="s">
        <v>52</v>
      </c>
      <c r="F96" s="1993"/>
      <c r="G96" s="1989" t="s">
        <v>184</v>
      </c>
      <c r="H96" s="1990"/>
      <c r="I96" s="1989" t="s">
        <v>185</v>
      </c>
      <c r="J96" s="1990"/>
      <c r="K96" s="1989" t="s">
        <v>202</v>
      </c>
      <c r="L96" s="1990"/>
      <c r="M96" s="1991" t="s">
        <v>203</v>
      </c>
      <c r="N96" s="1979"/>
      <c r="O96" s="1970" t="s">
        <v>254</v>
      </c>
      <c r="P96" s="1979"/>
      <c r="Q96" s="1970" t="s">
        <v>238</v>
      </c>
      <c r="R96" s="1979"/>
      <c r="S96" s="1970" t="s">
        <v>273</v>
      </c>
      <c r="T96" s="1979"/>
      <c r="U96" s="1970" t="s">
        <v>275</v>
      </c>
      <c r="V96" s="1979"/>
      <c r="W96" s="1970" t="s">
        <v>281</v>
      </c>
      <c r="X96" s="1979"/>
      <c r="Y96" s="1970" t="s">
        <v>291</v>
      </c>
      <c r="Z96" s="1976"/>
      <c r="AA96" s="932"/>
      <c r="AB96" s="1987"/>
      <c r="AC96" s="1988"/>
      <c r="AD96" s="28"/>
      <c r="AE96" s="3"/>
    </row>
    <row r="97" spans="1:31" x14ac:dyDescent="0.2">
      <c r="A97" s="3"/>
      <c r="B97" s="342" t="s">
        <v>210</v>
      </c>
      <c r="C97" s="3"/>
      <c r="D97" s="969"/>
      <c r="E97" s="970"/>
      <c r="F97" s="971"/>
      <c r="G97" s="972"/>
      <c r="H97" s="973"/>
      <c r="I97" s="974"/>
      <c r="J97" s="593"/>
      <c r="K97" s="975"/>
      <c r="L97" s="976"/>
      <c r="M97" s="975"/>
      <c r="N97" s="991"/>
      <c r="O97" s="974"/>
      <c r="P97" s="593"/>
      <c r="Q97" s="975"/>
      <c r="R97" s="991"/>
      <c r="S97" s="975"/>
      <c r="T97" s="991"/>
      <c r="U97" s="117"/>
      <c r="V97" s="1422"/>
      <c r="W97" s="975"/>
      <c r="X97" s="991"/>
      <c r="Y97" s="975"/>
      <c r="Z97" s="977"/>
      <c r="AA97" s="28"/>
      <c r="AB97" s="28"/>
      <c r="AC97" s="28"/>
      <c r="AD97" s="3"/>
      <c r="AE97" s="3"/>
    </row>
    <row r="98" spans="1:31" x14ac:dyDescent="0.2">
      <c r="A98" s="930"/>
      <c r="B98" s="979" t="s">
        <v>192</v>
      </c>
      <c r="C98" s="1983">
        <v>5.2</v>
      </c>
      <c r="D98" s="1984"/>
      <c r="E98" s="980"/>
      <c r="F98" s="981"/>
      <c r="G98" s="982"/>
      <c r="H98" s="983"/>
      <c r="I98" s="1983">
        <v>4.05</v>
      </c>
      <c r="J98" s="1984"/>
      <c r="K98" s="984"/>
      <c r="L98" s="985"/>
      <c r="M98" s="984"/>
      <c r="N98" s="991"/>
      <c r="O98" s="1898"/>
      <c r="P98" s="1899">
        <v>10.199999999999999</v>
      </c>
      <c r="Q98" s="984"/>
      <c r="R98" s="991"/>
      <c r="S98" s="984"/>
      <c r="T98" s="991"/>
      <c r="U98" s="136"/>
      <c r="V98" s="1899">
        <v>10.3</v>
      </c>
      <c r="W98" s="984"/>
      <c r="X98" s="991"/>
      <c r="Y98" s="984"/>
      <c r="Z98" s="977"/>
      <c r="AA98" s="28"/>
      <c r="AB98" s="28"/>
      <c r="AC98" s="1106"/>
      <c r="AD98" s="3"/>
      <c r="AE98" s="3" t="s">
        <v>29</v>
      </c>
    </row>
    <row r="99" spans="1:31" x14ac:dyDescent="0.2">
      <c r="A99" s="930"/>
      <c r="B99" s="986" t="s">
        <v>193</v>
      </c>
      <c r="C99" s="1983"/>
      <c r="D99" s="1984"/>
      <c r="E99" s="980"/>
      <c r="F99" s="981"/>
      <c r="G99" s="982"/>
      <c r="H99" s="983"/>
      <c r="I99" s="1983"/>
      <c r="J99" s="1984"/>
      <c r="K99" s="984"/>
      <c r="L99" s="985"/>
      <c r="M99" s="984"/>
      <c r="N99" s="991"/>
      <c r="O99" s="1898"/>
      <c r="P99" s="1899"/>
      <c r="Q99" s="984"/>
      <c r="R99" s="991"/>
      <c r="S99" s="984"/>
      <c r="T99" s="991"/>
      <c r="U99" s="136"/>
      <c r="V99" s="1899"/>
      <c r="W99" s="984"/>
      <c r="X99" s="991"/>
      <c r="Y99" s="984"/>
      <c r="Z99" s="977"/>
      <c r="AA99" s="28"/>
      <c r="AB99" s="28"/>
      <c r="AC99" s="1106"/>
      <c r="AD99" s="3"/>
      <c r="AE99" s="3"/>
    </row>
    <row r="100" spans="1:31" x14ac:dyDescent="0.2">
      <c r="A100" s="930"/>
      <c r="B100" s="986" t="s">
        <v>194</v>
      </c>
      <c r="C100" s="1983">
        <v>12.6</v>
      </c>
      <c r="D100" s="1984"/>
      <c r="E100" s="980"/>
      <c r="F100" s="981"/>
      <c r="G100" s="982"/>
      <c r="H100" s="983"/>
      <c r="I100" s="1983">
        <v>14.8</v>
      </c>
      <c r="J100" s="1984"/>
      <c r="K100" s="984"/>
      <c r="L100" s="985"/>
      <c r="M100" s="984"/>
      <c r="N100" s="991"/>
      <c r="O100" s="1898"/>
      <c r="P100" s="1899">
        <v>13</v>
      </c>
      <c r="Q100" s="984"/>
      <c r="R100" s="991"/>
      <c r="S100" s="984"/>
      <c r="T100" s="991"/>
      <c r="U100" s="136"/>
      <c r="V100" s="1899">
        <v>15.5</v>
      </c>
      <c r="W100" s="984"/>
      <c r="X100" s="991"/>
      <c r="Y100" s="984"/>
      <c r="Z100" s="977"/>
      <c r="AA100" s="28"/>
      <c r="AB100" s="28"/>
      <c r="AC100" s="1106"/>
      <c r="AD100" s="3"/>
      <c r="AE100" s="3"/>
    </row>
    <row r="101" spans="1:31" x14ac:dyDescent="0.2">
      <c r="A101" s="930"/>
      <c r="B101" s="979" t="s">
        <v>195</v>
      </c>
      <c r="C101" s="1983">
        <v>0.5</v>
      </c>
      <c r="D101" s="1984"/>
      <c r="E101" s="980"/>
      <c r="F101" s="981"/>
      <c r="G101" s="982"/>
      <c r="H101" s="983"/>
      <c r="I101" s="1983">
        <v>2.5</v>
      </c>
      <c r="J101" s="1984"/>
      <c r="K101" s="984"/>
      <c r="L101" s="985"/>
      <c r="M101" s="984"/>
      <c r="N101" s="991"/>
      <c r="O101" s="1898"/>
      <c r="P101" s="1899">
        <v>4.5</v>
      </c>
      <c r="Q101" s="984"/>
      <c r="R101" s="991"/>
      <c r="S101" s="984"/>
      <c r="T101" s="991"/>
      <c r="U101" s="136"/>
      <c r="V101" s="1899">
        <v>0.9</v>
      </c>
      <c r="W101" s="984"/>
      <c r="X101" s="991"/>
      <c r="Y101" s="984"/>
      <c r="Z101" s="977"/>
      <c r="AA101" s="28"/>
      <c r="AB101" s="28"/>
      <c r="AC101" s="1106"/>
      <c r="AD101" s="3"/>
      <c r="AE101" s="3"/>
    </row>
    <row r="102" spans="1:31" x14ac:dyDescent="0.2">
      <c r="A102" s="930"/>
      <c r="B102" s="987" t="s">
        <v>196</v>
      </c>
      <c r="C102" s="1983">
        <v>0.4</v>
      </c>
      <c r="D102" s="1984"/>
      <c r="E102" s="980"/>
      <c r="F102" s="981"/>
      <c r="G102" s="982"/>
      <c r="H102" s="983"/>
      <c r="I102" s="1983">
        <v>1.2</v>
      </c>
      <c r="J102" s="1984"/>
      <c r="K102" s="984"/>
      <c r="L102" s="985"/>
      <c r="M102" s="984"/>
      <c r="N102" s="991"/>
      <c r="O102" s="1898"/>
      <c r="P102" s="1899">
        <v>0.8</v>
      </c>
      <c r="Q102" s="984"/>
      <c r="R102" s="991"/>
      <c r="S102" s="984"/>
      <c r="T102" s="991"/>
      <c r="U102" s="136"/>
      <c r="V102" s="1899">
        <v>2.0499999999999998</v>
      </c>
      <c r="W102" s="984"/>
      <c r="X102" s="991"/>
      <c r="Y102" s="984"/>
      <c r="Z102" s="977"/>
      <c r="AA102" s="28"/>
      <c r="AB102" s="28"/>
      <c r="AC102" s="1106"/>
      <c r="AD102" s="3"/>
      <c r="AE102" s="3"/>
    </row>
    <row r="103" spans="1:31" x14ac:dyDescent="0.2">
      <c r="A103" s="930"/>
      <c r="B103" s="987" t="s">
        <v>197</v>
      </c>
      <c r="C103" s="1983">
        <f>SUM(C98:D102)</f>
        <v>18.7</v>
      </c>
      <c r="D103" s="1984"/>
      <c r="E103" s="980"/>
      <c r="F103" s="981"/>
      <c r="G103" s="982"/>
      <c r="H103" s="983"/>
      <c r="I103" s="1983">
        <f>SUM(I98:J102)</f>
        <v>22.55</v>
      </c>
      <c r="J103" s="1984"/>
      <c r="K103" s="984"/>
      <c r="L103" s="985"/>
      <c r="M103" s="984"/>
      <c r="N103" s="991"/>
      <c r="O103" s="1898"/>
      <c r="P103" s="1899">
        <v>28.5</v>
      </c>
      <c r="Q103" s="984"/>
      <c r="R103" s="991"/>
      <c r="S103" s="984"/>
      <c r="T103" s="991"/>
      <c r="U103" s="136"/>
      <c r="V103" s="1899">
        <f>SUM(V98:V102)</f>
        <v>28.75</v>
      </c>
      <c r="W103" s="984"/>
      <c r="X103" s="991"/>
      <c r="Y103" s="984"/>
      <c r="Z103" s="977"/>
      <c r="AA103" s="28"/>
      <c r="AB103" s="28"/>
      <c r="AC103" s="1106"/>
      <c r="AD103" s="3"/>
      <c r="AE103" s="3"/>
    </row>
    <row r="104" spans="1:31" ht="13.5" thickBot="1" x14ac:dyDescent="0.25">
      <c r="A104" s="930"/>
      <c r="B104" s="988" t="s">
        <v>204</v>
      </c>
      <c r="C104" s="2056"/>
      <c r="D104" s="2055"/>
      <c r="E104" s="989"/>
      <c r="F104" s="990"/>
      <c r="G104" s="975"/>
      <c r="H104" s="991"/>
      <c r="I104" s="2056"/>
      <c r="J104" s="2055"/>
      <c r="K104" s="984"/>
      <c r="L104" s="985"/>
      <c r="M104" s="984"/>
      <c r="N104" s="991"/>
      <c r="O104" s="1900"/>
      <c r="P104" s="1901"/>
      <c r="Q104" s="984"/>
      <c r="R104" s="991"/>
      <c r="S104" s="984"/>
      <c r="T104" s="991"/>
      <c r="U104" s="136"/>
      <c r="V104" s="1901"/>
      <c r="W104" s="984"/>
      <c r="X104" s="991"/>
      <c r="Y104" s="984"/>
      <c r="Z104" s="977"/>
      <c r="AA104" s="28"/>
      <c r="AB104" s="28"/>
      <c r="AC104" s="1106"/>
      <c r="AD104" s="3"/>
      <c r="AE104" s="3"/>
    </row>
    <row r="105" spans="1:31" x14ac:dyDescent="0.2">
      <c r="A105" s="930"/>
      <c r="B105" s="979" t="s">
        <v>198</v>
      </c>
      <c r="C105" s="2043">
        <v>977</v>
      </c>
      <c r="D105" s="2044"/>
      <c r="E105" s="992"/>
      <c r="F105" s="993"/>
      <c r="G105" s="994"/>
      <c r="H105" s="995"/>
      <c r="I105" s="2043">
        <v>918</v>
      </c>
      <c r="J105" s="2044"/>
      <c r="K105" s="984"/>
      <c r="L105" s="985"/>
      <c r="M105" s="984"/>
      <c r="N105" s="991"/>
      <c r="O105" s="1902"/>
      <c r="P105" s="1903">
        <v>3343</v>
      </c>
      <c r="Q105" s="984"/>
      <c r="R105" s="991"/>
      <c r="S105" s="984"/>
      <c r="T105" s="991"/>
      <c r="U105" s="136"/>
      <c r="V105" s="1903">
        <v>1098</v>
      </c>
      <c r="W105" s="984"/>
      <c r="X105" s="991"/>
      <c r="Y105" s="984"/>
      <c r="Z105" s="977"/>
      <c r="AA105" s="28"/>
      <c r="AB105" s="28"/>
      <c r="AC105" s="1473"/>
      <c r="AD105" s="3"/>
      <c r="AE105" s="3"/>
    </row>
    <row r="106" spans="1:31" x14ac:dyDescent="0.2">
      <c r="A106" s="930"/>
      <c r="B106" s="987" t="s">
        <v>199</v>
      </c>
      <c r="C106" s="2043">
        <v>3879</v>
      </c>
      <c r="D106" s="2044"/>
      <c r="E106" s="992"/>
      <c r="F106" s="993"/>
      <c r="G106" s="994"/>
      <c r="H106" s="995"/>
      <c r="I106" s="2043">
        <v>4308</v>
      </c>
      <c r="J106" s="2044"/>
      <c r="K106" s="984"/>
      <c r="L106" s="985"/>
      <c r="M106" s="984"/>
      <c r="N106" s="991"/>
      <c r="O106" s="1902"/>
      <c r="P106" s="1903">
        <v>246</v>
      </c>
      <c r="Q106" s="984"/>
      <c r="R106" s="991"/>
      <c r="S106" s="984"/>
      <c r="T106" s="991"/>
      <c r="U106" s="136"/>
      <c r="V106" s="1903">
        <v>1002</v>
      </c>
      <c r="W106" s="984"/>
      <c r="X106" s="991"/>
      <c r="Y106" s="984"/>
      <c r="Z106" s="977"/>
      <c r="AA106" s="28"/>
      <c r="AB106" s="28"/>
      <c r="AC106" s="1473"/>
      <c r="AD106" s="3"/>
      <c r="AE106" s="3"/>
    </row>
    <row r="107" spans="1:31" x14ac:dyDescent="0.2">
      <c r="A107" s="930"/>
      <c r="B107" s="987" t="s">
        <v>200</v>
      </c>
      <c r="C107" s="2043">
        <v>189</v>
      </c>
      <c r="D107" s="2044"/>
      <c r="E107" s="992"/>
      <c r="F107" s="993"/>
      <c r="G107" s="994"/>
      <c r="H107" s="995"/>
      <c r="I107" s="2043">
        <v>184</v>
      </c>
      <c r="J107" s="2044"/>
      <c r="K107" s="984"/>
      <c r="L107" s="985"/>
      <c r="M107" s="984"/>
      <c r="N107" s="991"/>
      <c r="O107" s="1902"/>
      <c r="P107" s="1903">
        <v>2646</v>
      </c>
      <c r="Q107" s="984"/>
      <c r="R107" s="991"/>
      <c r="S107" s="984"/>
      <c r="T107" s="991"/>
      <c r="U107" s="136"/>
      <c r="V107" s="1903">
        <v>4432</v>
      </c>
      <c r="W107" s="984"/>
      <c r="X107" s="991"/>
      <c r="Y107" s="984"/>
      <c r="Z107" s="977"/>
      <c r="AA107" s="28"/>
      <c r="AB107" s="28"/>
      <c r="AC107" s="1473"/>
      <c r="AD107" s="3"/>
      <c r="AE107" s="3"/>
    </row>
    <row r="108" spans="1:31" x14ac:dyDescent="0.2">
      <c r="A108" s="930"/>
      <c r="B108" s="987" t="s">
        <v>209</v>
      </c>
      <c r="C108" s="2043">
        <f>SUM(C105:D107)</f>
        <v>5045</v>
      </c>
      <c r="D108" s="2044"/>
      <c r="E108" s="992"/>
      <c r="F108" s="993"/>
      <c r="G108" s="994"/>
      <c r="H108" s="995"/>
      <c r="I108" s="2043">
        <f>SUM(I105:J107)</f>
        <v>5410</v>
      </c>
      <c r="J108" s="2044"/>
      <c r="K108" s="984"/>
      <c r="L108" s="985"/>
      <c r="M108" s="984"/>
      <c r="N108" s="991"/>
      <c r="O108" s="1902"/>
      <c r="P108" s="1903">
        <v>6235</v>
      </c>
      <c r="Q108" s="984"/>
      <c r="R108" s="991"/>
      <c r="S108" s="984"/>
      <c r="T108" s="991"/>
      <c r="U108" s="136"/>
      <c r="V108" s="1903">
        <f>SUM(V105:V107)</f>
        <v>6532</v>
      </c>
      <c r="W108" s="984"/>
      <c r="X108" s="991"/>
      <c r="Y108" s="984"/>
      <c r="Z108" s="977"/>
      <c r="AA108" s="28"/>
      <c r="AB108" s="28"/>
      <c r="AC108" s="1473"/>
      <c r="AD108" s="3"/>
      <c r="AE108" s="3"/>
    </row>
    <row r="109" spans="1:31" ht="13.5" thickBot="1" x14ac:dyDescent="0.25">
      <c r="A109" s="930"/>
      <c r="B109" s="988" t="s">
        <v>205</v>
      </c>
      <c r="C109" s="2056"/>
      <c r="D109" s="2055"/>
      <c r="E109" s="989"/>
      <c r="F109" s="990"/>
      <c r="G109" s="975"/>
      <c r="H109" s="991"/>
      <c r="I109" s="2056"/>
      <c r="J109" s="2055"/>
      <c r="K109" s="984"/>
      <c r="L109" s="985"/>
      <c r="M109" s="984"/>
      <c r="N109" s="991"/>
      <c r="O109" s="1900"/>
      <c r="P109" s="1901"/>
      <c r="Q109" s="984"/>
      <c r="R109" s="991"/>
      <c r="S109" s="984"/>
      <c r="T109" s="991"/>
      <c r="U109" s="136"/>
      <c r="V109" s="1901"/>
      <c r="W109" s="984"/>
      <c r="X109" s="991"/>
      <c r="Y109" s="984"/>
      <c r="Z109" s="977"/>
      <c r="AA109" s="28"/>
      <c r="AB109" s="28"/>
      <c r="AC109" s="1106"/>
      <c r="AD109" s="28"/>
      <c r="AE109" s="28"/>
    </row>
    <row r="110" spans="1:31" x14ac:dyDescent="0.2">
      <c r="A110" s="930"/>
      <c r="B110" s="979" t="s">
        <v>206</v>
      </c>
      <c r="C110" s="1985">
        <f>C105/C98</f>
        <v>187.88461538461539</v>
      </c>
      <c r="D110" s="1986"/>
      <c r="E110" s="996"/>
      <c r="F110" s="997"/>
      <c r="G110" s="998"/>
      <c r="H110" s="999"/>
      <c r="I110" s="1985">
        <f>I105/I98</f>
        <v>226.66666666666669</v>
      </c>
      <c r="J110" s="1986"/>
      <c r="K110" s="1000"/>
      <c r="L110" s="1001"/>
      <c r="M110" s="1000"/>
      <c r="N110" s="999"/>
      <c r="O110" s="1904"/>
      <c r="P110" s="1905">
        <v>327.74509803921569</v>
      </c>
      <c r="Q110" s="1000"/>
      <c r="R110" s="999"/>
      <c r="S110" s="1000"/>
      <c r="T110" s="999"/>
      <c r="U110" s="494"/>
      <c r="V110" s="1905">
        <f>V105/V98</f>
        <v>106.60194174757281</v>
      </c>
      <c r="W110" s="1000"/>
      <c r="X110" s="999"/>
      <c r="Y110" s="1000"/>
      <c r="Z110" s="1460"/>
      <c r="AA110" s="668"/>
      <c r="AB110" s="668"/>
      <c r="AC110" s="1106"/>
      <c r="AD110" s="21"/>
      <c r="AE110" s="21"/>
    </row>
    <row r="111" spans="1:31" x14ac:dyDescent="0.2">
      <c r="A111" s="930"/>
      <c r="B111" s="987" t="s">
        <v>207</v>
      </c>
      <c r="C111" s="1985">
        <f>C106/C100</f>
        <v>307.85714285714289</v>
      </c>
      <c r="D111" s="1986"/>
      <c r="E111" s="996"/>
      <c r="F111" s="997"/>
      <c r="G111" s="998"/>
      <c r="H111" s="999"/>
      <c r="I111" s="1985">
        <f>I106/I100</f>
        <v>291.08108108108109</v>
      </c>
      <c r="J111" s="1986"/>
      <c r="K111" s="1000"/>
      <c r="L111" s="1001"/>
      <c r="M111" s="1000"/>
      <c r="N111" s="999"/>
      <c r="O111" s="1904"/>
      <c r="P111" s="1905">
        <v>18.923076923076923</v>
      </c>
      <c r="Q111" s="1000"/>
      <c r="R111" s="999"/>
      <c r="S111" s="1000"/>
      <c r="T111" s="999"/>
      <c r="U111" s="494"/>
      <c r="V111" s="1905">
        <f>V106/(V100+V101)</f>
        <v>61.09756097560976</v>
      </c>
      <c r="W111" s="1000"/>
      <c r="X111" s="999"/>
      <c r="Y111" s="1000"/>
      <c r="Z111" s="1460"/>
      <c r="AA111" s="668"/>
      <c r="AB111" s="668"/>
      <c r="AC111" s="1106"/>
      <c r="AD111" s="21"/>
      <c r="AE111" s="21"/>
    </row>
    <row r="112" spans="1:31" x14ac:dyDescent="0.2">
      <c r="A112" s="930"/>
      <c r="B112" s="987" t="s">
        <v>208</v>
      </c>
      <c r="C112" s="1985">
        <f>C107/C102</f>
        <v>472.5</v>
      </c>
      <c r="D112" s="1986"/>
      <c r="E112" s="996"/>
      <c r="F112" s="997"/>
      <c r="G112" s="998"/>
      <c r="H112" s="999"/>
      <c r="I112" s="1985">
        <f>I107/I102</f>
        <v>153.33333333333334</v>
      </c>
      <c r="J112" s="1986"/>
      <c r="K112" s="1000"/>
      <c r="L112" s="1001"/>
      <c r="M112" s="1000"/>
      <c r="N112" s="999"/>
      <c r="O112" s="1904"/>
      <c r="P112" s="1905">
        <v>3307.5</v>
      </c>
      <c r="Q112" s="1000"/>
      <c r="R112" s="999"/>
      <c r="S112" s="1000"/>
      <c r="T112" s="999"/>
      <c r="U112" s="494"/>
      <c r="V112" s="1905">
        <f>V107/V102</f>
        <v>2161.9512195121952</v>
      </c>
      <c r="W112" s="1000"/>
      <c r="X112" s="999"/>
      <c r="Y112" s="1000"/>
      <c r="Z112" s="1460"/>
      <c r="AA112" s="668"/>
      <c r="AB112" s="668"/>
      <c r="AC112" s="1106"/>
      <c r="AD112" s="21"/>
      <c r="AE112" s="21"/>
    </row>
    <row r="113" spans="1:31" ht="13.5" thickBot="1" x14ac:dyDescent="0.25">
      <c r="A113" s="930"/>
      <c r="B113" s="1002" t="s">
        <v>201</v>
      </c>
      <c r="C113" s="2045">
        <f>C108/C103</f>
        <v>269.78609625668452</v>
      </c>
      <c r="D113" s="2046"/>
      <c r="E113" s="1003"/>
      <c r="F113" s="1004"/>
      <c r="G113" s="1005"/>
      <c r="H113" s="1006"/>
      <c r="I113" s="2045">
        <f>I108/I103</f>
        <v>239.91130820399113</v>
      </c>
      <c r="J113" s="2046"/>
      <c r="K113" s="1005"/>
      <c r="L113" s="1006"/>
      <c r="M113" s="1005"/>
      <c r="N113" s="1006"/>
      <c r="O113" s="1906"/>
      <c r="P113" s="1907">
        <v>218.7719298245614</v>
      </c>
      <c r="Q113" s="1005"/>
      <c r="R113" s="1006"/>
      <c r="S113" s="1005"/>
      <c r="T113" s="1006"/>
      <c r="U113" s="1233"/>
      <c r="V113" s="1907">
        <f>V108/V103</f>
        <v>227.2</v>
      </c>
      <c r="W113" s="1005"/>
      <c r="X113" s="1006"/>
      <c r="Y113" s="1005"/>
      <c r="Z113" s="1461"/>
      <c r="AA113" s="668"/>
      <c r="AB113" s="668"/>
      <c r="AC113" s="1106"/>
      <c r="AD113" s="21"/>
      <c r="AE113" s="21"/>
    </row>
    <row r="114" spans="1:31" ht="13.5" thickTop="1" x14ac:dyDescent="0.2">
      <c r="A114" s="3"/>
      <c r="B114" s="3" t="str">
        <f>Dean_AS!B169</f>
        <v>*Note: Beginning with the 2009 collection cycle, Instructional FTE was defined according to the national Delaware Study of Instructional Costs and Productivity</v>
      </c>
    </row>
    <row r="115" spans="1:31" x14ac:dyDescent="0.2">
      <c r="A115" s="3"/>
      <c r="B115" s="3"/>
    </row>
    <row r="116" spans="1:31" x14ac:dyDescent="0.2">
      <c r="A116" s="3"/>
      <c r="B116" s="3"/>
    </row>
    <row r="117" spans="1:31" x14ac:dyDescent="0.2">
      <c r="A117" s="3"/>
      <c r="B117" s="3"/>
    </row>
    <row r="118" spans="1:31" x14ac:dyDescent="0.2">
      <c r="A118" s="3"/>
      <c r="B118" s="3"/>
    </row>
    <row r="119" spans="1:31" x14ac:dyDescent="0.2">
      <c r="A119" s="3"/>
      <c r="B119" s="3"/>
    </row>
    <row r="120" spans="1:31" x14ac:dyDescent="0.2">
      <c r="A120" s="3"/>
      <c r="B120" s="3"/>
    </row>
    <row r="121" spans="1:31" x14ac:dyDescent="0.2">
      <c r="A121" s="3"/>
      <c r="B121" s="3"/>
    </row>
    <row r="122" spans="1:31" x14ac:dyDescent="0.2">
      <c r="A122" s="3"/>
      <c r="B122" s="3"/>
    </row>
    <row r="123" spans="1:31" x14ac:dyDescent="0.2">
      <c r="A123" s="3"/>
      <c r="B123" s="3"/>
    </row>
    <row r="124" spans="1:31" x14ac:dyDescent="0.2">
      <c r="A124" s="3"/>
      <c r="B124" s="3"/>
    </row>
    <row r="125" spans="1:31" x14ac:dyDescent="0.2">
      <c r="A125" s="3"/>
      <c r="B125" s="3"/>
    </row>
    <row r="126" spans="1:31" x14ac:dyDescent="0.2">
      <c r="A126" s="3"/>
      <c r="B126" s="3"/>
    </row>
    <row r="127" spans="1:31" x14ac:dyDescent="0.2">
      <c r="A127" s="3"/>
      <c r="B127" s="3"/>
    </row>
    <row r="128" spans="1:31" x14ac:dyDescent="0.2">
      <c r="A128" s="3"/>
      <c r="B128" s="3"/>
    </row>
    <row r="129" spans="1:2" x14ac:dyDescent="0.2">
      <c r="A129" s="3"/>
      <c r="B129" s="3"/>
    </row>
    <row r="130" spans="1:2" x14ac:dyDescent="0.2">
      <c r="A130" s="3"/>
      <c r="B130" s="3"/>
    </row>
    <row r="131" spans="1:2" x14ac:dyDescent="0.2">
      <c r="A131" s="3"/>
      <c r="B131" s="3"/>
    </row>
    <row r="132" spans="1:2" x14ac:dyDescent="0.2">
      <c r="A132" s="3"/>
      <c r="B132" s="3"/>
    </row>
    <row r="133" spans="1:2" x14ac:dyDescent="0.2">
      <c r="A133" s="3"/>
      <c r="B133" s="3"/>
    </row>
    <row r="134" spans="1:2" x14ac:dyDescent="0.2">
      <c r="A134" s="3"/>
      <c r="B134" s="3"/>
    </row>
    <row r="135" spans="1:2" x14ac:dyDescent="0.2">
      <c r="A135" s="3"/>
      <c r="B135" s="3"/>
    </row>
    <row r="136" spans="1:2" x14ac:dyDescent="0.2">
      <c r="A136" s="3"/>
      <c r="B136" s="3"/>
    </row>
    <row r="137" spans="1:2" x14ac:dyDescent="0.2">
      <c r="A137" s="3"/>
      <c r="B137" s="3"/>
    </row>
    <row r="138" spans="1:2" x14ac:dyDescent="0.2">
      <c r="A138" s="3"/>
      <c r="B138" s="3"/>
    </row>
    <row r="139" spans="1:2" x14ac:dyDescent="0.2">
      <c r="A139" s="3"/>
      <c r="B139" s="3"/>
    </row>
    <row r="140" spans="1:2" x14ac:dyDescent="0.2">
      <c r="A140" s="3"/>
      <c r="B140" s="3"/>
    </row>
    <row r="141" spans="1:2" x14ac:dyDescent="0.2">
      <c r="A141" s="3"/>
      <c r="B141" s="3"/>
    </row>
    <row r="142" spans="1:2" x14ac:dyDescent="0.2">
      <c r="A142" s="3"/>
      <c r="B142" s="3"/>
    </row>
    <row r="143" spans="1:2" x14ac:dyDescent="0.2">
      <c r="A143" s="3"/>
      <c r="B143" s="3"/>
    </row>
    <row r="144" spans="1:2" x14ac:dyDescent="0.2">
      <c r="A144" s="3"/>
      <c r="B144" s="3"/>
    </row>
    <row r="145" spans="1:2" x14ac:dyDescent="0.2">
      <c r="A145" s="3"/>
      <c r="B145" s="3"/>
    </row>
    <row r="146" spans="1:2" x14ac:dyDescent="0.2">
      <c r="A146" s="3"/>
      <c r="B146" s="3"/>
    </row>
    <row r="147" spans="1:2" x14ac:dyDescent="0.2">
      <c r="A147" s="3"/>
      <c r="B147" s="3"/>
    </row>
  </sheetData>
  <mergeCells count="141">
    <mergeCell ref="C28:D28"/>
    <mergeCell ref="E28:F28"/>
    <mergeCell ref="G28:H28"/>
    <mergeCell ref="I103:J103"/>
    <mergeCell ref="C100:D100"/>
    <mergeCell ref="C113:D113"/>
    <mergeCell ref="I113:J113"/>
    <mergeCell ref="AB7:AC7"/>
    <mergeCell ref="AB19:AC19"/>
    <mergeCell ref="AB34:AC34"/>
    <mergeCell ref="AB61:AC61"/>
    <mergeCell ref="AB30:AC30"/>
    <mergeCell ref="AB27:AC27"/>
    <mergeCell ref="C110:D110"/>
    <mergeCell ref="I110:J110"/>
    <mergeCell ref="Q91:R91"/>
    <mergeCell ref="Q96:R96"/>
    <mergeCell ref="Q7:R7"/>
    <mergeCell ref="Q19:R19"/>
    <mergeCell ref="Q27:R27"/>
    <mergeCell ref="Q30:R30"/>
    <mergeCell ref="Q34:R34"/>
    <mergeCell ref="Q61:R61"/>
    <mergeCell ref="U91:V91"/>
    <mergeCell ref="C105:D105"/>
    <mergeCell ref="I105:J105"/>
    <mergeCell ref="C91:D91"/>
    <mergeCell ref="E91:F91"/>
    <mergeCell ref="K91:L91"/>
    <mergeCell ref="M91:N91"/>
    <mergeCell ref="C61:D61"/>
    <mergeCell ref="E61:F61"/>
    <mergeCell ref="E34:F34"/>
    <mergeCell ref="C34:D34"/>
    <mergeCell ref="G61:H61"/>
    <mergeCell ref="I34:J34"/>
    <mergeCell ref="C112:D112"/>
    <mergeCell ref="I112:J112"/>
    <mergeCell ref="C107:D107"/>
    <mergeCell ref="I107:J107"/>
    <mergeCell ref="C108:D108"/>
    <mergeCell ref="I108:J108"/>
    <mergeCell ref="C109:D109"/>
    <mergeCell ref="I109:J109"/>
    <mergeCell ref="C98:D98"/>
    <mergeCell ref="I98:J98"/>
    <mergeCell ref="C99:D99"/>
    <mergeCell ref="I99:J99"/>
    <mergeCell ref="C102:D102"/>
    <mergeCell ref="I102:J102"/>
    <mergeCell ref="I100:J100"/>
    <mergeCell ref="C101:D101"/>
    <mergeCell ref="I101:J101"/>
    <mergeCell ref="C103:D103"/>
    <mergeCell ref="C106:D106"/>
    <mergeCell ref="I106:J106"/>
    <mergeCell ref="C111:D111"/>
    <mergeCell ref="I111:J111"/>
    <mergeCell ref="C104:D104"/>
    <mergeCell ref="I104:J104"/>
    <mergeCell ref="AB91:AC91"/>
    <mergeCell ref="C96:D96"/>
    <mergeCell ref="E96:F96"/>
    <mergeCell ref="G96:H96"/>
    <mergeCell ref="I96:J96"/>
    <mergeCell ref="K96:L96"/>
    <mergeCell ref="M96:N96"/>
    <mergeCell ref="AB96:AC96"/>
    <mergeCell ref="O91:P91"/>
    <mergeCell ref="G91:H91"/>
    <mergeCell ref="I91:J91"/>
    <mergeCell ref="W91:X91"/>
    <mergeCell ref="W96:X96"/>
    <mergeCell ref="U96:V96"/>
    <mergeCell ref="O96:P96"/>
    <mergeCell ref="C19:D19"/>
    <mergeCell ref="E19:F19"/>
    <mergeCell ref="G19:H19"/>
    <mergeCell ref="I7:J7"/>
    <mergeCell ref="I19:J19"/>
    <mergeCell ref="C29:D29"/>
    <mergeCell ref="E29:F29"/>
    <mergeCell ref="I61:J61"/>
    <mergeCell ref="O34:P34"/>
    <mergeCell ref="O61:P61"/>
    <mergeCell ref="K34:L34"/>
    <mergeCell ref="K61:L61"/>
    <mergeCell ref="M34:N34"/>
    <mergeCell ref="G34:H34"/>
    <mergeCell ref="M61:N61"/>
    <mergeCell ref="M27:N27"/>
    <mergeCell ref="M30:N30"/>
    <mergeCell ref="C27:D27"/>
    <mergeCell ref="E27:F27"/>
    <mergeCell ref="G27:H27"/>
    <mergeCell ref="G29:H29"/>
    <mergeCell ref="C30:D30"/>
    <mergeCell ref="E30:F30"/>
    <mergeCell ref="G30:H30"/>
    <mergeCell ref="M7:N7"/>
    <mergeCell ref="M19:N19"/>
    <mergeCell ref="K30:L30"/>
    <mergeCell ref="I28:J28"/>
    <mergeCell ref="I27:J27"/>
    <mergeCell ref="K7:L7"/>
    <mergeCell ref="K19:L19"/>
    <mergeCell ref="O7:P7"/>
    <mergeCell ref="O19:P19"/>
    <mergeCell ref="O27:P27"/>
    <mergeCell ref="K27:L27"/>
    <mergeCell ref="I30:J30"/>
    <mergeCell ref="I29:J29"/>
    <mergeCell ref="U30:V30"/>
    <mergeCell ref="U34:V34"/>
    <mergeCell ref="U61:V61"/>
    <mergeCell ref="O30:P30"/>
    <mergeCell ref="S91:T91"/>
    <mergeCell ref="S96:T96"/>
    <mergeCell ref="S7:T7"/>
    <mergeCell ref="S19:T19"/>
    <mergeCell ref="S27:T27"/>
    <mergeCell ref="S30:T30"/>
    <mergeCell ref="S34:T34"/>
    <mergeCell ref="S61:T61"/>
    <mergeCell ref="U27:V27"/>
    <mergeCell ref="U7:V7"/>
    <mergeCell ref="U19:V19"/>
    <mergeCell ref="Y7:Z7"/>
    <mergeCell ref="Y19:Z19"/>
    <mergeCell ref="Y27:Z27"/>
    <mergeCell ref="Y30:Z30"/>
    <mergeCell ref="Y34:Z34"/>
    <mergeCell ref="Y61:Z61"/>
    <mergeCell ref="Y91:Z91"/>
    <mergeCell ref="Y96:Z96"/>
    <mergeCell ref="W7:X7"/>
    <mergeCell ref="W19:X19"/>
    <mergeCell ref="W27:X27"/>
    <mergeCell ref="W30:X30"/>
    <mergeCell ref="W34:X34"/>
    <mergeCell ref="W61:X61"/>
  </mergeCells>
  <phoneticPr fontId="3" type="noConversion"/>
  <printOptions horizontalCentered="1"/>
  <pageMargins left="0.5" right="0.5" top="0.5" bottom="0.5" header="0.5" footer="0.5"/>
  <pageSetup scale="70" orientation="landscape" r:id="rId1"/>
  <headerFooter alignWithMargins="0">
    <oddFooter>&amp;R&amp;P of &amp;N
&amp;D</oddFooter>
  </headerFooter>
  <rowBreaks count="1" manualBreakCount="1">
    <brk id="57" max="24" man="1"/>
  </rowBreaks>
  <ignoredErrors>
    <ignoredError sqref="K71:R90 S71:S90 W71:X87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3"/>
  <sheetViews>
    <sheetView view="pageBreakPreview" zoomScaleNormal="85" zoomScaleSheetLayoutView="100" workbookViewId="0">
      <pane xSplit="2" ySplit="1" topLeftCell="O2" activePane="bottomRight" state="frozen"/>
      <selection activeCell="AF81" sqref="AF81"/>
      <selection pane="topRight" activeCell="AF81" sqref="AF81"/>
      <selection pane="bottomLeft" activeCell="AF81" sqref="AF81"/>
      <selection pane="bottomRight" activeCell="AF81" sqref="AF81"/>
    </sheetView>
  </sheetViews>
  <sheetFormatPr defaultRowHeight="12.75" x14ac:dyDescent="0.2"/>
  <cols>
    <col min="1" max="1" width="1.85546875" customWidth="1"/>
    <col min="2" max="2" width="33.42578125" customWidth="1"/>
    <col min="3" max="8" width="9" hidden="1" customWidth="1"/>
    <col min="9" max="9" width="7.5703125" hidden="1" customWidth="1"/>
    <col min="10" max="10" width="10.140625" hidden="1" customWidth="1"/>
    <col min="11" max="11" width="7.140625" hidden="1" customWidth="1"/>
    <col min="12" max="12" width="9.140625" hidden="1" customWidth="1"/>
    <col min="13" max="13" width="7.5703125" hidden="1" customWidth="1"/>
    <col min="14" max="14" width="9.7109375" hidden="1" customWidth="1"/>
    <col min="15" max="15" width="7.7109375" customWidth="1"/>
    <col min="16" max="16" width="9" customWidth="1"/>
    <col min="17" max="17" width="7.7109375" customWidth="1"/>
    <col min="18" max="18" width="9" customWidth="1"/>
    <col min="19" max="19" width="7.7109375" customWidth="1"/>
    <col min="20" max="20" width="9" customWidth="1"/>
    <col min="21" max="21" width="7.7109375" customWidth="1"/>
    <col min="22" max="22" width="9" customWidth="1"/>
    <col min="23" max="23" width="7.7109375" customWidth="1"/>
    <col min="24" max="24" width="9" customWidth="1"/>
    <col min="25" max="25" width="7.7109375" customWidth="1"/>
    <col min="26" max="26" width="9" customWidth="1"/>
    <col min="27" max="27" width="1.85546875" customWidth="1"/>
    <col min="28" max="28" width="7.85546875" customWidth="1"/>
    <col min="30" max="30" width="1.28515625" customWidth="1"/>
  </cols>
  <sheetData>
    <row r="1" spans="1:44" ht="18" x14ac:dyDescent="0.25">
      <c r="A1" s="1183" t="str">
        <f>Dean_AS!A1</f>
        <v>Department Profile Report - FY 2015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  <c r="O1" s="1182"/>
      <c r="P1" s="1182"/>
      <c r="Q1" s="1182"/>
      <c r="R1" s="1182"/>
      <c r="S1" s="1182"/>
      <c r="T1" s="1182"/>
      <c r="U1" s="1182"/>
      <c r="V1" s="1182"/>
      <c r="W1" s="1182"/>
      <c r="X1" s="1182"/>
      <c r="Y1" s="1182"/>
      <c r="Z1" s="1182"/>
      <c r="AA1" s="1182"/>
      <c r="AB1" s="561"/>
      <c r="AC1" s="561"/>
      <c r="AD1" s="561"/>
      <c r="AE1" s="561"/>
      <c r="AF1" s="561"/>
      <c r="AG1" s="561"/>
      <c r="AH1" s="561"/>
      <c r="AI1" s="561"/>
      <c r="AJ1" s="561"/>
      <c r="AK1" s="561"/>
      <c r="AL1" s="561"/>
      <c r="AM1" s="561"/>
      <c r="AN1" s="561"/>
      <c r="AO1" s="561"/>
      <c r="AP1" s="561"/>
      <c r="AQ1" s="561"/>
      <c r="AR1" s="561"/>
    </row>
    <row r="2" spans="1:44" x14ac:dyDescent="0.2">
      <c r="A2" s="2" t="s">
        <v>165</v>
      </c>
      <c r="B2" s="618"/>
      <c r="C2" s="618"/>
      <c r="D2" s="618"/>
      <c r="E2" s="618"/>
      <c r="F2" s="618"/>
      <c r="G2" s="618"/>
      <c r="H2" s="618"/>
      <c r="I2" s="619"/>
      <c r="J2" s="619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617"/>
      <c r="Z2" s="617"/>
      <c r="AA2" s="617"/>
    </row>
    <row r="3" spans="1:44" ht="6" customHeight="1" x14ac:dyDescent="0.2">
      <c r="A3" s="3"/>
      <c r="B3" s="618"/>
      <c r="C3" s="618"/>
      <c r="D3" s="618"/>
      <c r="E3" s="618"/>
      <c r="F3" s="618"/>
      <c r="G3" s="618"/>
      <c r="H3" s="618"/>
      <c r="I3" s="619"/>
      <c r="J3" s="619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</row>
    <row r="4" spans="1:44" x14ac:dyDescent="0.2">
      <c r="A4" s="2" t="s">
        <v>77</v>
      </c>
      <c r="B4" s="618"/>
      <c r="C4" s="618"/>
      <c r="D4" s="618"/>
      <c r="E4" s="618"/>
      <c r="F4" s="618"/>
      <c r="G4" s="618"/>
      <c r="H4" s="618"/>
      <c r="I4" s="619"/>
      <c r="J4" s="619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7"/>
      <c r="Z4" s="617"/>
      <c r="AA4" s="617"/>
    </row>
    <row r="5" spans="1:44" ht="7.5" customHeight="1" thickBot="1" x14ac:dyDescent="0.25">
      <c r="A5" s="4"/>
      <c r="B5" s="618"/>
      <c r="C5" s="618"/>
      <c r="D5" s="618"/>
      <c r="E5" s="618"/>
      <c r="F5" s="618"/>
      <c r="G5" s="618"/>
      <c r="H5" s="618"/>
      <c r="I5" s="619"/>
      <c r="J5" s="619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7"/>
      <c r="Z5" s="617"/>
      <c r="AA5" s="617"/>
    </row>
    <row r="6" spans="1:44" ht="14.25" thickTop="1" thickBot="1" x14ac:dyDescent="0.25">
      <c r="A6" s="3"/>
      <c r="B6" s="1349"/>
      <c r="C6" s="622" t="s">
        <v>49</v>
      </c>
      <c r="D6" s="623"/>
      <c r="E6" s="624" t="s">
        <v>50</v>
      </c>
      <c r="F6" s="625"/>
      <c r="G6" s="626" t="s">
        <v>141</v>
      </c>
      <c r="H6" s="627"/>
      <c r="I6" s="2093" t="s">
        <v>152</v>
      </c>
      <c r="J6" s="2093"/>
      <c r="K6" s="2096" t="s">
        <v>154</v>
      </c>
      <c r="L6" s="2093"/>
      <c r="M6" s="2096" t="s">
        <v>171</v>
      </c>
      <c r="N6" s="2095"/>
      <c r="O6" s="2093" t="s">
        <v>227</v>
      </c>
      <c r="P6" s="2095"/>
      <c r="Q6" s="2093" t="s">
        <v>237</v>
      </c>
      <c r="R6" s="2095"/>
      <c r="S6" s="2093" t="s">
        <v>272</v>
      </c>
      <c r="T6" s="2095"/>
      <c r="U6" s="2093" t="s">
        <v>274</v>
      </c>
      <c r="V6" s="2095"/>
      <c r="W6" s="2093" t="s">
        <v>280</v>
      </c>
      <c r="X6" s="2095"/>
      <c r="Y6" s="2093" t="s">
        <v>290</v>
      </c>
      <c r="Z6" s="2094"/>
      <c r="AA6" s="617"/>
      <c r="AB6" s="2003" t="s">
        <v>213</v>
      </c>
      <c r="AC6" s="2004"/>
    </row>
    <row r="7" spans="1:44" x14ac:dyDescent="0.2">
      <c r="A7" s="3"/>
      <c r="B7" s="628"/>
      <c r="C7" s="629" t="s">
        <v>1</v>
      </c>
      <c r="D7" s="630" t="s">
        <v>2</v>
      </c>
      <c r="E7" s="629" t="s">
        <v>1</v>
      </c>
      <c r="F7" s="631" t="s">
        <v>2</v>
      </c>
      <c r="G7" s="632" t="s">
        <v>1</v>
      </c>
      <c r="H7" s="633" t="s">
        <v>2</v>
      </c>
      <c r="I7" s="634" t="s">
        <v>1</v>
      </c>
      <c r="J7" s="635" t="s">
        <v>2</v>
      </c>
      <c r="K7" s="632" t="s">
        <v>1</v>
      </c>
      <c r="L7" s="635" t="s">
        <v>2</v>
      </c>
      <c r="M7" s="632" t="s">
        <v>1</v>
      </c>
      <c r="N7" s="633" t="s">
        <v>2</v>
      </c>
      <c r="O7" s="634" t="s">
        <v>1</v>
      </c>
      <c r="P7" s="633" t="s">
        <v>2</v>
      </c>
      <c r="Q7" s="634" t="s">
        <v>1</v>
      </c>
      <c r="R7" s="633" t="s">
        <v>2</v>
      </c>
      <c r="S7" s="634" t="s">
        <v>1</v>
      </c>
      <c r="T7" s="633" t="s">
        <v>2</v>
      </c>
      <c r="U7" s="634" t="s">
        <v>1</v>
      </c>
      <c r="V7" s="633" t="s">
        <v>2</v>
      </c>
      <c r="W7" s="634" t="s">
        <v>1</v>
      </c>
      <c r="X7" s="633" t="s">
        <v>2</v>
      </c>
      <c r="Y7" s="634" t="s">
        <v>1</v>
      </c>
      <c r="Z7" s="636" t="s">
        <v>2</v>
      </c>
      <c r="AA7" s="617"/>
      <c r="AB7" s="921" t="s">
        <v>214</v>
      </c>
      <c r="AC7" s="922" t="s">
        <v>215</v>
      </c>
    </row>
    <row r="8" spans="1:44" ht="13.5" thickBot="1" x14ac:dyDescent="0.25">
      <c r="A8" s="3"/>
      <c r="B8" s="637"/>
      <c r="C8" s="1351" t="s">
        <v>3</v>
      </c>
      <c r="D8" s="1353" t="s">
        <v>4</v>
      </c>
      <c r="E8" s="1351" t="s">
        <v>3</v>
      </c>
      <c r="F8" s="1352" t="s">
        <v>4</v>
      </c>
      <c r="G8" s="1351" t="s">
        <v>3</v>
      </c>
      <c r="H8" s="1353" t="s">
        <v>4</v>
      </c>
      <c r="I8" s="1354" t="s">
        <v>3</v>
      </c>
      <c r="J8" s="1352" t="s">
        <v>4</v>
      </c>
      <c r="K8" s="1351" t="s">
        <v>3</v>
      </c>
      <c r="L8" s="1352" t="s">
        <v>4</v>
      </c>
      <c r="M8" s="1351" t="s">
        <v>3</v>
      </c>
      <c r="N8" s="1353" t="s">
        <v>4</v>
      </c>
      <c r="O8" s="1354" t="s">
        <v>3</v>
      </c>
      <c r="P8" s="1353" t="s">
        <v>4</v>
      </c>
      <c r="Q8" s="1354" t="s">
        <v>3</v>
      </c>
      <c r="R8" s="1353" t="s">
        <v>4</v>
      </c>
      <c r="S8" s="1354" t="s">
        <v>3</v>
      </c>
      <c r="T8" s="1353" t="s">
        <v>4</v>
      </c>
      <c r="U8" s="1354" t="s">
        <v>3</v>
      </c>
      <c r="V8" s="1353" t="s">
        <v>4</v>
      </c>
      <c r="W8" s="1354" t="s">
        <v>3</v>
      </c>
      <c r="X8" s="1353" t="s">
        <v>4</v>
      </c>
      <c r="Y8" s="1354" t="s">
        <v>3</v>
      </c>
      <c r="Z8" s="1355" t="s">
        <v>4</v>
      </c>
      <c r="AA8" s="617"/>
      <c r="AB8" s="923" t="s">
        <v>3</v>
      </c>
      <c r="AC8" s="924" t="s">
        <v>4</v>
      </c>
    </row>
    <row r="9" spans="1:44" s="617" customFormat="1" x14ac:dyDescent="0.2">
      <c r="A9" s="618"/>
      <c r="B9" s="642" t="s">
        <v>5</v>
      </c>
      <c r="C9" s="638"/>
      <c r="D9" s="639"/>
      <c r="E9" s="638"/>
      <c r="F9" s="640"/>
      <c r="G9" s="641"/>
      <c r="H9" s="639"/>
      <c r="I9" s="638"/>
      <c r="J9" s="643"/>
      <c r="K9" s="641"/>
      <c r="L9" s="643"/>
      <c r="M9" s="641"/>
      <c r="N9" s="1254"/>
      <c r="O9" s="638"/>
      <c r="P9" s="1254"/>
      <c r="Q9" s="638"/>
      <c r="R9" s="1254"/>
      <c r="S9" s="638"/>
      <c r="T9" s="1254"/>
      <c r="U9" s="638"/>
      <c r="V9" s="1254"/>
      <c r="W9" s="638"/>
      <c r="X9" s="1254"/>
      <c r="Y9" s="638"/>
      <c r="Z9" s="644"/>
      <c r="AB9" s="925"/>
      <c r="AC9" s="581"/>
    </row>
    <row r="10" spans="1:44" s="617" customFormat="1" x14ac:dyDescent="0.2">
      <c r="A10" s="618"/>
      <c r="B10" s="645" t="s">
        <v>27</v>
      </c>
      <c r="C10" s="646"/>
      <c r="D10" s="647"/>
      <c r="E10" s="646"/>
      <c r="F10" s="648"/>
      <c r="G10" s="649"/>
      <c r="H10" s="647"/>
      <c r="I10" s="650"/>
      <c r="J10" s="651"/>
      <c r="K10" s="652"/>
      <c r="L10" s="651"/>
      <c r="M10" s="652"/>
      <c r="N10" s="1255"/>
      <c r="O10" s="1253"/>
      <c r="P10" s="1255"/>
      <c r="Q10" s="1253"/>
      <c r="R10" s="1255"/>
      <c r="S10" s="1253"/>
      <c r="T10" s="1255"/>
      <c r="U10" s="1253"/>
      <c r="V10" s="1255"/>
      <c r="W10" s="1253"/>
      <c r="X10" s="1255"/>
      <c r="Y10" s="1253"/>
      <c r="Z10" s="653"/>
      <c r="AB10" s="926"/>
      <c r="AC10" s="927"/>
    </row>
    <row r="11" spans="1:44" s="617" customFormat="1" x14ac:dyDescent="0.2">
      <c r="A11" s="618"/>
      <c r="B11" s="654" t="s">
        <v>221</v>
      </c>
      <c r="C11" s="655"/>
      <c r="D11" s="656"/>
      <c r="E11" s="646">
        <f>6+24</f>
        <v>30</v>
      </c>
      <c r="F11" s="648">
        <v>8</v>
      </c>
      <c r="G11" s="649">
        <v>22</v>
      </c>
      <c r="H11" s="647">
        <f>2+1</f>
        <v>3</v>
      </c>
      <c r="I11" s="650">
        <v>28</v>
      </c>
      <c r="J11" s="651">
        <f>5+4</f>
        <v>9</v>
      </c>
      <c r="K11" s="649">
        <v>30</v>
      </c>
      <c r="L11" s="651">
        <f>2+4</f>
        <v>6</v>
      </c>
      <c r="M11" s="649">
        <f>19+11</f>
        <v>30</v>
      </c>
      <c r="N11" s="1255">
        <v>7</v>
      </c>
      <c r="O11" s="650">
        <v>33</v>
      </c>
      <c r="P11" s="1255">
        <f>5+5</f>
        <v>10</v>
      </c>
      <c r="Q11" s="650">
        <v>31</v>
      </c>
      <c r="R11" s="1255">
        <v>10</v>
      </c>
      <c r="S11" s="650">
        <v>25</v>
      </c>
      <c r="T11" s="1255">
        <v>10</v>
      </c>
      <c r="U11" s="650">
        <v>24</v>
      </c>
      <c r="V11" s="1255">
        <v>7</v>
      </c>
      <c r="W11" s="650">
        <v>29</v>
      </c>
      <c r="X11" s="1255">
        <v>9</v>
      </c>
      <c r="Y11" s="650">
        <v>27</v>
      </c>
      <c r="Z11" s="1665"/>
      <c r="AA11" s="1032"/>
      <c r="AB11" s="926">
        <f>AVERAGE(W11,U11,Q11,S11,Y11)</f>
        <v>27.2</v>
      </c>
      <c r="AC11" s="928">
        <f>AVERAGE(X11,V11,R11,T11,P11)</f>
        <v>9.1999999999999993</v>
      </c>
    </row>
    <row r="12" spans="1:44" s="617" customFormat="1" x14ac:dyDescent="0.2">
      <c r="A12" s="618"/>
      <c r="B12" s="654" t="s">
        <v>80</v>
      </c>
      <c r="C12" s="646">
        <v>38</v>
      </c>
      <c r="D12" s="647">
        <v>18</v>
      </c>
      <c r="E12" s="646">
        <v>26</v>
      </c>
      <c r="F12" s="648">
        <v>16</v>
      </c>
      <c r="G12" s="649">
        <v>64</v>
      </c>
      <c r="H12" s="647">
        <v>13</v>
      </c>
      <c r="I12" s="650">
        <v>56</v>
      </c>
      <c r="J12" s="651">
        <v>23</v>
      </c>
      <c r="K12" s="649">
        <v>58</v>
      </c>
      <c r="L12" s="651">
        <v>18</v>
      </c>
      <c r="M12" s="649">
        <v>59</v>
      </c>
      <c r="N12" s="1255">
        <v>23</v>
      </c>
      <c r="O12" s="650">
        <v>61</v>
      </c>
      <c r="P12" s="1255">
        <v>27</v>
      </c>
      <c r="Q12" s="650">
        <v>41</v>
      </c>
      <c r="R12" s="1255">
        <v>19</v>
      </c>
      <c r="S12" s="650">
        <v>30</v>
      </c>
      <c r="T12" s="1255">
        <v>17</v>
      </c>
      <c r="U12" s="650">
        <v>39</v>
      </c>
      <c r="V12" s="1255">
        <v>19</v>
      </c>
      <c r="W12" s="650">
        <v>45</v>
      </c>
      <c r="X12" s="1255">
        <v>19</v>
      </c>
      <c r="Y12" s="650">
        <v>57</v>
      </c>
      <c r="Z12" s="1665"/>
      <c r="AA12" s="1032"/>
      <c r="AB12" s="926">
        <f>AVERAGE(W12,U12,Q12,S12,Y12)</f>
        <v>42.4</v>
      </c>
      <c r="AC12" s="928">
        <f t="shared" ref="AC12:AC14" si="0">AVERAGE(X12,V12,R12,T12,P12)</f>
        <v>20.2</v>
      </c>
      <c r="AF12" s="617" t="s">
        <v>29</v>
      </c>
    </row>
    <row r="13" spans="1:44" s="617" customFormat="1" hidden="1" x14ac:dyDescent="0.2">
      <c r="A13" s="618"/>
      <c r="B13" s="654" t="s">
        <v>39</v>
      </c>
      <c r="C13" s="646">
        <v>14</v>
      </c>
      <c r="D13" s="658" t="s">
        <v>25</v>
      </c>
      <c r="E13" s="619">
        <v>0</v>
      </c>
      <c r="F13" s="658" t="s">
        <v>25</v>
      </c>
      <c r="G13" s="649">
        <v>0</v>
      </c>
      <c r="H13" s="659">
        <v>1</v>
      </c>
      <c r="I13" s="660"/>
      <c r="J13" s="661"/>
      <c r="K13" s="819"/>
      <c r="L13" s="661"/>
      <c r="M13" s="819"/>
      <c r="N13" s="1256"/>
      <c r="O13" s="660"/>
      <c r="P13" s="1255"/>
      <c r="Q13" s="660"/>
      <c r="R13" s="1255"/>
      <c r="S13" s="660"/>
      <c r="T13" s="1255"/>
      <c r="U13" s="650"/>
      <c r="V13" s="1255"/>
      <c r="W13" s="660"/>
      <c r="X13" s="1255"/>
      <c r="Y13" s="660"/>
      <c r="Z13" s="1665"/>
      <c r="AA13" s="1032"/>
      <c r="AB13" s="926" t="e">
        <f t="shared" ref="AB13" si="1">AVERAGE(W13,U13,S13,Q13,O13)</f>
        <v>#DIV/0!</v>
      </c>
      <c r="AC13" s="928" t="e">
        <f t="shared" si="0"/>
        <v>#DIV/0!</v>
      </c>
    </row>
    <row r="14" spans="1:44" s="617" customFormat="1" x14ac:dyDescent="0.2">
      <c r="A14" s="618"/>
      <c r="B14" s="654" t="s">
        <v>82</v>
      </c>
      <c r="C14" s="662">
        <v>8</v>
      </c>
      <c r="D14" s="663">
        <v>7</v>
      </c>
      <c r="E14" s="664">
        <v>4</v>
      </c>
      <c r="F14" s="665">
        <v>4</v>
      </c>
      <c r="G14" s="649">
        <v>2</v>
      </c>
      <c r="H14" s="663">
        <v>5</v>
      </c>
      <c r="I14" s="650">
        <v>1</v>
      </c>
      <c r="J14" s="665">
        <v>2</v>
      </c>
      <c r="K14" s="649">
        <v>0</v>
      </c>
      <c r="L14" s="666">
        <v>3</v>
      </c>
      <c r="M14" s="649">
        <v>0</v>
      </c>
      <c r="N14" s="1403">
        <v>10</v>
      </c>
      <c r="O14" s="650">
        <v>1</v>
      </c>
      <c r="P14" s="1403">
        <v>10</v>
      </c>
      <c r="Q14" s="650">
        <v>0</v>
      </c>
      <c r="R14" s="1403">
        <v>7</v>
      </c>
      <c r="S14" s="650">
        <v>1</v>
      </c>
      <c r="T14" s="1403">
        <v>5</v>
      </c>
      <c r="U14" s="650">
        <v>6</v>
      </c>
      <c r="V14" s="1403">
        <v>3</v>
      </c>
      <c r="W14" s="650">
        <v>12</v>
      </c>
      <c r="X14" s="1403">
        <v>7</v>
      </c>
      <c r="Y14" s="650">
        <v>7</v>
      </c>
      <c r="Z14" s="1672"/>
      <c r="AA14" s="1032"/>
      <c r="AB14" s="926">
        <f>AVERAGE(W14,U14,Q14,S14,Y14)</f>
        <v>5.2</v>
      </c>
      <c r="AC14" s="928">
        <f t="shared" si="0"/>
        <v>6.4</v>
      </c>
    </row>
    <row r="15" spans="1:44" s="617" customFormat="1" x14ac:dyDescent="0.2">
      <c r="A15" s="618"/>
      <c r="B15" s="1922" t="s">
        <v>289</v>
      </c>
      <c r="C15" s="1919"/>
      <c r="D15" s="795"/>
      <c r="E15" s="619"/>
      <c r="F15" s="1923"/>
      <c r="G15" s="1924"/>
      <c r="H15" s="1424"/>
      <c r="I15" s="1919"/>
      <c r="J15" s="494"/>
      <c r="K15" s="1924"/>
      <c r="L15" s="494"/>
      <c r="M15" s="1924"/>
      <c r="N15" s="1402"/>
      <c r="O15" s="1919"/>
      <c r="P15" s="1402"/>
      <c r="Q15" s="1919"/>
      <c r="R15" s="1402"/>
      <c r="S15" s="1919"/>
      <c r="T15" s="1402"/>
      <c r="U15" s="1919"/>
      <c r="V15" s="1402"/>
      <c r="W15" s="1919"/>
      <c r="X15" s="1402"/>
      <c r="Y15" s="1919"/>
      <c r="Z15" s="1954"/>
      <c r="AA15" s="1032"/>
      <c r="AB15" s="1920"/>
      <c r="AC15" s="1921"/>
    </row>
    <row r="16" spans="1:44" s="617" customFormat="1" ht="13.5" thickBot="1" x14ac:dyDescent="0.25">
      <c r="A16" s="618"/>
      <c r="B16" s="784" t="s">
        <v>80</v>
      </c>
      <c r="C16" s="1925"/>
      <c r="D16" s="1684"/>
      <c r="E16" s="1792"/>
      <c r="F16" s="1926"/>
      <c r="G16" s="1927"/>
      <c r="H16" s="1684"/>
      <c r="I16" s="1928"/>
      <c r="J16" s="1926"/>
      <c r="K16" s="1927"/>
      <c r="L16" s="1929"/>
      <c r="M16" s="1927"/>
      <c r="N16" s="1930"/>
      <c r="O16" s="1928"/>
      <c r="P16" s="1930"/>
      <c r="Q16" s="1928"/>
      <c r="R16" s="1930"/>
      <c r="S16" s="1928"/>
      <c r="T16" s="1930"/>
      <c r="U16" s="1928"/>
      <c r="V16" s="1930"/>
      <c r="W16" s="775">
        <v>0</v>
      </c>
      <c r="X16" s="1932">
        <v>0</v>
      </c>
      <c r="Y16" s="775">
        <v>3</v>
      </c>
      <c r="Z16" s="1851"/>
      <c r="AA16" s="1032"/>
      <c r="AB16" s="929"/>
      <c r="AC16" s="1021"/>
    </row>
    <row r="17" spans="1:32" ht="13.5" thickTop="1" x14ac:dyDescent="0.2">
      <c r="A17" s="3"/>
      <c r="B17" s="480" t="s">
        <v>183</v>
      </c>
      <c r="C17" s="480"/>
      <c r="D17" s="480"/>
      <c r="E17" s="480"/>
      <c r="F17" s="480"/>
      <c r="G17" s="480"/>
      <c r="H17" s="480"/>
      <c r="I17" s="133"/>
      <c r="J17" s="135"/>
      <c r="K17" s="133"/>
      <c r="L17" s="135"/>
      <c r="M17" s="133"/>
      <c r="N17" s="135"/>
      <c r="O17" s="133"/>
      <c r="P17" s="135"/>
      <c r="Q17" s="133"/>
      <c r="R17" s="135"/>
      <c r="S17" s="133"/>
      <c r="T17" s="135"/>
      <c r="U17" s="133"/>
      <c r="V17" s="135"/>
      <c r="W17" s="133"/>
      <c r="X17" s="135"/>
      <c r="Y17" s="133"/>
      <c r="Z17" s="135"/>
      <c r="AB17" s="668"/>
      <c r="AC17" s="494"/>
      <c r="AD17" s="91"/>
    </row>
    <row r="18" spans="1:32" ht="9.75" customHeight="1" thickBot="1" x14ac:dyDescent="0.25">
      <c r="A18" s="3"/>
      <c r="B18" s="3"/>
      <c r="C18" s="3"/>
      <c r="D18" s="3"/>
      <c r="E18" s="3"/>
      <c r="F18" s="3"/>
      <c r="G18" s="3"/>
      <c r="H18" s="3"/>
      <c r="I18" s="133"/>
      <c r="J18" s="135"/>
      <c r="K18" s="133"/>
      <c r="L18" s="135"/>
      <c r="M18" s="133"/>
      <c r="N18" s="135"/>
      <c r="O18" s="133"/>
      <c r="P18" s="135"/>
      <c r="Q18" s="133"/>
      <c r="R18" s="135"/>
      <c r="S18" s="133"/>
      <c r="T18" s="135"/>
      <c r="U18" s="133"/>
      <c r="V18" s="135"/>
      <c r="W18" s="133"/>
      <c r="X18" s="135"/>
      <c r="Y18" s="133"/>
      <c r="Z18" s="135"/>
    </row>
    <row r="19" spans="1:32" ht="14.25" thickTop="1" thickBot="1" x14ac:dyDescent="0.25">
      <c r="A19" s="3"/>
      <c r="B19" s="32"/>
      <c r="C19" s="609"/>
      <c r="D19" s="578"/>
      <c r="E19" s="2002" t="s">
        <v>50</v>
      </c>
      <c r="F19" s="1982"/>
      <c r="G19" s="2002" t="s">
        <v>141</v>
      </c>
      <c r="H19" s="1974"/>
      <c r="I19" s="2002" t="s">
        <v>152</v>
      </c>
      <c r="J19" s="1982"/>
      <c r="K19" s="2002" t="s">
        <v>154</v>
      </c>
      <c r="L19" s="1974"/>
      <c r="M19" s="2002" t="s">
        <v>171</v>
      </c>
      <c r="N19" s="1982"/>
      <c r="O19" s="2002" t="s">
        <v>227</v>
      </c>
      <c r="P19" s="1982"/>
      <c r="Q19" s="1974" t="s">
        <v>237</v>
      </c>
      <c r="R19" s="1982"/>
      <c r="S19" s="1974" t="s">
        <v>272</v>
      </c>
      <c r="T19" s="1982"/>
      <c r="U19" s="1974" t="s">
        <v>274</v>
      </c>
      <c r="V19" s="1982"/>
      <c r="W19" s="1974" t="s">
        <v>280</v>
      </c>
      <c r="X19" s="1982"/>
      <c r="Y19" s="1974" t="s">
        <v>290</v>
      </c>
      <c r="Z19" s="1975"/>
      <c r="AB19" s="2003" t="s">
        <v>213</v>
      </c>
      <c r="AC19" s="2004"/>
    </row>
    <row r="20" spans="1:32" x14ac:dyDescent="0.2">
      <c r="A20" s="3"/>
      <c r="B20" s="81" t="s">
        <v>7</v>
      </c>
      <c r="C20" s="180"/>
      <c r="D20" s="180"/>
      <c r="E20" s="1058"/>
      <c r="F20" s="1367"/>
      <c r="G20" s="1058"/>
      <c r="H20" s="1058"/>
      <c r="I20" s="243"/>
      <c r="J20" s="138"/>
      <c r="K20" s="243"/>
      <c r="L20" s="138"/>
      <c r="M20" s="243"/>
      <c r="N20" s="244"/>
      <c r="O20" s="138"/>
      <c r="P20" s="244"/>
      <c r="Q20" s="138"/>
      <c r="R20" s="244"/>
      <c r="S20" s="138"/>
      <c r="T20" s="244"/>
      <c r="U20" s="138"/>
      <c r="V20" s="244"/>
      <c r="W20" s="138"/>
      <c r="X20" s="244"/>
      <c r="Y20" s="138"/>
      <c r="Z20" s="140"/>
      <c r="AB20" s="831"/>
      <c r="AC20" s="930"/>
    </row>
    <row r="21" spans="1:32" x14ac:dyDescent="0.2">
      <c r="A21" s="3"/>
      <c r="B21" s="78" t="s">
        <v>8</v>
      </c>
      <c r="C21" s="31"/>
      <c r="D21" s="31"/>
      <c r="E21" s="1060"/>
      <c r="F21" s="1368" t="s">
        <v>233</v>
      </c>
      <c r="G21" s="1060"/>
      <c r="H21" s="1060"/>
      <c r="I21" s="239"/>
      <c r="J21" s="139"/>
      <c r="K21" s="239"/>
      <c r="L21" s="139"/>
      <c r="M21" s="239"/>
      <c r="N21" s="245"/>
      <c r="O21" s="139"/>
      <c r="P21" s="245"/>
      <c r="Q21" s="139"/>
      <c r="R21" s="245"/>
      <c r="S21" s="139"/>
      <c r="T21" s="245"/>
      <c r="U21" s="139"/>
      <c r="V21" s="245"/>
      <c r="W21" s="139"/>
      <c r="X21" s="245"/>
      <c r="Y21" s="139"/>
      <c r="Z21" s="141"/>
      <c r="AB21" s="831"/>
      <c r="AC21" s="930"/>
    </row>
    <row r="22" spans="1:32" x14ac:dyDescent="0.2">
      <c r="A22" s="3"/>
      <c r="B22" s="78" t="s">
        <v>9</v>
      </c>
      <c r="C22" s="31"/>
      <c r="D22" s="31"/>
      <c r="E22" s="102"/>
      <c r="F22" s="1369" t="s">
        <v>234</v>
      </c>
      <c r="G22" s="102"/>
      <c r="H22" s="102"/>
      <c r="I22" s="239"/>
      <c r="J22" s="183">
        <v>2472</v>
      </c>
      <c r="K22" s="239"/>
      <c r="L22" s="183">
        <v>2388</v>
      </c>
      <c r="M22" s="239"/>
      <c r="N22" s="261">
        <v>2340</v>
      </c>
      <c r="O22" s="139"/>
      <c r="P22" s="261">
        <v>2397</v>
      </c>
      <c r="Q22" s="139"/>
      <c r="R22" s="261">
        <v>2454</v>
      </c>
      <c r="S22" s="139"/>
      <c r="T22" s="261">
        <v>2349</v>
      </c>
      <c r="U22" s="139"/>
      <c r="V22" s="261">
        <v>2001</v>
      </c>
      <c r="W22" s="139"/>
      <c r="X22" s="261">
        <v>1998</v>
      </c>
      <c r="Y22" s="139"/>
      <c r="Z22" s="1649"/>
      <c r="AB22" s="24"/>
      <c r="AC22" s="947">
        <f t="shared" ref="AC22:AC25" si="2">AVERAGE(X22,V22,R22,T22,P22)</f>
        <v>2239.8000000000002</v>
      </c>
    </row>
    <row r="23" spans="1:32" x14ac:dyDescent="0.2">
      <c r="A23" s="3"/>
      <c r="B23" s="78" t="s">
        <v>10</v>
      </c>
      <c r="C23" s="31"/>
      <c r="D23" s="31"/>
      <c r="E23" s="102"/>
      <c r="F23" s="1369"/>
      <c r="G23" s="102"/>
      <c r="H23" s="102"/>
      <c r="I23" s="239"/>
      <c r="J23" s="183">
        <v>672</v>
      </c>
      <c r="K23" s="239"/>
      <c r="L23" s="183">
        <v>778</v>
      </c>
      <c r="M23" s="239"/>
      <c r="N23" s="261">
        <v>960</v>
      </c>
      <c r="O23" s="139"/>
      <c r="P23" s="261">
        <v>708</v>
      </c>
      <c r="Q23" s="139"/>
      <c r="R23" s="261">
        <v>447</v>
      </c>
      <c r="S23" s="139"/>
      <c r="T23" s="261">
        <v>674</v>
      </c>
      <c r="U23" s="139"/>
      <c r="V23" s="261">
        <v>528</v>
      </c>
      <c r="W23" s="139"/>
      <c r="X23" s="261">
        <v>576</v>
      </c>
      <c r="Y23" s="139"/>
      <c r="Z23" s="1649"/>
      <c r="AB23" s="12"/>
      <c r="AC23" s="947">
        <f t="shared" si="2"/>
        <v>586.6</v>
      </c>
    </row>
    <row r="24" spans="1:32" x14ac:dyDescent="0.2">
      <c r="A24" s="3"/>
      <c r="B24" s="78" t="s">
        <v>11</v>
      </c>
      <c r="C24" s="31"/>
      <c r="D24" s="31"/>
      <c r="E24" s="102"/>
      <c r="F24" s="1369"/>
      <c r="G24" s="102"/>
      <c r="H24" s="102"/>
      <c r="I24" s="239"/>
      <c r="J24" s="183">
        <v>45</v>
      </c>
      <c r="K24" s="239"/>
      <c r="L24" s="183">
        <v>66</v>
      </c>
      <c r="M24" s="239"/>
      <c r="N24" s="261">
        <v>61</v>
      </c>
      <c r="O24" s="139"/>
      <c r="P24" s="261">
        <v>107</v>
      </c>
      <c r="Q24" s="139"/>
      <c r="R24" s="261">
        <v>63</v>
      </c>
      <c r="S24" s="139"/>
      <c r="T24" s="261">
        <v>18</v>
      </c>
      <c r="U24" s="139"/>
      <c r="V24" s="261">
        <v>60</v>
      </c>
      <c r="W24" s="139"/>
      <c r="X24" s="261">
        <v>70</v>
      </c>
      <c r="Y24" s="139"/>
      <c r="Z24" s="1649"/>
      <c r="AA24" s="1031"/>
      <c r="AB24" s="31"/>
      <c r="AC24" s="947">
        <f t="shared" si="2"/>
        <v>63.6</v>
      </c>
    </row>
    <row r="25" spans="1:32" x14ac:dyDescent="0.2">
      <c r="A25" s="3"/>
      <c r="B25" s="78" t="s">
        <v>12</v>
      </c>
      <c r="C25" s="31"/>
      <c r="D25" s="31"/>
      <c r="E25" s="102"/>
      <c r="F25" s="1369"/>
      <c r="G25" s="102"/>
      <c r="H25" s="102"/>
      <c r="I25" s="239"/>
      <c r="J25" s="183">
        <v>0</v>
      </c>
      <c r="K25" s="239"/>
      <c r="L25" s="183">
        <v>0</v>
      </c>
      <c r="M25" s="239"/>
      <c r="N25" s="261"/>
      <c r="O25" s="139"/>
      <c r="P25" s="261">
        <v>0</v>
      </c>
      <c r="Q25" s="139"/>
      <c r="R25" s="261">
        <v>0</v>
      </c>
      <c r="S25" s="139"/>
      <c r="T25" s="261">
        <v>0</v>
      </c>
      <c r="U25" s="139"/>
      <c r="V25" s="261">
        <v>0</v>
      </c>
      <c r="W25" s="139"/>
      <c r="X25" s="261"/>
      <c r="Y25" s="139"/>
      <c r="Z25" s="1649"/>
      <c r="AA25" s="1031"/>
      <c r="AB25" s="31"/>
      <c r="AC25" s="947">
        <f t="shared" si="2"/>
        <v>0</v>
      </c>
    </row>
    <row r="26" spans="1:32" ht="13.5" thickBot="1" x14ac:dyDescent="0.25">
      <c r="A26" s="3"/>
      <c r="B26" s="79" t="s">
        <v>13</v>
      </c>
      <c r="C26" s="286"/>
      <c r="D26" s="286"/>
      <c r="E26" s="1296"/>
      <c r="F26" s="1370"/>
      <c r="G26" s="1296"/>
      <c r="H26" s="1296"/>
      <c r="I26" s="246"/>
      <c r="J26" s="242">
        <f>SUM(J22:J25)</f>
        <v>3189</v>
      </c>
      <c r="K26" s="246"/>
      <c r="L26" s="242">
        <f>SUM(L22:L25)</f>
        <v>3232</v>
      </c>
      <c r="M26" s="246"/>
      <c r="N26" s="247">
        <f>SUM(N22:N25)</f>
        <v>3361</v>
      </c>
      <c r="O26" s="164"/>
      <c r="P26" s="247">
        <f>SUM(P22:P25)</f>
        <v>3212</v>
      </c>
      <c r="Q26" s="164"/>
      <c r="R26" s="247">
        <f>SUM(R22:R25)</f>
        <v>2964</v>
      </c>
      <c r="S26" s="164"/>
      <c r="T26" s="247">
        <f>SUM(T22:T25)</f>
        <v>3041</v>
      </c>
      <c r="U26" s="164"/>
      <c r="V26" s="247">
        <f>SUM(V22:V25)</f>
        <v>2589</v>
      </c>
      <c r="W26" s="164"/>
      <c r="X26" s="247">
        <f>SUM(X22:X25)</f>
        <v>2644</v>
      </c>
      <c r="Y26" s="164"/>
      <c r="Z26" s="1651"/>
      <c r="AA26" s="1031"/>
      <c r="AB26" s="182"/>
      <c r="AC26" s="1008">
        <f>AVERAGE(X26,V26,R26,T26,P26)</f>
        <v>2890</v>
      </c>
    </row>
    <row r="27" spans="1:32" ht="12" customHeight="1" thickTop="1" thickBot="1" x14ac:dyDescent="0.25">
      <c r="A27" s="930"/>
      <c r="B27" s="931" t="s">
        <v>212</v>
      </c>
      <c r="C27" s="1992" t="s">
        <v>51</v>
      </c>
      <c r="D27" s="1997"/>
      <c r="E27" s="1989" t="s">
        <v>52</v>
      </c>
      <c r="F27" s="2101"/>
      <c r="G27" s="2097" t="s">
        <v>184</v>
      </c>
      <c r="H27" s="2005"/>
      <c r="I27" s="1989" t="s">
        <v>185</v>
      </c>
      <c r="J27" s="2005"/>
      <c r="K27" s="1989" t="s">
        <v>202</v>
      </c>
      <c r="L27" s="2005"/>
      <c r="M27" s="1991" t="s">
        <v>203</v>
      </c>
      <c r="N27" s="1981"/>
      <c r="O27" s="1970" t="s">
        <v>228</v>
      </c>
      <c r="P27" s="1981"/>
      <c r="Q27" s="1970" t="s">
        <v>238</v>
      </c>
      <c r="R27" s="1981"/>
      <c r="S27" s="1970" t="s">
        <v>273</v>
      </c>
      <c r="T27" s="1981"/>
      <c r="U27" s="1970" t="s">
        <v>275</v>
      </c>
      <c r="V27" s="1981"/>
      <c r="W27" s="1970" t="s">
        <v>281</v>
      </c>
      <c r="X27" s="1981"/>
      <c r="Y27" s="1970" t="s">
        <v>291</v>
      </c>
      <c r="Z27" s="1971"/>
      <c r="AA27" s="932"/>
      <c r="AB27" s="2009"/>
      <c r="AC27" s="2010"/>
      <c r="AD27" s="293"/>
      <c r="AE27" s="293"/>
      <c r="AF27" s="21"/>
    </row>
    <row r="28" spans="1:32" ht="12" customHeight="1" x14ac:dyDescent="0.2">
      <c r="A28" s="930"/>
      <c r="B28" s="933" t="s">
        <v>189</v>
      </c>
      <c r="C28" s="2016"/>
      <c r="D28" s="2017"/>
      <c r="E28" s="2031"/>
      <c r="F28" s="2099"/>
      <c r="G28" s="2100"/>
      <c r="H28" s="2032"/>
      <c r="I28" s="1995">
        <v>0</v>
      </c>
      <c r="J28" s="2006"/>
      <c r="K28" s="934"/>
      <c r="L28" s="935">
        <v>0</v>
      </c>
      <c r="M28" s="936"/>
      <c r="N28" s="1178">
        <v>0</v>
      </c>
      <c r="O28" s="1176"/>
      <c r="P28" s="1178">
        <v>4.9000000000000002E-2</v>
      </c>
      <c r="Q28" s="1271"/>
      <c r="R28" s="1178">
        <v>2.1999999999999999E-2</v>
      </c>
      <c r="S28" s="1271"/>
      <c r="T28" s="1178">
        <f>66/1323</f>
        <v>4.9886621315192746E-2</v>
      </c>
      <c r="U28" s="1271"/>
      <c r="V28" s="1178">
        <v>5.3999999999999999E-2</v>
      </c>
      <c r="W28" s="1271"/>
      <c r="X28" s="1178">
        <v>3.6999999999999998E-2</v>
      </c>
      <c r="Y28" s="1271"/>
      <c r="Z28" s="1479">
        <v>2.1000000000000001E-2</v>
      </c>
      <c r="AA28" s="937"/>
      <c r="AB28" s="938"/>
      <c r="AC28" s="1048">
        <f>AVERAGE(X28,V28,R28,T28,Z28)</f>
        <v>3.6777324263038549E-2</v>
      </c>
      <c r="AD28" s="293"/>
      <c r="AE28" s="293"/>
      <c r="AF28" s="21"/>
    </row>
    <row r="29" spans="1:32" ht="12" customHeight="1" x14ac:dyDescent="0.2">
      <c r="A29" s="930"/>
      <c r="B29" s="940" t="s">
        <v>190</v>
      </c>
      <c r="C29" s="2018"/>
      <c r="D29" s="2019"/>
      <c r="E29" s="2034"/>
      <c r="F29" s="2102"/>
      <c r="G29" s="2103"/>
      <c r="H29" s="2036"/>
      <c r="I29" s="2000">
        <v>0</v>
      </c>
      <c r="J29" s="2011"/>
      <c r="K29" s="941"/>
      <c r="L29" s="942">
        <v>0</v>
      </c>
      <c r="M29" s="941"/>
      <c r="N29" s="1179">
        <v>0</v>
      </c>
      <c r="O29" s="1177"/>
      <c r="P29" s="1179">
        <v>5.0000000000000001E-3</v>
      </c>
      <c r="Q29" s="1272"/>
      <c r="R29" s="1179">
        <v>0</v>
      </c>
      <c r="S29" s="1272"/>
      <c r="T29" s="1179">
        <v>0</v>
      </c>
      <c r="U29" s="1272"/>
      <c r="V29" s="1179">
        <v>0</v>
      </c>
      <c r="W29" s="1272"/>
      <c r="X29" s="1179">
        <v>0</v>
      </c>
      <c r="Y29" s="1272"/>
      <c r="Z29" s="1480">
        <v>0</v>
      </c>
      <c r="AA29" s="937"/>
      <c r="AB29" s="938"/>
      <c r="AC29" s="939">
        <f>AVERAGE(X29,V29,R29,T29,Z29)</f>
        <v>0</v>
      </c>
      <c r="AD29" s="293"/>
      <c r="AE29" s="293"/>
      <c r="AF29" s="21"/>
    </row>
    <row r="30" spans="1:32" ht="12.75" customHeight="1" thickBot="1" x14ac:dyDescent="0.25">
      <c r="A30" s="3"/>
      <c r="B30" s="943" t="s">
        <v>191</v>
      </c>
      <c r="C30" s="1998">
        <f>1-C28-C29</f>
        <v>1</v>
      </c>
      <c r="D30" s="1999"/>
      <c r="E30" s="2027"/>
      <c r="F30" s="2098"/>
      <c r="G30" s="2066"/>
      <c r="H30" s="2028"/>
      <c r="I30" s="1998">
        <f>1-I28-I29</f>
        <v>1</v>
      </c>
      <c r="J30" s="1999"/>
      <c r="K30" s="1998">
        <f>1-L28-L29</f>
        <v>1</v>
      </c>
      <c r="L30" s="1999"/>
      <c r="M30" s="1998">
        <f>1-N28-N29</f>
        <v>1</v>
      </c>
      <c r="N30" s="1999"/>
      <c r="O30" s="1998">
        <f>1-P28-P29</f>
        <v>0.94599999999999995</v>
      </c>
      <c r="P30" s="1999"/>
      <c r="Q30" s="1972">
        <f>1-R28-R29</f>
        <v>0.97799999999999998</v>
      </c>
      <c r="R30" s="1973"/>
      <c r="S30" s="1972">
        <v>0.95</v>
      </c>
      <c r="T30" s="1973"/>
      <c r="U30" s="1972">
        <f>1-V29-V28</f>
        <v>0.94599999999999995</v>
      </c>
      <c r="V30" s="1973"/>
      <c r="W30" s="1972">
        <f>1-X29-X28</f>
        <v>0.96299999999999997</v>
      </c>
      <c r="X30" s="1973"/>
      <c r="Y30" s="1972">
        <f>1-Z29-Z28</f>
        <v>0.97899999999999998</v>
      </c>
      <c r="Z30" s="1973"/>
      <c r="AA30" s="937"/>
      <c r="AB30" s="2007">
        <f t="shared" ref="AB30:AC30" si="3">AVERAGE(W30,U30,Q30,S30,Y30)</f>
        <v>0.96319999999999995</v>
      </c>
      <c r="AC30" s="2008" t="e">
        <f t="shared" si="3"/>
        <v>#DIV/0!</v>
      </c>
      <c r="AD30" s="1050"/>
      <c r="AE30" s="293"/>
      <c r="AF30" s="21"/>
    </row>
    <row r="31" spans="1:32" ht="13.5" thickTop="1" x14ac:dyDescent="0.2">
      <c r="B31" s="109"/>
      <c r="C31" s="109"/>
      <c r="D31" s="109"/>
      <c r="E31" s="109"/>
      <c r="F31" s="109"/>
      <c r="G31" s="109"/>
      <c r="H31" s="109"/>
      <c r="I31" s="146"/>
      <c r="J31" s="147"/>
      <c r="K31" s="146"/>
      <c r="L31" s="147"/>
      <c r="M31" s="146"/>
      <c r="N31" s="147"/>
      <c r="O31" s="146"/>
      <c r="P31" s="147"/>
      <c r="Q31" s="146"/>
      <c r="R31" s="147"/>
      <c r="S31" s="146"/>
      <c r="T31" s="147"/>
      <c r="U31" s="146"/>
      <c r="V31" s="147"/>
      <c r="W31" s="146"/>
      <c r="X31" s="147"/>
      <c r="Y31" s="146"/>
      <c r="Z31" s="147"/>
    </row>
    <row r="32" spans="1:32" x14ac:dyDescent="0.2">
      <c r="A32" s="112" t="s">
        <v>68</v>
      </c>
      <c r="B32" s="96"/>
      <c r="C32" s="96"/>
      <c r="D32" s="96"/>
      <c r="E32" s="96"/>
      <c r="F32" s="96"/>
      <c r="G32" s="96"/>
      <c r="H32" s="9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</row>
    <row r="33" spans="1:29" ht="13.5" thickBot="1" x14ac:dyDescent="0.25">
      <c r="A33" s="2"/>
      <c r="B33" s="96"/>
      <c r="C33" s="96"/>
      <c r="D33" s="96"/>
      <c r="E33" s="96"/>
      <c r="F33" s="96"/>
      <c r="G33" s="96"/>
      <c r="H33" s="9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</row>
    <row r="34" spans="1:29" ht="14.25" thickTop="1" thickBot="1" x14ac:dyDescent="0.25">
      <c r="A34" s="2"/>
      <c r="B34" s="606" t="s">
        <v>69</v>
      </c>
      <c r="C34" s="607"/>
      <c r="D34" s="607"/>
      <c r="E34" s="1974" t="s">
        <v>50</v>
      </c>
      <c r="F34" s="1974"/>
      <c r="G34" s="2002" t="s">
        <v>141</v>
      </c>
      <c r="H34" s="1974"/>
      <c r="I34" s="1974" t="s">
        <v>152</v>
      </c>
      <c r="J34" s="1974"/>
      <c r="K34" s="2002" t="s">
        <v>154</v>
      </c>
      <c r="L34" s="1974"/>
      <c r="M34" s="2002" t="s">
        <v>171</v>
      </c>
      <c r="N34" s="1982"/>
      <c r="O34" s="1974" t="s">
        <v>227</v>
      </c>
      <c r="P34" s="1982"/>
      <c r="Q34" s="1974" t="s">
        <v>237</v>
      </c>
      <c r="R34" s="1982"/>
      <c r="S34" s="1974" t="s">
        <v>272</v>
      </c>
      <c r="T34" s="1982"/>
      <c r="U34" s="1974" t="s">
        <v>274</v>
      </c>
      <c r="V34" s="1982"/>
      <c r="W34" s="1974" t="s">
        <v>280</v>
      </c>
      <c r="X34" s="1982"/>
      <c r="Y34" s="1974" t="s">
        <v>290</v>
      </c>
      <c r="Z34" s="1975"/>
      <c r="AA34" s="1031"/>
      <c r="AB34" s="2015" t="s">
        <v>213</v>
      </c>
      <c r="AC34" s="2004"/>
    </row>
    <row r="35" spans="1:29" x14ac:dyDescent="0.2">
      <c r="A35" s="2"/>
      <c r="B35" s="610" t="s">
        <v>70</v>
      </c>
      <c r="C35" s="608"/>
      <c r="D35" s="608"/>
      <c r="E35" s="1290"/>
      <c r="F35" s="1371"/>
      <c r="G35" s="1290"/>
      <c r="H35" s="1290"/>
      <c r="I35" s="243"/>
      <c r="J35" s="138"/>
      <c r="K35" s="243"/>
      <c r="L35" s="138"/>
      <c r="M35" s="243"/>
      <c r="N35" s="244"/>
      <c r="O35" s="138"/>
      <c r="P35" s="244"/>
      <c r="Q35" s="138"/>
      <c r="R35" s="244"/>
      <c r="S35" s="138"/>
      <c r="T35" s="244"/>
      <c r="U35" s="138"/>
      <c r="V35" s="244"/>
      <c r="W35" s="138"/>
      <c r="X35" s="244"/>
      <c r="Y35" s="138"/>
      <c r="Z35" s="140"/>
      <c r="AA35" s="1031"/>
      <c r="AB35" s="28"/>
      <c r="AC35" s="930"/>
    </row>
    <row r="36" spans="1:29" x14ac:dyDescent="0.2">
      <c r="A36" s="2"/>
      <c r="B36" s="331" t="s">
        <v>71</v>
      </c>
      <c r="C36" s="565"/>
      <c r="D36" s="565"/>
      <c r="E36" s="875"/>
      <c r="F36" s="1372"/>
      <c r="G36" s="875"/>
      <c r="H36" s="875"/>
      <c r="I36" s="243"/>
      <c r="J36" s="451">
        <v>251622</v>
      </c>
      <c r="K36" s="243"/>
      <c r="L36" s="451">
        <v>326940</v>
      </c>
      <c r="M36" s="243"/>
      <c r="N36" s="416">
        <v>394535</v>
      </c>
      <c r="O36" s="138"/>
      <c r="P36" s="416">
        <v>381968</v>
      </c>
      <c r="Q36" s="138"/>
      <c r="R36" s="416">
        <v>477161</v>
      </c>
      <c r="S36" s="138"/>
      <c r="T36" s="416">
        <v>530491</v>
      </c>
      <c r="U36" s="138"/>
      <c r="V36" s="416">
        <v>555782</v>
      </c>
      <c r="W36" s="138"/>
      <c r="X36" s="416">
        <v>582271</v>
      </c>
      <c r="Y36" s="138"/>
      <c r="Z36" s="294">
        <v>618764</v>
      </c>
      <c r="AA36" s="1031"/>
      <c r="AB36" s="30"/>
      <c r="AC36" s="947">
        <f>AVERAGE(X36,V36,R36,T36,Z36)</f>
        <v>552893.80000000005</v>
      </c>
    </row>
    <row r="37" spans="1:29" x14ac:dyDescent="0.2">
      <c r="A37" s="2"/>
      <c r="B37" s="331" t="s">
        <v>247</v>
      </c>
      <c r="C37" s="565"/>
      <c r="D37" s="565"/>
      <c r="E37" s="875"/>
      <c r="F37" s="1372"/>
      <c r="G37" s="875"/>
      <c r="H37" s="875"/>
      <c r="I37" s="243"/>
      <c r="J37" s="451"/>
      <c r="K37" s="243"/>
      <c r="L37" s="451"/>
      <c r="M37" s="243"/>
      <c r="N37" s="416"/>
      <c r="O37" s="138"/>
      <c r="P37" s="416"/>
      <c r="Q37" s="138"/>
      <c r="R37" s="416"/>
      <c r="S37" s="138"/>
      <c r="T37" s="416"/>
      <c r="U37" s="138"/>
      <c r="V37" s="416"/>
      <c r="W37" s="138"/>
      <c r="X37" s="416"/>
      <c r="Y37" s="138"/>
      <c r="Z37" s="294"/>
      <c r="AA37" s="1031"/>
      <c r="AB37" s="30"/>
      <c r="AC37" s="947"/>
    </row>
    <row r="38" spans="1:29" ht="24" x14ac:dyDescent="0.2">
      <c r="A38" s="2"/>
      <c r="B38" s="332" t="s">
        <v>248</v>
      </c>
      <c r="C38" s="566"/>
      <c r="D38" s="566"/>
      <c r="E38" s="877"/>
      <c r="F38" s="1373"/>
      <c r="G38" s="877"/>
      <c r="H38" s="877"/>
      <c r="I38" s="239"/>
      <c r="J38" s="347">
        <v>0</v>
      </c>
      <c r="K38" s="239"/>
      <c r="L38" s="347">
        <v>0</v>
      </c>
      <c r="M38" s="239"/>
      <c r="N38" s="369">
        <v>25232</v>
      </c>
      <c r="O38" s="139"/>
      <c r="P38" s="369">
        <v>25413</v>
      </c>
      <c r="Q38" s="139"/>
      <c r="R38" s="369">
        <v>0</v>
      </c>
      <c r="S38" s="139"/>
      <c r="T38" s="369">
        <v>21861</v>
      </c>
      <c r="U38" s="139"/>
      <c r="V38" s="369">
        <v>22514</v>
      </c>
      <c r="W38" s="139"/>
      <c r="X38" s="369">
        <v>23011</v>
      </c>
      <c r="Y38" s="139"/>
      <c r="Z38" s="282">
        <v>22498</v>
      </c>
      <c r="AA38" s="1031"/>
      <c r="AB38" s="31"/>
      <c r="AC38" s="947">
        <f t="shared" ref="AC38:AC39" si="4">AVERAGE(X38,V38,R38,T38,Z38)</f>
        <v>17976.8</v>
      </c>
    </row>
    <row r="39" spans="1:29" x14ac:dyDescent="0.2">
      <c r="A39" s="2"/>
      <c r="B39" s="333" t="s">
        <v>72</v>
      </c>
      <c r="C39" s="567"/>
      <c r="D39" s="567"/>
      <c r="E39" s="879"/>
      <c r="F39" s="1374"/>
      <c r="G39" s="879"/>
      <c r="H39" s="879"/>
      <c r="I39" s="262"/>
      <c r="J39" s="263">
        <f>SUM(J36:J38)</f>
        <v>251622</v>
      </c>
      <c r="K39" s="250"/>
      <c r="L39" s="249">
        <f>SUM(L36:L38)</f>
        <v>326940</v>
      </c>
      <c r="M39" s="262"/>
      <c r="N39" s="263">
        <f>SUM(N36:N38)</f>
        <v>419767</v>
      </c>
      <c r="O39" s="250"/>
      <c r="P39" s="263">
        <f>SUM(P36:P38)</f>
        <v>407381</v>
      </c>
      <c r="Q39" s="250"/>
      <c r="R39" s="263">
        <f>SUM(R36:R38)</f>
        <v>477161</v>
      </c>
      <c r="S39" s="250"/>
      <c r="T39" s="263">
        <f>SUM(T36:T38)</f>
        <v>552352</v>
      </c>
      <c r="U39" s="250"/>
      <c r="V39" s="263">
        <f>SUM(V36:V38)</f>
        <v>578296</v>
      </c>
      <c r="W39" s="250"/>
      <c r="X39" s="263">
        <f>SUM(X36:X38)</f>
        <v>605282</v>
      </c>
      <c r="Y39" s="250"/>
      <c r="Z39" s="149">
        <f>SUM(Z36:Z38)</f>
        <v>641262</v>
      </c>
      <c r="AA39" s="1031"/>
      <c r="AB39" s="31"/>
      <c r="AC39" s="1008">
        <f t="shared" si="4"/>
        <v>570870.6</v>
      </c>
    </row>
    <row r="40" spans="1:29" x14ac:dyDescent="0.2">
      <c r="A40" s="2"/>
      <c r="B40" s="330" t="s">
        <v>73</v>
      </c>
      <c r="C40" s="564"/>
      <c r="D40" s="564"/>
      <c r="E40" s="881"/>
      <c r="F40" s="1375"/>
      <c r="G40" s="881"/>
      <c r="H40" s="881"/>
      <c r="I40" s="239"/>
      <c r="J40" s="369"/>
      <c r="K40" s="139"/>
      <c r="L40" s="347"/>
      <c r="M40" s="239"/>
      <c r="N40" s="369"/>
      <c r="O40" s="139"/>
      <c r="P40" s="369"/>
      <c r="Q40" s="139"/>
      <c r="R40" s="369"/>
      <c r="S40" s="139"/>
      <c r="T40" s="369"/>
      <c r="U40" s="139"/>
      <c r="V40" s="369"/>
      <c r="W40" s="139"/>
      <c r="X40" s="369"/>
      <c r="Y40" s="139"/>
      <c r="Z40" s="282"/>
      <c r="AA40" s="1031"/>
      <c r="AB40" s="31"/>
      <c r="AC40" s="947"/>
    </row>
    <row r="41" spans="1:29" x14ac:dyDescent="0.2">
      <c r="A41" s="2"/>
      <c r="B41" s="331" t="s">
        <v>71</v>
      </c>
      <c r="C41" s="568"/>
      <c r="D41" s="568"/>
      <c r="E41" s="883"/>
      <c r="F41" s="1376"/>
      <c r="G41" s="883"/>
      <c r="H41" s="883"/>
      <c r="I41" s="239"/>
      <c r="J41" s="369"/>
      <c r="K41" s="139"/>
      <c r="L41" s="347"/>
      <c r="M41" s="239"/>
      <c r="N41" s="369"/>
      <c r="O41" s="139"/>
      <c r="P41" s="369"/>
      <c r="Q41" s="139"/>
      <c r="R41" s="369"/>
      <c r="S41" s="139"/>
      <c r="T41" s="369"/>
      <c r="U41" s="139"/>
      <c r="V41" s="369"/>
      <c r="W41" s="139"/>
      <c r="X41" s="369"/>
      <c r="Y41" s="139"/>
      <c r="Z41" s="282"/>
      <c r="AA41" s="1031"/>
      <c r="AB41" s="31"/>
      <c r="AC41" s="947"/>
    </row>
    <row r="42" spans="1:29" x14ac:dyDescent="0.2">
      <c r="A42" s="2"/>
      <c r="B42" s="331" t="s">
        <v>247</v>
      </c>
      <c r="C42" s="568"/>
      <c r="D42" s="568"/>
      <c r="E42" s="883"/>
      <c r="F42" s="1376"/>
      <c r="G42" s="883"/>
      <c r="H42" s="883"/>
      <c r="I42" s="239"/>
      <c r="J42" s="369"/>
      <c r="K42" s="139"/>
      <c r="L42" s="347"/>
      <c r="M42" s="239"/>
      <c r="N42" s="369"/>
      <c r="O42" s="139"/>
      <c r="P42" s="369"/>
      <c r="Q42" s="139"/>
      <c r="R42" s="369"/>
      <c r="S42" s="139"/>
      <c r="T42" s="369"/>
      <c r="U42" s="139"/>
      <c r="V42" s="369"/>
      <c r="W42" s="139"/>
      <c r="X42" s="369"/>
      <c r="Y42" s="139"/>
      <c r="Z42" s="282"/>
      <c r="AA42" s="1031"/>
      <c r="AB42" s="31"/>
      <c r="AC42" s="947"/>
    </row>
    <row r="43" spans="1:29" ht="24" x14ac:dyDescent="0.2">
      <c r="A43" s="2"/>
      <c r="B43" s="332" t="s">
        <v>248</v>
      </c>
      <c r="C43" s="566"/>
      <c r="D43" s="566"/>
      <c r="E43" s="877"/>
      <c r="F43" s="1373"/>
      <c r="G43" s="877"/>
      <c r="H43" s="877"/>
      <c r="I43" s="239"/>
      <c r="J43" s="369"/>
      <c r="K43" s="139"/>
      <c r="L43" s="347"/>
      <c r="M43" s="239"/>
      <c r="N43" s="369"/>
      <c r="O43" s="139"/>
      <c r="P43" s="369"/>
      <c r="Q43" s="139"/>
      <c r="R43" s="369"/>
      <c r="S43" s="139"/>
      <c r="T43" s="369"/>
      <c r="U43" s="139"/>
      <c r="V43" s="369"/>
      <c r="W43" s="139"/>
      <c r="X43" s="369"/>
      <c r="Y43" s="139"/>
      <c r="Z43" s="282"/>
      <c r="AA43" s="1031"/>
      <c r="AB43" s="31"/>
      <c r="AC43" s="947"/>
    </row>
    <row r="44" spans="1:29" x14ac:dyDescent="0.2">
      <c r="A44" s="2"/>
      <c r="B44" s="333" t="s">
        <v>74</v>
      </c>
      <c r="C44" s="567"/>
      <c r="D44" s="567"/>
      <c r="E44" s="879"/>
      <c r="F44" s="1374"/>
      <c r="G44" s="879"/>
      <c r="H44" s="879"/>
      <c r="I44" s="262"/>
      <c r="J44" s="263">
        <f>SUM(J41:J43)</f>
        <v>0</v>
      </c>
      <c r="K44" s="250"/>
      <c r="L44" s="249">
        <f>SUM(L41:L43)</f>
        <v>0</v>
      </c>
      <c r="M44" s="262"/>
      <c r="N44" s="263">
        <f>SUM(N41:N43)</f>
        <v>0</v>
      </c>
      <c r="O44" s="250"/>
      <c r="P44" s="263">
        <f>SUM(P41:P43)</f>
        <v>0</v>
      </c>
      <c r="Q44" s="250"/>
      <c r="R44" s="263">
        <f>SUM(R41:R43)</f>
        <v>0</v>
      </c>
      <c r="S44" s="250"/>
      <c r="T44" s="263">
        <f>SUM(T41:T43)</f>
        <v>0</v>
      </c>
      <c r="U44" s="250"/>
      <c r="V44" s="263">
        <f>SUM(V41:V43)</f>
        <v>0</v>
      </c>
      <c r="W44" s="250"/>
      <c r="X44" s="263">
        <f>SUM(X41:X43)</f>
        <v>0</v>
      </c>
      <c r="Y44" s="250"/>
      <c r="Z44" s="149">
        <f>SUM(Z41:Z43)</f>
        <v>0</v>
      </c>
      <c r="AA44" s="1031"/>
      <c r="AB44" s="31"/>
      <c r="AC44" s="1008">
        <f t="shared" ref="AC44:AC45" si="5">AVERAGE(X44,V44,R44,T44,Z44)</f>
        <v>0</v>
      </c>
    </row>
    <row r="45" spans="1:29" ht="13.5" thickBot="1" x14ac:dyDescent="0.25">
      <c r="A45" s="3"/>
      <c r="B45" s="334" t="s">
        <v>75</v>
      </c>
      <c r="C45" s="569"/>
      <c r="D45" s="569"/>
      <c r="E45" s="885"/>
      <c r="F45" s="1377"/>
      <c r="G45" s="885"/>
      <c r="H45" s="885"/>
      <c r="I45" s="239"/>
      <c r="J45" s="605">
        <f>SUM(J39,J44)</f>
        <v>251622</v>
      </c>
      <c r="K45" s="139"/>
      <c r="L45" s="249">
        <f>SUM(L39,L44)</f>
        <v>326940</v>
      </c>
      <c r="M45" s="239"/>
      <c r="N45" s="263">
        <f>SUM(N39,N44)</f>
        <v>419767</v>
      </c>
      <c r="O45" s="139"/>
      <c r="P45" s="263">
        <f>SUM(P39,P44)</f>
        <v>407381</v>
      </c>
      <c r="Q45" s="139"/>
      <c r="R45" s="263">
        <f>SUM(R39,R44)</f>
        <v>477161</v>
      </c>
      <c r="S45" s="139"/>
      <c r="T45" s="263">
        <f>SUM(T39,T44)</f>
        <v>552352</v>
      </c>
      <c r="U45" s="139"/>
      <c r="V45" s="263">
        <f>SUM(V39,V44)</f>
        <v>578296</v>
      </c>
      <c r="W45" s="139"/>
      <c r="X45" s="263">
        <f>SUM(X39,X44)</f>
        <v>605282</v>
      </c>
      <c r="Y45" s="139"/>
      <c r="Z45" s="149">
        <f>SUM(Z39,Z44)</f>
        <v>641262</v>
      </c>
      <c r="AA45" s="1031"/>
      <c r="AB45" s="327"/>
      <c r="AC45" s="1008">
        <f t="shared" si="5"/>
        <v>570870.6</v>
      </c>
    </row>
    <row r="46" spans="1:29" x14ac:dyDescent="0.2">
      <c r="A46" s="3"/>
      <c r="B46" s="81" t="s">
        <v>259</v>
      </c>
      <c r="C46" s="570"/>
      <c r="D46" s="570"/>
      <c r="E46" s="1025"/>
      <c r="F46" s="1378"/>
      <c r="G46" s="1025"/>
      <c r="H46" s="1025"/>
      <c r="I46" s="265"/>
      <c r="J46" s="151"/>
      <c r="K46" s="265"/>
      <c r="L46" s="151"/>
      <c r="M46" s="265"/>
      <c r="N46" s="248"/>
      <c r="O46" s="151"/>
      <c r="P46" s="248"/>
      <c r="Q46" s="151"/>
      <c r="R46" s="248"/>
      <c r="S46" s="151"/>
      <c r="T46" s="248"/>
      <c r="U46" s="151"/>
      <c r="V46" s="248"/>
      <c r="W46" s="151"/>
      <c r="X46" s="248"/>
      <c r="Y46" s="151"/>
      <c r="Z46" s="152"/>
      <c r="AA46" s="1031"/>
      <c r="AB46" s="28"/>
      <c r="AC46" s="978"/>
    </row>
    <row r="47" spans="1:29" x14ac:dyDescent="0.2">
      <c r="A47" s="3"/>
      <c r="B47" s="78" t="s">
        <v>14</v>
      </c>
      <c r="C47" s="31"/>
      <c r="D47" s="31"/>
      <c r="E47" s="102"/>
      <c r="F47" s="1369"/>
      <c r="G47" s="102"/>
      <c r="H47" s="102"/>
      <c r="I47" s="432"/>
      <c r="J47" s="463">
        <v>297529</v>
      </c>
      <c r="K47" s="432"/>
      <c r="L47" s="826">
        <f>16135</f>
        <v>16135</v>
      </c>
      <c r="M47" s="432"/>
      <c r="N47" s="510">
        <v>422491</v>
      </c>
      <c r="O47" s="463"/>
      <c r="P47" s="460">
        <v>382506</v>
      </c>
      <c r="Q47" s="461"/>
      <c r="R47" s="460">
        <f>428141.74+1476.43</f>
        <v>429618.17</v>
      </c>
      <c r="S47" s="461"/>
      <c r="T47" s="460">
        <v>572882</v>
      </c>
      <c r="U47" s="461"/>
      <c r="V47" s="460">
        <v>597505</v>
      </c>
      <c r="W47" s="461"/>
      <c r="X47" s="460">
        <v>646535.11</v>
      </c>
      <c r="Y47" s="461"/>
      <c r="Z47" s="1852"/>
      <c r="AA47" s="1031"/>
      <c r="AB47" s="30"/>
      <c r="AC47" s="949">
        <f>AVERAGE(X47,V47,R47,T47,P47)</f>
        <v>525809.25599999994</v>
      </c>
    </row>
    <row r="48" spans="1:29" ht="13.5" thickBot="1" x14ac:dyDescent="0.25">
      <c r="A48" s="3"/>
      <c r="B48" s="336" t="s">
        <v>15</v>
      </c>
      <c r="C48" s="327"/>
      <c r="D48" s="327"/>
      <c r="E48" s="1028"/>
      <c r="F48" s="1379"/>
      <c r="G48" s="1028"/>
      <c r="H48" s="1028"/>
      <c r="I48" s="596"/>
      <c r="J48" s="237">
        <v>0</v>
      </c>
      <c r="K48" s="596"/>
      <c r="L48" s="827">
        <f>345667</f>
        <v>345667</v>
      </c>
      <c r="M48" s="596"/>
      <c r="N48" s="509">
        <v>0</v>
      </c>
      <c r="O48" s="237"/>
      <c r="P48" s="467">
        <v>0</v>
      </c>
      <c r="Q48" s="1316"/>
      <c r="R48" s="467">
        <v>1000</v>
      </c>
      <c r="S48" s="1316"/>
      <c r="T48" s="467">
        <v>0</v>
      </c>
      <c r="U48" s="1316"/>
      <c r="V48" s="467">
        <v>0</v>
      </c>
      <c r="W48" s="1316"/>
      <c r="X48" s="467">
        <v>0</v>
      </c>
      <c r="Y48" s="1316"/>
      <c r="Z48" s="1853"/>
      <c r="AA48" s="1031"/>
      <c r="AB48" s="31"/>
      <c r="AC48" s="1041">
        <f>AVERAGE(X48,V48,R48,T48,P48)</f>
        <v>200</v>
      </c>
    </row>
    <row r="49" spans="1:31" x14ac:dyDescent="0.2">
      <c r="A49" s="3"/>
      <c r="B49" s="77"/>
      <c r="C49" s="28"/>
      <c r="D49" s="28"/>
      <c r="E49" s="984"/>
      <c r="F49" s="1380"/>
      <c r="G49" s="984"/>
      <c r="H49" s="984"/>
      <c r="I49" s="308" t="s">
        <v>133</v>
      </c>
      <c r="J49" s="352" t="s">
        <v>139</v>
      </c>
      <c r="K49" s="308" t="s">
        <v>133</v>
      </c>
      <c r="L49" s="352" t="s">
        <v>139</v>
      </c>
      <c r="M49" s="308" t="s">
        <v>133</v>
      </c>
      <c r="N49" s="417" t="s">
        <v>139</v>
      </c>
      <c r="O49" s="414" t="s">
        <v>133</v>
      </c>
      <c r="P49" s="417" t="s">
        <v>139</v>
      </c>
      <c r="Q49" s="414" t="s">
        <v>133</v>
      </c>
      <c r="R49" s="417" t="s">
        <v>139</v>
      </c>
      <c r="S49" s="414" t="s">
        <v>133</v>
      </c>
      <c r="T49" s="417" t="s">
        <v>139</v>
      </c>
      <c r="U49" s="414" t="s">
        <v>133</v>
      </c>
      <c r="V49" s="417" t="s">
        <v>139</v>
      </c>
      <c r="W49" s="414" t="s">
        <v>133</v>
      </c>
      <c r="X49" s="417" t="s">
        <v>139</v>
      </c>
      <c r="Y49" s="414" t="s">
        <v>133</v>
      </c>
      <c r="Z49" s="295" t="s">
        <v>139</v>
      </c>
      <c r="AA49" s="1031"/>
      <c r="AB49" s="323" t="s">
        <v>133</v>
      </c>
      <c r="AC49" s="295" t="s">
        <v>139</v>
      </c>
    </row>
    <row r="50" spans="1:31" x14ac:dyDescent="0.2">
      <c r="A50" s="3"/>
      <c r="B50" s="80" t="s">
        <v>67</v>
      </c>
      <c r="C50" s="90"/>
      <c r="D50" s="90"/>
      <c r="E50" s="1291"/>
      <c r="F50" s="1381"/>
      <c r="G50" s="1291"/>
      <c r="H50" s="1291"/>
      <c r="I50" s="476">
        <v>1</v>
      </c>
      <c r="J50" s="1123">
        <v>10580</v>
      </c>
      <c r="K50" s="476">
        <v>0</v>
      </c>
      <c r="L50" s="1123">
        <v>0</v>
      </c>
      <c r="M50" s="476">
        <v>0</v>
      </c>
      <c r="N50" s="1140">
        <v>0</v>
      </c>
      <c r="O50" s="476">
        <v>0</v>
      </c>
      <c r="P50" s="1140">
        <v>0</v>
      </c>
      <c r="Q50" s="476">
        <v>1</v>
      </c>
      <c r="R50" s="1140">
        <v>10739</v>
      </c>
      <c r="S50" s="476">
        <v>0</v>
      </c>
      <c r="T50" s="1140">
        <v>0</v>
      </c>
      <c r="U50" s="476">
        <v>0</v>
      </c>
      <c r="V50" s="1140">
        <v>0</v>
      </c>
      <c r="W50" s="476">
        <v>0</v>
      </c>
      <c r="X50" s="1140">
        <v>0</v>
      </c>
      <c r="Y50" s="1769"/>
      <c r="Z50" s="1770"/>
      <c r="AA50" s="1036"/>
      <c r="AB50" s="108">
        <f>AVERAGE(W50,U50,Q50,S50,O50)</f>
        <v>0.2</v>
      </c>
      <c r="AC50" s="1125">
        <f>AVERAGE(X50,V50,R50,T50,P50)</f>
        <v>2147.8000000000002</v>
      </c>
      <c r="AE50" s="1" t="s">
        <v>29</v>
      </c>
    </row>
    <row r="51" spans="1:31" x14ac:dyDescent="0.2">
      <c r="A51" s="3"/>
      <c r="B51" s="80"/>
      <c r="C51" s="571"/>
      <c r="D51" s="571"/>
      <c r="E51" s="1292"/>
      <c r="F51" s="1382"/>
      <c r="G51" s="1292"/>
      <c r="H51" s="1292"/>
      <c r="I51" s="551"/>
      <c r="J51" s="452"/>
      <c r="K51" s="551"/>
      <c r="L51" s="528"/>
      <c r="M51" s="551"/>
      <c r="N51" s="545"/>
      <c r="O51" s="551"/>
      <c r="P51" s="545"/>
      <c r="Q51" s="551"/>
      <c r="R51" s="545"/>
      <c r="S51" s="551"/>
      <c r="T51" s="545"/>
      <c r="U51" s="551"/>
      <c r="V51" s="545"/>
      <c r="W51" s="551"/>
      <c r="X51" s="545"/>
      <c r="Y51" s="1784"/>
      <c r="Z51" s="1785"/>
      <c r="AA51" s="1031"/>
      <c r="AB51" s="1013"/>
      <c r="AC51" s="949"/>
    </row>
    <row r="52" spans="1:31" ht="13.5" thickBot="1" x14ac:dyDescent="0.25">
      <c r="A52" s="3"/>
      <c r="B52" s="167" t="s">
        <v>16</v>
      </c>
      <c r="C52" s="44"/>
      <c r="D52" s="44"/>
      <c r="E52" s="1293"/>
      <c r="F52" s="1383"/>
      <c r="G52" s="1293"/>
      <c r="H52" s="1293"/>
      <c r="I52" s="552">
        <v>0</v>
      </c>
      <c r="J52" s="453">
        <v>0</v>
      </c>
      <c r="K52" s="552">
        <v>0</v>
      </c>
      <c r="L52" s="453">
        <v>0</v>
      </c>
      <c r="M52" s="552">
        <v>0</v>
      </c>
      <c r="N52" s="1152">
        <v>0</v>
      </c>
      <c r="O52" s="552">
        <v>0</v>
      </c>
      <c r="P52" s="1152">
        <v>0</v>
      </c>
      <c r="Q52" s="552">
        <v>1</v>
      </c>
      <c r="R52" s="1152">
        <v>10050</v>
      </c>
      <c r="S52" s="552">
        <v>0</v>
      </c>
      <c r="T52" s="1152">
        <v>0</v>
      </c>
      <c r="U52" s="552">
        <v>0</v>
      </c>
      <c r="V52" s="1152">
        <v>0</v>
      </c>
      <c r="W52" s="552">
        <v>0</v>
      </c>
      <c r="X52" s="1152">
        <v>0</v>
      </c>
      <c r="Y52" s="1773"/>
      <c r="Z52" s="1854"/>
      <c r="AA52" s="1036"/>
      <c r="AB52" s="839">
        <f>AVERAGE(W52,U52,Q52,S52,O52)</f>
        <v>0.2</v>
      </c>
      <c r="AC52" s="1121">
        <f>AVERAGE(X52,V52,R52,T52,P52)</f>
        <v>2010</v>
      </c>
    </row>
    <row r="53" spans="1:31" ht="13.5" thickTop="1" x14ac:dyDescent="0.2">
      <c r="A53" s="3"/>
      <c r="B53" s="73" t="s">
        <v>84</v>
      </c>
      <c r="C53" s="180"/>
      <c r="D53" s="180"/>
      <c r="E53" s="1058"/>
      <c r="F53" s="1367"/>
      <c r="G53" s="1058"/>
      <c r="H53" s="1058"/>
      <c r="I53" s="272"/>
      <c r="J53" s="481"/>
      <c r="K53" s="272"/>
      <c r="L53" s="481"/>
      <c r="M53" s="272"/>
      <c r="N53" s="1250"/>
      <c r="O53" s="254"/>
      <c r="P53" s="1250"/>
      <c r="Q53" s="254"/>
      <c r="R53" s="1250"/>
      <c r="S53" s="254"/>
      <c r="T53" s="1250"/>
      <c r="U53" s="254"/>
      <c r="V53" s="1250"/>
      <c r="W53" s="254"/>
      <c r="X53" s="1250"/>
      <c r="Y53" s="254"/>
      <c r="Z53" s="482"/>
      <c r="AA53" s="1031"/>
      <c r="AB53" s="109"/>
      <c r="AC53" s="1030"/>
      <c r="AE53" s="1" t="s">
        <v>29</v>
      </c>
    </row>
    <row r="54" spans="1:31" x14ac:dyDescent="0.2">
      <c r="A54" s="3"/>
      <c r="B54" s="337" t="s">
        <v>35</v>
      </c>
      <c r="C54" s="572"/>
      <c r="D54" s="572"/>
      <c r="E54" s="1294"/>
      <c r="F54" s="1384"/>
      <c r="G54" s="1294"/>
      <c r="H54" s="1294"/>
      <c r="I54" s="271"/>
      <c r="J54" s="135"/>
      <c r="K54" s="271"/>
      <c r="L54" s="135"/>
      <c r="M54" s="271"/>
      <c r="N54" s="420"/>
      <c r="O54" s="157"/>
      <c r="P54" s="420"/>
      <c r="Q54" s="157"/>
      <c r="R54" s="420"/>
      <c r="S54" s="157"/>
      <c r="T54" s="420"/>
      <c r="U54" s="157"/>
      <c r="V54" s="420"/>
      <c r="W54" s="157"/>
      <c r="X54" s="420"/>
      <c r="Y54" s="157"/>
      <c r="Z54" s="287"/>
      <c r="AA54" s="1031"/>
      <c r="AB54" s="720"/>
      <c r="AC54" s="1011"/>
    </row>
    <row r="55" spans="1:31" x14ac:dyDescent="0.2">
      <c r="A55" s="3"/>
      <c r="B55" s="338" t="s">
        <v>85</v>
      </c>
      <c r="C55" s="565"/>
      <c r="D55" s="565"/>
      <c r="E55" s="875"/>
      <c r="F55" s="1372"/>
      <c r="G55" s="875"/>
      <c r="H55" s="875"/>
      <c r="I55" s="272"/>
      <c r="J55" s="483">
        <v>310</v>
      </c>
      <c r="K55" s="272"/>
      <c r="L55" s="483">
        <v>560.22</v>
      </c>
      <c r="M55" s="272"/>
      <c r="N55" s="1251">
        <v>739</v>
      </c>
      <c r="O55" s="254"/>
      <c r="P55" s="1251">
        <v>11008</v>
      </c>
      <c r="Q55" s="254"/>
      <c r="R55" s="1251">
        <v>5765.4</v>
      </c>
      <c r="S55" s="254"/>
      <c r="T55" s="1251">
        <v>3715.9</v>
      </c>
      <c r="U55" s="254"/>
      <c r="V55" s="1251">
        <v>5532</v>
      </c>
      <c r="W55" s="254"/>
      <c r="X55" s="1251">
        <v>11159.04</v>
      </c>
      <c r="Y55" s="254"/>
      <c r="Z55" s="1855"/>
      <c r="AB55" s="1038"/>
      <c r="AC55" s="949">
        <f>AVERAGE(X55,V55,R55,T55,P55)</f>
        <v>7436.0680000000011</v>
      </c>
    </row>
    <row r="56" spans="1:31" ht="13.5" thickBot="1" x14ac:dyDescent="0.25">
      <c r="A56" s="3"/>
      <c r="B56" s="339" t="s">
        <v>86</v>
      </c>
      <c r="C56" s="573"/>
      <c r="D56" s="573"/>
      <c r="E56" s="1295"/>
      <c r="F56" s="1385"/>
      <c r="G56" s="1295"/>
      <c r="H56" s="1295"/>
      <c r="I56" s="274"/>
      <c r="J56" s="484">
        <v>0</v>
      </c>
      <c r="K56" s="274"/>
      <c r="L56" s="484">
        <v>0</v>
      </c>
      <c r="M56" s="274"/>
      <c r="N56" s="1252">
        <v>0</v>
      </c>
      <c r="O56" s="260"/>
      <c r="P56" s="1252">
        <v>0</v>
      </c>
      <c r="Q56" s="260"/>
      <c r="R56" s="1252">
        <v>0</v>
      </c>
      <c r="S56" s="260"/>
      <c r="T56" s="1252">
        <v>0</v>
      </c>
      <c r="U56" s="260"/>
      <c r="V56" s="1252">
        <v>0</v>
      </c>
      <c r="W56" s="260"/>
      <c r="X56" s="1252">
        <v>0</v>
      </c>
      <c r="Y56" s="260"/>
      <c r="Z56" s="1856"/>
      <c r="AB56" s="1015"/>
      <c r="AC56" s="1024">
        <f t="shared" ref="AC56" si="6">AVERAGE(X56,V56,R56,T56,P56)</f>
        <v>0</v>
      </c>
    </row>
    <row r="57" spans="1:31" ht="13.5" thickTop="1" x14ac:dyDescent="0.2">
      <c r="A57" s="3"/>
      <c r="B57" s="364"/>
      <c r="C57" s="364"/>
      <c r="D57" s="364"/>
      <c r="E57" s="364"/>
      <c r="F57" s="364"/>
      <c r="G57" s="364"/>
      <c r="H57" s="364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B57" s="1042"/>
      <c r="AC57" s="1043"/>
    </row>
    <row r="58" spans="1:31" x14ac:dyDescent="0.2">
      <c r="A58" s="2" t="s">
        <v>76</v>
      </c>
      <c r="B58" s="96"/>
      <c r="C58" s="96"/>
      <c r="D58" s="96"/>
      <c r="E58" s="96"/>
      <c r="F58" s="96"/>
      <c r="G58" s="96"/>
      <c r="H58" s="96"/>
      <c r="I58" s="157"/>
      <c r="J58" s="414"/>
      <c r="K58" s="157"/>
      <c r="L58" s="414"/>
      <c r="M58" s="157"/>
      <c r="N58" s="414"/>
      <c r="O58" s="157"/>
      <c r="P58" s="414"/>
      <c r="Q58" s="157"/>
      <c r="R58" s="414"/>
      <c r="S58" s="157"/>
      <c r="T58" s="414"/>
      <c r="U58" s="157"/>
      <c r="V58" s="414"/>
      <c r="W58" s="157"/>
      <c r="X58" s="414"/>
      <c r="Y58" s="157"/>
      <c r="Z58" s="414"/>
    </row>
    <row r="59" spans="1:31" ht="13.5" thickBot="1" x14ac:dyDescent="0.25">
      <c r="A59" s="3"/>
      <c r="B59" s="96"/>
      <c r="C59" s="96"/>
      <c r="D59" s="96"/>
      <c r="E59" s="96"/>
      <c r="F59" s="96"/>
      <c r="G59" s="96"/>
      <c r="H59" s="96"/>
      <c r="I59" s="157"/>
      <c r="J59" s="414"/>
      <c r="K59" s="157"/>
      <c r="L59" s="414"/>
      <c r="M59" s="157"/>
      <c r="N59" s="414"/>
      <c r="O59" s="157"/>
      <c r="P59" s="414"/>
      <c r="Q59" s="157"/>
      <c r="R59" s="414"/>
      <c r="S59" s="157"/>
      <c r="T59" s="414"/>
      <c r="U59" s="157"/>
      <c r="V59" s="414"/>
      <c r="W59" s="157"/>
      <c r="X59" s="414"/>
      <c r="Y59" s="157"/>
      <c r="Z59" s="414"/>
    </row>
    <row r="60" spans="1:31" ht="14.25" thickTop="1" thickBot="1" x14ac:dyDescent="0.25">
      <c r="A60" s="3"/>
      <c r="B60" s="340"/>
      <c r="C60" s="1350"/>
      <c r="D60" s="1350"/>
      <c r="E60" s="2002" t="s">
        <v>50</v>
      </c>
      <c r="F60" s="1982"/>
      <c r="G60" s="2002" t="s">
        <v>141</v>
      </c>
      <c r="H60" s="1974"/>
      <c r="I60" s="2002" t="s">
        <v>152</v>
      </c>
      <c r="J60" s="1982"/>
      <c r="K60" s="2002" t="s">
        <v>154</v>
      </c>
      <c r="L60" s="1974"/>
      <c r="M60" s="2002" t="s">
        <v>171</v>
      </c>
      <c r="N60" s="1982"/>
      <c r="O60" s="1974" t="s">
        <v>227</v>
      </c>
      <c r="P60" s="1982"/>
      <c r="Q60" s="1974" t="s">
        <v>237</v>
      </c>
      <c r="R60" s="1982"/>
      <c r="S60" s="1974" t="s">
        <v>272</v>
      </c>
      <c r="T60" s="1982"/>
      <c r="U60" s="1974" t="s">
        <v>274</v>
      </c>
      <c r="V60" s="1982"/>
      <c r="W60" s="1974" t="s">
        <v>280</v>
      </c>
      <c r="X60" s="1982"/>
      <c r="Y60" s="1974" t="s">
        <v>290</v>
      </c>
      <c r="Z60" s="1975"/>
      <c r="AB60" s="2003" t="s">
        <v>213</v>
      </c>
      <c r="AC60" s="2004"/>
    </row>
    <row r="61" spans="1:31" x14ac:dyDescent="0.2">
      <c r="A61" s="3"/>
      <c r="B61" s="73" t="s">
        <v>53</v>
      </c>
      <c r="C61" s="180"/>
      <c r="D61" s="180"/>
      <c r="E61" s="1058"/>
      <c r="F61" s="1386"/>
      <c r="G61" s="1058"/>
      <c r="H61" s="1058"/>
      <c r="I61" s="243"/>
      <c r="J61" s="138"/>
      <c r="K61" s="243"/>
      <c r="L61" s="138"/>
      <c r="M61" s="243"/>
      <c r="N61" s="244"/>
      <c r="O61" s="138"/>
      <c r="P61" s="244"/>
      <c r="Q61" s="138"/>
      <c r="R61" s="244"/>
      <c r="S61" s="138"/>
      <c r="T61" s="244"/>
      <c r="U61" s="138"/>
      <c r="V61" s="244"/>
      <c r="W61" s="138"/>
      <c r="X61" s="244"/>
      <c r="Y61" s="138"/>
      <c r="Z61" s="140"/>
      <c r="AB61" s="831"/>
      <c r="AC61" s="930"/>
    </row>
    <row r="62" spans="1:31" x14ac:dyDescent="0.2">
      <c r="A62" s="3"/>
      <c r="B62" s="74" t="s">
        <v>54</v>
      </c>
      <c r="C62" s="574"/>
      <c r="D62" s="574"/>
      <c r="E62" s="896"/>
      <c r="F62" s="1387"/>
      <c r="G62" s="896"/>
      <c r="H62" s="896"/>
      <c r="I62" s="239"/>
      <c r="J62" s="183"/>
      <c r="K62" s="239"/>
      <c r="L62" s="183"/>
      <c r="M62" s="239"/>
      <c r="N62" s="261"/>
      <c r="O62" s="139"/>
      <c r="P62" s="261"/>
      <c r="Q62" s="139"/>
      <c r="R62" s="261"/>
      <c r="S62" s="139"/>
      <c r="T62" s="261"/>
      <c r="U62" s="139"/>
      <c r="V62" s="261"/>
      <c r="W62" s="139"/>
      <c r="X62" s="261"/>
      <c r="Y62" s="139"/>
      <c r="Z62" s="142"/>
      <c r="AB62" s="24"/>
      <c r="AC62" s="579"/>
    </row>
    <row r="63" spans="1:31" x14ac:dyDescent="0.2">
      <c r="A63" s="3"/>
      <c r="B63" s="75" t="s">
        <v>55</v>
      </c>
      <c r="C63" s="65"/>
      <c r="D63" s="65"/>
      <c r="E63" s="894"/>
      <c r="F63" s="907"/>
      <c r="G63" s="894"/>
      <c r="H63" s="894"/>
      <c r="I63" s="239"/>
      <c r="J63" s="183">
        <v>3</v>
      </c>
      <c r="K63" s="239"/>
      <c r="L63" s="183">
        <v>4</v>
      </c>
      <c r="M63" s="239"/>
      <c r="N63" s="261">
        <v>5</v>
      </c>
      <c r="O63" s="139"/>
      <c r="P63" s="261">
        <v>5</v>
      </c>
      <c r="Q63" s="139"/>
      <c r="R63" s="261">
        <v>5</v>
      </c>
      <c r="S63" s="139"/>
      <c r="T63" s="261">
        <v>6</v>
      </c>
      <c r="U63" s="139"/>
      <c r="V63" s="261">
        <v>6</v>
      </c>
      <c r="W63" s="139"/>
      <c r="X63" s="261">
        <v>6</v>
      </c>
      <c r="Y63" s="139"/>
      <c r="Z63" s="142">
        <v>6</v>
      </c>
      <c r="AB63" s="12"/>
      <c r="AC63" s="1113">
        <f>AVERAGE(X63,V63,R63,T63,Z63)</f>
        <v>5.8</v>
      </c>
    </row>
    <row r="64" spans="1:31" x14ac:dyDescent="0.2">
      <c r="A64" s="3"/>
      <c r="B64" s="75" t="s">
        <v>56</v>
      </c>
      <c r="C64" s="65"/>
      <c r="D64" s="65"/>
      <c r="E64" s="894"/>
      <c r="F64" s="907"/>
      <c r="G64" s="894"/>
      <c r="H64" s="894"/>
      <c r="I64" s="239"/>
      <c r="J64" s="183">
        <v>2</v>
      </c>
      <c r="K64" s="239"/>
      <c r="L64" s="183">
        <v>1</v>
      </c>
      <c r="M64" s="239"/>
      <c r="N64" s="261">
        <v>1</v>
      </c>
      <c r="O64" s="139"/>
      <c r="P64" s="261">
        <v>0</v>
      </c>
      <c r="Q64" s="139"/>
      <c r="R64" s="261">
        <v>1</v>
      </c>
      <c r="S64" s="139"/>
      <c r="T64" s="261">
        <v>1</v>
      </c>
      <c r="U64" s="139"/>
      <c r="V64" s="261">
        <v>1</v>
      </c>
      <c r="W64" s="139"/>
      <c r="X64" s="261">
        <v>1</v>
      </c>
      <c r="Y64" s="139"/>
      <c r="Z64" s="142">
        <v>1</v>
      </c>
      <c r="AB64" s="12"/>
      <c r="AC64" s="1113">
        <f t="shared" ref="AC64:AC68" si="7">AVERAGE(X64,V64,R64,T64,Z64)</f>
        <v>1</v>
      </c>
    </row>
    <row r="65" spans="1:29" x14ac:dyDescent="0.2">
      <c r="A65" s="3"/>
      <c r="B65" s="74" t="s">
        <v>57</v>
      </c>
      <c r="C65" s="574"/>
      <c r="D65" s="574"/>
      <c r="E65" s="896"/>
      <c r="F65" s="1387"/>
      <c r="G65" s="896"/>
      <c r="H65" s="896"/>
      <c r="I65" s="239"/>
      <c r="J65" s="241"/>
      <c r="K65" s="239"/>
      <c r="L65" s="241"/>
      <c r="M65" s="239"/>
      <c r="N65" s="240"/>
      <c r="O65" s="139"/>
      <c r="P65" s="240"/>
      <c r="Q65" s="139"/>
      <c r="R65" s="240"/>
      <c r="S65" s="139"/>
      <c r="T65" s="240"/>
      <c r="U65" s="139"/>
      <c r="V65" s="240"/>
      <c r="W65" s="139"/>
      <c r="X65" s="240"/>
      <c r="Y65" s="139"/>
      <c r="Z65" s="143"/>
      <c r="AB65" s="12"/>
      <c r="AC65" s="1113"/>
    </row>
    <row r="66" spans="1:29" x14ac:dyDescent="0.2">
      <c r="A66" s="3"/>
      <c r="B66" s="75" t="s">
        <v>55</v>
      </c>
      <c r="C66" s="65"/>
      <c r="D66" s="65"/>
      <c r="E66" s="894"/>
      <c r="F66" s="907"/>
      <c r="G66" s="894"/>
      <c r="H66" s="894"/>
      <c r="I66" s="239"/>
      <c r="J66" s="241">
        <v>0</v>
      </c>
      <c r="K66" s="239"/>
      <c r="L66" s="241">
        <v>0</v>
      </c>
      <c r="M66" s="239"/>
      <c r="N66" s="240">
        <v>0</v>
      </c>
      <c r="O66" s="139"/>
      <c r="P66" s="240">
        <v>0</v>
      </c>
      <c r="Q66" s="139"/>
      <c r="R66" s="240">
        <v>0</v>
      </c>
      <c r="S66" s="139"/>
      <c r="T66" s="240">
        <v>0</v>
      </c>
      <c r="U66" s="139"/>
      <c r="V66" s="240">
        <v>0</v>
      </c>
      <c r="W66" s="139"/>
      <c r="X66" s="240">
        <v>0</v>
      </c>
      <c r="Y66" s="139"/>
      <c r="Z66" s="143">
        <v>0</v>
      </c>
      <c r="AB66" s="12"/>
      <c r="AC66" s="1113">
        <f t="shared" si="7"/>
        <v>0</v>
      </c>
    </row>
    <row r="67" spans="1:29" x14ac:dyDescent="0.2">
      <c r="A67" s="3"/>
      <c r="B67" s="341" t="s">
        <v>56</v>
      </c>
      <c r="C67" s="33"/>
      <c r="D67" s="33"/>
      <c r="E67" s="898"/>
      <c r="F67" s="1388"/>
      <c r="G67" s="898"/>
      <c r="H67" s="898"/>
      <c r="I67" s="239"/>
      <c r="J67" s="241">
        <v>0</v>
      </c>
      <c r="K67" s="239"/>
      <c r="L67" s="241">
        <v>0</v>
      </c>
      <c r="M67" s="239"/>
      <c r="N67" s="240">
        <v>0</v>
      </c>
      <c r="O67" s="139"/>
      <c r="P67" s="240">
        <v>0</v>
      </c>
      <c r="Q67" s="139"/>
      <c r="R67" s="240">
        <v>0</v>
      </c>
      <c r="S67" s="139"/>
      <c r="T67" s="240">
        <v>0</v>
      </c>
      <c r="U67" s="139"/>
      <c r="V67" s="240">
        <v>0</v>
      </c>
      <c r="W67" s="139"/>
      <c r="X67" s="240">
        <v>0</v>
      </c>
      <c r="Y67" s="139"/>
      <c r="Z67" s="143">
        <v>0</v>
      </c>
      <c r="AB67" s="12"/>
      <c r="AC67" s="1113">
        <f t="shared" si="7"/>
        <v>0</v>
      </c>
    </row>
    <row r="68" spans="1:29" ht="13.5" thickBot="1" x14ac:dyDescent="0.25">
      <c r="A68" s="3"/>
      <c r="B68" s="79" t="s">
        <v>13</v>
      </c>
      <c r="C68" s="105"/>
      <c r="D68" s="105"/>
      <c r="E68" s="900"/>
      <c r="F68" s="1370"/>
      <c r="G68" s="900"/>
      <c r="H68" s="900"/>
      <c r="I68" s="297"/>
      <c r="J68" s="454">
        <f>SUM(J63:J67)</f>
        <v>5</v>
      </c>
      <c r="K68" s="297"/>
      <c r="L68" s="454">
        <f>SUM(L63:L67)</f>
        <v>5</v>
      </c>
      <c r="M68" s="297"/>
      <c r="N68" s="427">
        <f>SUM(N63:N67)</f>
        <v>6</v>
      </c>
      <c r="O68" s="426"/>
      <c r="P68" s="427">
        <f>SUM(P63:P67)</f>
        <v>5</v>
      </c>
      <c r="Q68" s="426"/>
      <c r="R68" s="427">
        <f>SUM(R63:R67)</f>
        <v>6</v>
      </c>
      <c r="S68" s="426"/>
      <c r="T68" s="427">
        <f>SUM(T63:T67)</f>
        <v>7</v>
      </c>
      <c r="U68" s="426"/>
      <c r="V68" s="427">
        <f>SUM(V63:V67)</f>
        <v>7</v>
      </c>
      <c r="W68" s="426"/>
      <c r="X68" s="427">
        <f>SUM(X63:X67)</f>
        <v>7</v>
      </c>
      <c r="Y68" s="426"/>
      <c r="Z68" s="374">
        <f>SUM(Z63:Z67)</f>
        <v>7</v>
      </c>
      <c r="AB68" s="831"/>
      <c r="AC68" s="1114">
        <f t="shared" si="7"/>
        <v>6.8</v>
      </c>
    </row>
    <row r="69" spans="1:29" ht="13.5" thickTop="1" x14ac:dyDescent="0.2">
      <c r="A69" s="3"/>
      <c r="B69" s="342" t="s">
        <v>135</v>
      </c>
      <c r="C69" s="575"/>
      <c r="D69" s="575"/>
      <c r="E69" s="1287" t="s">
        <v>133</v>
      </c>
      <c r="F69" s="1389" t="s">
        <v>134</v>
      </c>
      <c r="G69" s="1287" t="s">
        <v>133</v>
      </c>
      <c r="H69" s="1288" t="s">
        <v>134</v>
      </c>
      <c r="I69" s="411" t="s">
        <v>133</v>
      </c>
      <c r="J69" s="449" t="s">
        <v>134</v>
      </c>
      <c r="K69" s="317" t="s">
        <v>133</v>
      </c>
      <c r="L69" s="449" t="s">
        <v>134</v>
      </c>
      <c r="M69" s="317" t="s">
        <v>133</v>
      </c>
      <c r="N69" s="441" t="s">
        <v>134</v>
      </c>
      <c r="O69" s="411" t="s">
        <v>133</v>
      </c>
      <c r="P69" s="412" t="s">
        <v>134</v>
      </c>
      <c r="Q69" s="411" t="s">
        <v>133</v>
      </c>
      <c r="R69" s="412" t="s">
        <v>134</v>
      </c>
      <c r="S69" s="411" t="s">
        <v>133</v>
      </c>
      <c r="T69" s="412" t="s">
        <v>134</v>
      </c>
      <c r="U69" s="411" t="s">
        <v>133</v>
      </c>
      <c r="V69" s="412" t="s">
        <v>134</v>
      </c>
      <c r="W69" s="411" t="s">
        <v>133</v>
      </c>
      <c r="X69" s="412" t="s">
        <v>134</v>
      </c>
      <c r="Y69" s="411" t="s">
        <v>133</v>
      </c>
      <c r="Z69" s="289" t="s">
        <v>134</v>
      </c>
      <c r="AB69" s="952" t="s">
        <v>133</v>
      </c>
      <c r="AC69" s="862" t="s">
        <v>134</v>
      </c>
    </row>
    <row r="70" spans="1:29" x14ac:dyDescent="0.2">
      <c r="A70" s="3"/>
      <c r="B70" s="75" t="s">
        <v>87</v>
      </c>
      <c r="C70" s="65"/>
      <c r="D70" s="65"/>
      <c r="E70" s="894"/>
      <c r="F70" s="907"/>
      <c r="G70" s="894"/>
      <c r="H70" s="894"/>
      <c r="I70" s="215">
        <v>4</v>
      </c>
      <c r="J70" s="221">
        <f>I70/J$68</f>
        <v>0.8</v>
      </c>
      <c r="K70" s="215">
        <v>3</v>
      </c>
      <c r="L70" s="221">
        <f>K70/L$68</f>
        <v>0.6</v>
      </c>
      <c r="M70" s="215">
        <f>1+2</f>
        <v>3</v>
      </c>
      <c r="N70" s="216">
        <f>M70/N$68</f>
        <v>0.5</v>
      </c>
      <c r="O70" s="173">
        <v>2</v>
      </c>
      <c r="P70" s="216">
        <f t="shared" ref="P70:R77" si="8">O70/P$68</f>
        <v>0.4</v>
      </c>
      <c r="Q70" s="173">
        <v>3</v>
      </c>
      <c r="R70" s="216">
        <f t="shared" si="8"/>
        <v>0.5</v>
      </c>
      <c r="S70" s="173">
        <f>1+2</f>
        <v>3</v>
      </c>
      <c r="T70" s="216">
        <f t="shared" ref="T70:T77" si="9">S70/T$68</f>
        <v>0.42857142857142855</v>
      </c>
      <c r="U70" s="173">
        <v>3</v>
      </c>
      <c r="V70" s="216">
        <f t="shared" ref="V70:V77" si="10">U70/V$68</f>
        <v>0.42857142857142855</v>
      </c>
      <c r="W70" s="173">
        <f>1+2</f>
        <v>3</v>
      </c>
      <c r="X70" s="216">
        <f t="shared" ref="X70:Z77" si="11">W70/X$68</f>
        <v>0.42857142857142855</v>
      </c>
      <c r="Y70" s="173">
        <v>3</v>
      </c>
      <c r="Z70" s="1494">
        <f t="shared" si="11"/>
        <v>0.42857142857142855</v>
      </c>
      <c r="AA70" s="1031"/>
      <c r="AB70" s="1016">
        <f t="shared" ref="AB70:AB89" si="12">AVERAGE(W70,U70,Q70,S70,Y70)</f>
        <v>3</v>
      </c>
      <c r="AC70" s="863">
        <f t="shared" ref="AC70:AC89" si="13">AVERAGE(X70,V70,R70,T70,Z70)</f>
        <v>0.44285714285714289</v>
      </c>
    </row>
    <row r="71" spans="1:29" x14ac:dyDescent="0.2">
      <c r="A71" s="3"/>
      <c r="B71" s="85" t="s">
        <v>88</v>
      </c>
      <c r="C71" s="88"/>
      <c r="D71" s="88"/>
      <c r="E71" s="1289"/>
      <c r="F71" s="1390"/>
      <c r="G71" s="1289"/>
      <c r="H71" s="1289"/>
      <c r="I71" s="215">
        <v>0</v>
      </c>
      <c r="J71" s="221">
        <f t="shared" ref="J71:J77" si="14">I71/J$68</f>
        <v>0</v>
      </c>
      <c r="K71" s="215">
        <v>0</v>
      </c>
      <c r="L71" s="221">
        <f t="shared" ref="L71:N77" si="15">K71/L$68</f>
        <v>0</v>
      </c>
      <c r="M71" s="215">
        <v>0</v>
      </c>
      <c r="N71" s="216">
        <f t="shared" si="15"/>
        <v>0</v>
      </c>
      <c r="O71" s="173">
        <v>0</v>
      </c>
      <c r="P71" s="216">
        <f t="shared" si="8"/>
        <v>0</v>
      </c>
      <c r="Q71" s="173">
        <v>0</v>
      </c>
      <c r="R71" s="216">
        <f t="shared" si="8"/>
        <v>0</v>
      </c>
      <c r="S71" s="173">
        <f>1</f>
        <v>1</v>
      </c>
      <c r="T71" s="216">
        <f t="shared" si="9"/>
        <v>0.14285714285714285</v>
      </c>
      <c r="U71" s="173">
        <v>1</v>
      </c>
      <c r="V71" s="216">
        <f t="shared" si="10"/>
        <v>0.14285714285714285</v>
      </c>
      <c r="W71" s="173">
        <v>1</v>
      </c>
      <c r="X71" s="216">
        <f t="shared" si="11"/>
        <v>0.14285714285714285</v>
      </c>
      <c r="Y71" s="173">
        <v>1</v>
      </c>
      <c r="Z71" s="1494">
        <f t="shared" si="11"/>
        <v>0.14285714285714285</v>
      </c>
      <c r="AA71" s="1031"/>
      <c r="AB71" s="1016">
        <f t="shared" si="12"/>
        <v>0.8</v>
      </c>
      <c r="AC71" s="863">
        <f t="shared" si="13"/>
        <v>0.11428571428571428</v>
      </c>
    </row>
    <row r="72" spans="1:29" x14ac:dyDescent="0.2">
      <c r="A72" s="3"/>
      <c r="B72" s="85" t="s">
        <v>89</v>
      </c>
      <c r="C72" s="88"/>
      <c r="D72" s="88"/>
      <c r="E72" s="1289"/>
      <c r="F72" s="1390"/>
      <c r="G72" s="1289"/>
      <c r="H72" s="1289"/>
      <c r="I72" s="215">
        <v>1</v>
      </c>
      <c r="J72" s="221">
        <f t="shared" si="14"/>
        <v>0.2</v>
      </c>
      <c r="K72" s="215">
        <v>1</v>
      </c>
      <c r="L72" s="221">
        <f t="shared" si="15"/>
        <v>0.2</v>
      </c>
      <c r="M72" s="215">
        <v>2</v>
      </c>
      <c r="N72" s="216">
        <f t="shared" si="15"/>
        <v>0.33333333333333331</v>
      </c>
      <c r="O72" s="173">
        <v>2</v>
      </c>
      <c r="P72" s="216">
        <f t="shared" si="8"/>
        <v>0.4</v>
      </c>
      <c r="Q72" s="173">
        <v>2</v>
      </c>
      <c r="R72" s="216">
        <f t="shared" si="8"/>
        <v>0.33333333333333331</v>
      </c>
      <c r="S72" s="173">
        <f>2</f>
        <v>2</v>
      </c>
      <c r="T72" s="216">
        <f t="shared" si="9"/>
        <v>0.2857142857142857</v>
      </c>
      <c r="U72" s="173">
        <v>2</v>
      </c>
      <c r="V72" s="216">
        <f t="shared" si="10"/>
        <v>0.2857142857142857</v>
      </c>
      <c r="W72" s="173">
        <v>2</v>
      </c>
      <c r="X72" s="216">
        <f t="shared" si="11"/>
        <v>0.2857142857142857</v>
      </c>
      <c r="Y72" s="173">
        <v>2</v>
      </c>
      <c r="Z72" s="1494">
        <f t="shared" si="11"/>
        <v>0.2857142857142857</v>
      </c>
      <c r="AA72" s="1031"/>
      <c r="AB72" s="1016">
        <f t="shared" si="12"/>
        <v>2</v>
      </c>
      <c r="AC72" s="863">
        <f t="shared" si="13"/>
        <v>0.29523809523809519</v>
      </c>
    </row>
    <row r="73" spans="1:29" x14ac:dyDescent="0.2">
      <c r="A73" s="3"/>
      <c r="B73" s="85" t="s">
        <v>90</v>
      </c>
      <c r="C73" s="88"/>
      <c r="D73" s="88"/>
      <c r="E73" s="1289"/>
      <c r="F73" s="1390"/>
      <c r="G73" s="1289"/>
      <c r="H73" s="1289"/>
      <c r="I73" s="215">
        <v>0</v>
      </c>
      <c r="J73" s="221">
        <f t="shared" si="14"/>
        <v>0</v>
      </c>
      <c r="K73" s="215">
        <v>0</v>
      </c>
      <c r="L73" s="221">
        <f t="shared" si="15"/>
        <v>0</v>
      </c>
      <c r="M73" s="215">
        <v>0</v>
      </c>
      <c r="N73" s="216">
        <f t="shared" si="15"/>
        <v>0</v>
      </c>
      <c r="O73" s="173">
        <v>0</v>
      </c>
      <c r="P73" s="216">
        <f t="shared" si="8"/>
        <v>0</v>
      </c>
      <c r="Q73" s="173">
        <v>0</v>
      </c>
      <c r="R73" s="216">
        <f t="shared" si="8"/>
        <v>0</v>
      </c>
      <c r="S73" s="173">
        <f>0</f>
        <v>0</v>
      </c>
      <c r="T73" s="216">
        <f t="shared" si="9"/>
        <v>0</v>
      </c>
      <c r="U73" s="173">
        <v>0</v>
      </c>
      <c r="V73" s="216">
        <f t="shared" si="10"/>
        <v>0</v>
      </c>
      <c r="W73" s="173">
        <v>0</v>
      </c>
      <c r="X73" s="216">
        <f t="shared" si="11"/>
        <v>0</v>
      </c>
      <c r="Y73" s="173">
        <v>0</v>
      </c>
      <c r="Z73" s="1494">
        <f t="shared" si="11"/>
        <v>0</v>
      </c>
      <c r="AA73" s="1031"/>
      <c r="AB73" s="1016">
        <f t="shared" si="12"/>
        <v>0</v>
      </c>
      <c r="AC73" s="863">
        <f t="shared" si="13"/>
        <v>0</v>
      </c>
    </row>
    <row r="74" spans="1:29" x14ac:dyDescent="0.2">
      <c r="A74" s="3"/>
      <c r="B74" s="85" t="s">
        <v>91</v>
      </c>
      <c r="C74" s="88"/>
      <c r="D74" s="88"/>
      <c r="E74" s="1289"/>
      <c r="F74" s="1390"/>
      <c r="G74" s="1289"/>
      <c r="H74" s="1289"/>
      <c r="I74" s="215">
        <v>0</v>
      </c>
      <c r="J74" s="221">
        <f t="shared" si="14"/>
        <v>0</v>
      </c>
      <c r="K74" s="215">
        <v>1</v>
      </c>
      <c r="L74" s="221">
        <f t="shared" si="15"/>
        <v>0.2</v>
      </c>
      <c r="M74" s="215">
        <v>1</v>
      </c>
      <c r="N74" s="216">
        <f t="shared" si="15"/>
        <v>0.16666666666666666</v>
      </c>
      <c r="O74" s="173">
        <v>1</v>
      </c>
      <c r="P74" s="216">
        <f t="shared" si="8"/>
        <v>0.2</v>
      </c>
      <c r="Q74" s="173">
        <v>0</v>
      </c>
      <c r="R74" s="216">
        <f t="shared" si="8"/>
        <v>0</v>
      </c>
      <c r="S74" s="173">
        <f>1</f>
        <v>1</v>
      </c>
      <c r="T74" s="216">
        <f t="shared" si="9"/>
        <v>0.14285714285714285</v>
      </c>
      <c r="U74" s="173">
        <v>1</v>
      </c>
      <c r="V74" s="216">
        <f t="shared" si="10"/>
        <v>0.14285714285714285</v>
      </c>
      <c r="W74" s="173">
        <v>1</v>
      </c>
      <c r="X74" s="216">
        <f t="shared" si="11"/>
        <v>0.14285714285714285</v>
      </c>
      <c r="Y74" s="173">
        <v>0</v>
      </c>
      <c r="Z74" s="1494">
        <f t="shared" si="11"/>
        <v>0</v>
      </c>
      <c r="AA74" s="1031"/>
      <c r="AB74" s="1016">
        <f t="shared" si="12"/>
        <v>0.6</v>
      </c>
      <c r="AC74" s="863">
        <f t="shared" si="13"/>
        <v>8.5714285714285715E-2</v>
      </c>
    </row>
    <row r="75" spans="1:29" x14ac:dyDescent="0.2">
      <c r="A75" s="3"/>
      <c r="B75" s="85" t="s">
        <v>92</v>
      </c>
      <c r="C75" s="88"/>
      <c r="D75" s="88"/>
      <c r="E75" s="1289"/>
      <c r="F75" s="1390"/>
      <c r="G75" s="1289"/>
      <c r="H75" s="1289"/>
      <c r="I75" s="215">
        <v>0</v>
      </c>
      <c r="J75" s="221">
        <f t="shared" si="14"/>
        <v>0</v>
      </c>
      <c r="K75" s="215">
        <v>0</v>
      </c>
      <c r="L75" s="221">
        <f t="shared" si="15"/>
        <v>0</v>
      </c>
      <c r="M75" s="215">
        <v>0</v>
      </c>
      <c r="N75" s="216">
        <f t="shared" si="15"/>
        <v>0</v>
      </c>
      <c r="O75" s="173">
        <v>0</v>
      </c>
      <c r="P75" s="216">
        <f t="shared" si="8"/>
        <v>0</v>
      </c>
      <c r="Q75" s="173">
        <v>1</v>
      </c>
      <c r="R75" s="216">
        <f t="shared" si="8"/>
        <v>0.16666666666666666</v>
      </c>
      <c r="S75" s="173">
        <f>0</f>
        <v>0</v>
      </c>
      <c r="T75" s="216">
        <f t="shared" si="9"/>
        <v>0</v>
      </c>
      <c r="U75" s="173">
        <v>0</v>
      </c>
      <c r="V75" s="216">
        <f t="shared" si="10"/>
        <v>0</v>
      </c>
      <c r="W75" s="173">
        <v>0</v>
      </c>
      <c r="X75" s="216">
        <f t="shared" si="11"/>
        <v>0</v>
      </c>
      <c r="Y75" s="173">
        <v>0</v>
      </c>
      <c r="Z75" s="1494">
        <f t="shared" si="11"/>
        <v>0</v>
      </c>
      <c r="AA75" s="1031"/>
      <c r="AB75" s="1016">
        <f t="shared" si="12"/>
        <v>0.2</v>
      </c>
      <c r="AC75" s="863">
        <f t="shared" si="13"/>
        <v>3.3333333333333333E-2</v>
      </c>
    </row>
    <row r="76" spans="1:29" x14ac:dyDescent="0.2">
      <c r="A76" s="3"/>
      <c r="B76" s="85" t="s">
        <v>256</v>
      </c>
      <c r="C76" s="88"/>
      <c r="D76" s="88"/>
      <c r="E76" s="1289"/>
      <c r="F76" s="1390"/>
      <c r="G76" s="1289"/>
      <c r="H76" s="1289"/>
      <c r="I76" s="1510"/>
      <c r="J76" s="1513"/>
      <c r="K76" s="1510"/>
      <c r="L76" s="1513"/>
      <c r="M76" s="1510"/>
      <c r="N76" s="1511"/>
      <c r="O76" s="1512"/>
      <c r="P76" s="1511"/>
      <c r="Q76" s="174">
        <v>0</v>
      </c>
      <c r="R76" s="216">
        <f t="shared" si="8"/>
        <v>0</v>
      </c>
      <c r="S76" s="174">
        <f>0</f>
        <v>0</v>
      </c>
      <c r="T76" s="216">
        <f t="shared" si="9"/>
        <v>0</v>
      </c>
      <c r="U76" s="174">
        <v>0</v>
      </c>
      <c r="V76" s="216">
        <f t="shared" si="10"/>
        <v>0</v>
      </c>
      <c r="W76" s="174">
        <v>0</v>
      </c>
      <c r="X76" s="216">
        <f t="shared" si="11"/>
        <v>0</v>
      </c>
      <c r="Y76" s="174">
        <v>0</v>
      </c>
      <c r="Z76" s="1494">
        <f t="shared" si="11"/>
        <v>0</v>
      </c>
      <c r="AA76" s="1031"/>
      <c r="AB76" s="1016">
        <f t="shared" si="12"/>
        <v>0</v>
      </c>
      <c r="AC76" s="863">
        <f t="shared" si="13"/>
        <v>0</v>
      </c>
    </row>
    <row r="77" spans="1:29" x14ac:dyDescent="0.2">
      <c r="A77" s="3"/>
      <c r="B77" s="85" t="s">
        <v>93</v>
      </c>
      <c r="C77" s="88"/>
      <c r="D77" s="88"/>
      <c r="E77" s="1289"/>
      <c r="F77" s="1390"/>
      <c r="G77" s="1289"/>
      <c r="H77" s="1289"/>
      <c r="I77" s="217">
        <v>0</v>
      </c>
      <c r="J77" s="221">
        <f t="shared" si="14"/>
        <v>0</v>
      </c>
      <c r="K77" s="217">
        <v>0</v>
      </c>
      <c r="L77" s="221">
        <f t="shared" si="15"/>
        <v>0</v>
      </c>
      <c r="M77" s="217">
        <v>0</v>
      </c>
      <c r="N77" s="216">
        <f t="shared" si="15"/>
        <v>0</v>
      </c>
      <c r="O77" s="174">
        <v>0</v>
      </c>
      <c r="P77" s="216">
        <f t="shared" si="8"/>
        <v>0</v>
      </c>
      <c r="Q77" s="174">
        <v>0</v>
      </c>
      <c r="R77" s="216">
        <f t="shared" si="8"/>
        <v>0</v>
      </c>
      <c r="S77" s="174">
        <f>0</f>
        <v>0</v>
      </c>
      <c r="T77" s="216">
        <f t="shared" si="9"/>
        <v>0</v>
      </c>
      <c r="U77" s="174">
        <v>0</v>
      </c>
      <c r="V77" s="216">
        <f t="shared" si="10"/>
        <v>0</v>
      </c>
      <c r="W77" s="174">
        <v>0</v>
      </c>
      <c r="X77" s="216">
        <f t="shared" si="11"/>
        <v>0</v>
      </c>
      <c r="Y77" s="174">
        <v>1</v>
      </c>
      <c r="Z77" s="1494">
        <f t="shared" si="11"/>
        <v>0.14285714285714285</v>
      </c>
      <c r="AA77" s="1031"/>
      <c r="AB77" s="1016">
        <f t="shared" si="12"/>
        <v>0.2</v>
      </c>
      <c r="AC77" s="863">
        <f t="shared" si="13"/>
        <v>2.8571428571428571E-2</v>
      </c>
    </row>
    <row r="78" spans="1:29" x14ac:dyDescent="0.2">
      <c r="A78" s="3"/>
      <c r="B78" s="343" t="s">
        <v>136</v>
      </c>
      <c r="C78" s="576"/>
      <c r="D78" s="576"/>
      <c r="E78" s="1394"/>
      <c r="F78" s="908"/>
      <c r="G78" s="1391"/>
      <c r="H78" s="908"/>
      <c r="I78" s="326"/>
      <c r="J78" s="310"/>
      <c r="K78" s="326"/>
      <c r="L78" s="310"/>
      <c r="M78" s="326"/>
      <c r="N78" s="394"/>
      <c r="O78" s="226"/>
      <c r="P78" s="394"/>
      <c r="Q78" s="226"/>
      <c r="R78" s="394"/>
      <c r="S78" s="226"/>
      <c r="T78" s="394"/>
      <c r="U78" s="226"/>
      <c r="V78" s="394"/>
      <c r="W78" s="226"/>
      <c r="X78" s="394"/>
      <c r="Y78" s="226"/>
      <c r="Z78" s="1500"/>
      <c r="AA78" s="1031"/>
      <c r="AB78" s="1016"/>
      <c r="AC78" s="863"/>
    </row>
    <row r="79" spans="1:29" x14ac:dyDescent="0.2">
      <c r="A79" s="3"/>
      <c r="B79" s="75" t="s">
        <v>124</v>
      </c>
      <c r="C79" s="65"/>
      <c r="D79" s="65"/>
      <c r="E79" s="894"/>
      <c r="F79" s="907"/>
      <c r="G79" s="1392"/>
      <c r="H79" s="894"/>
      <c r="I79" s="229">
        <v>0</v>
      </c>
      <c r="J79" s="221">
        <f>I79/J$68</f>
        <v>0</v>
      </c>
      <c r="K79" s="229">
        <v>0</v>
      </c>
      <c r="L79" s="221">
        <f>K79/L$68</f>
        <v>0</v>
      </c>
      <c r="M79" s="229">
        <v>0</v>
      </c>
      <c r="N79" s="216">
        <f>M79/N$68</f>
        <v>0</v>
      </c>
      <c r="O79" s="183">
        <v>0</v>
      </c>
      <c r="P79" s="216">
        <f>O79/P$68</f>
        <v>0</v>
      </c>
      <c r="Q79" s="183">
        <v>0</v>
      </c>
      <c r="R79" s="216">
        <f>Q79/R$68</f>
        <v>0</v>
      </c>
      <c r="S79" s="183">
        <f>0</f>
        <v>0</v>
      </c>
      <c r="T79" s="216">
        <f>S79/T$68</f>
        <v>0</v>
      </c>
      <c r="U79" s="183">
        <v>0</v>
      </c>
      <c r="V79" s="216">
        <f>U79/V$68</f>
        <v>0</v>
      </c>
      <c r="W79" s="183">
        <v>0</v>
      </c>
      <c r="X79" s="216">
        <f>W79/X$68</f>
        <v>0</v>
      </c>
      <c r="Y79" s="183">
        <v>1</v>
      </c>
      <c r="Z79" s="1494">
        <f>Y79/Z$68</f>
        <v>0.14285714285714285</v>
      </c>
      <c r="AA79" s="1031"/>
      <c r="AB79" s="1016">
        <f t="shared" si="12"/>
        <v>0.2</v>
      </c>
      <c r="AC79" s="863">
        <f t="shared" si="13"/>
        <v>2.8571428571428571E-2</v>
      </c>
    </row>
    <row r="80" spans="1:29" x14ac:dyDescent="0.2">
      <c r="A80" s="3"/>
      <c r="B80" s="75" t="s">
        <v>125</v>
      </c>
      <c r="C80" s="62"/>
      <c r="D80" s="62"/>
      <c r="E80" s="894"/>
      <c r="F80" s="907"/>
      <c r="G80" s="1392"/>
      <c r="H80" s="907"/>
      <c r="I80" s="230">
        <v>5</v>
      </c>
      <c r="J80" s="221">
        <f>I80/J$68</f>
        <v>1</v>
      </c>
      <c r="K80" s="230">
        <v>5</v>
      </c>
      <c r="L80" s="221">
        <f>K80/L$68</f>
        <v>1</v>
      </c>
      <c r="M80" s="230">
        <f>1+5</f>
        <v>6</v>
      </c>
      <c r="N80" s="216">
        <f>M80/N$68</f>
        <v>1</v>
      </c>
      <c r="O80" s="283">
        <v>5</v>
      </c>
      <c r="P80" s="216">
        <f>O80/P$68</f>
        <v>1</v>
      </c>
      <c r="Q80" s="283">
        <v>6</v>
      </c>
      <c r="R80" s="216">
        <f>Q80/R$68</f>
        <v>1</v>
      </c>
      <c r="S80" s="283">
        <f>1+6</f>
        <v>7</v>
      </c>
      <c r="T80" s="216">
        <f>S80/T$68</f>
        <v>1</v>
      </c>
      <c r="U80" s="283">
        <v>7</v>
      </c>
      <c r="V80" s="216">
        <f>U80/V$68</f>
        <v>1</v>
      </c>
      <c r="W80" s="283">
        <f>1+6</f>
        <v>7</v>
      </c>
      <c r="X80" s="216">
        <f>W80/X$68</f>
        <v>1</v>
      </c>
      <c r="Y80" s="283">
        <v>6</v>
      </c>
      <c r="Z80" s="1494">
        <f>Y80/Z$68</f>
        <v>0.8571428571428571</v>
      </c>
      <c r="AA80" s="1031"/>
      <c r="AB80" s="1016">
        <f t="shared" si="12"/>
        <v>6.6</v>
      </c>
      <c r="AC80" s="863">
        <f t="shared" si="13"/>
        <v>0.97142857142857131</v>
      </c>
    </row>
    <row r="81" spans="1:31" x14ac:dyDescent="0.2">
      <c r="A81" s="3"/>
      <c r="B81" s="343" t="s">
        <v>137</v>
      </c>
      <c r="C81" s="576"/>
      <c r="D81" s="576"/>
      <c r="E81" s="1394"/>
      <c r="F81" s="908"/>
      <c r="G81" s="1391"/>
      <c r="H81" s="908"/>
      <c r="I81" s="315"/>
      <c r="J81" s="221"/>
      <c r="K81" s="315"/>
      <c r="L81" s="221"/>
      <c r="M81" s="315"/>
      <c r="N81" s="216"/>
      <c r="O81" s="285"/>
      <c r="P81" s="216"/>
      <c r="Q81" s="285"/>
      <c r="R81" s="216"/>
      <c r="S81" s="285"/>
      <c r="T81" s="216"/>
      <c r="U81" s="285"/>
      <c r="V81" s="216"/>
      <c r="W81" s="285"/>
      <c r="X81" s="216"/>
      <c r="Y81" s="285"/>
      <c r="Z81" s="1494"/>
      <c r="AA81" s="1031"/>
      <c r="AB81" s="1016"/>
      <c r="AC81" s="863"/>
    </row>
    <row r="82" spans="1:31" x14ac:dyDescent="0.2">
      <c r="A82" s="3"/>
      <c r="B82" s="75" t="s">
        <v>126</v>
      </c>
      <c r="C82" s="62"/>
      <c r="D82" s="62"/>
      <c r="E82" s="894"/>
      <c r="F82" s="907"/>
      <c r="G82" s="1392"/>
      <c r="H82" s="907"/>
      <c r="I82" s="230">
        <v>2</v>
      </c>
      <c r="J82" s="221">
        <f>I82/J$68</f>
        <v>0.4</v>
      </c>
      <c r="K82" s="230">
        <v>2</v>
      </c>
      <c r="L82" s="221">
        <f>K82/L$68</f>
        <v>0.4</v>
      </c>
      <c r="M82" s="230">
        <v>2</v>
      </c>
      <c r="N82" s="216">
        <f>M82/N$68</f>
        <v>0.33333333333333331</v>
      </c>
      <c r="O82" s="283">
        <v>2</v>
      </c>
      <c r="P82" s="216">
        <f>O82/P$68</f>
        <v>0.4</v>
      </c>
      <c r="Q82" s="283">
        <v>3</v>
      </c>
      <c r="R82" s="216">
        <f>Q82/R$68</f>
        <v>0.5</v>
      </c>
      <c r="S82" s="283">
        <f>1+2</f>
        <v>3</v>
      </c>
      <c r="T82" s="216">
        <f>S82/T$68</f>
        <v>0.42857142857142855</v>
      </c>
      <c r="U82" s="283">
        <v>3</v>
      </c>
      <c r="V82" s="216">
        <f>U82/V$68</f>
        <v>0.42857142857142855</v>
      </c>
      <c r="W82" s="283">
        <f>1+2</f>
        <v>3</v>
      </c>
      <c r="X82" s="216">
        <f>W82/X$68</f>
        <v>0.42857142857142855</v>
      </c>
      <c r="Y82" s="283">
        <v>3</v>
      </c>
      <c r="Z82" s="1494">
        <f>Y82/Z$68</f>
        <v>0.42857142857142855</v>
      </c>
      <c r="AB82" s="1016">
        <f t="shared" si="12"/>
        <v>3</v>
      </c>
      <c r="AC82" s="863">
        <f t="shared" si="13"/>
        <v>0.44285714285714289</v>
      </c>
    </row>
    <row r="83" spans="1:31" x14ac:dyDescent="0.2">
      <c r="A83" s="3"/>
      <c r="B83" s="75" t="s">
        <v>127</v>
      </c>
      <c r="C83" s="62"/>
      <c r="D83" s="62"/>
      <c r="E83" s="894"/>
      <c r="F83" s="907"/>
      <c r="G83" s="1392"/>
      <c r="H83" s="907"/>
      <c r="I83" s="230">
        <v>0</v>
      </c>
      <c r="J83" s="221">
        <f>I83/J$68</f>
        <v>0</v>
      </c>
      <c r="K83" s="230">
        <v>1</v>
      </c>
      <c r="L83" s="221">
        <f>K83/L$68</f>
        <v>0.2</v>
      </c>
      <c r="M83" s="230">
        <v>1</v>
      </c>
      <c r="N83" s="216">
        <f>M83/N$68</f>
        <v>0.16666666666666666</v>
      </c>
      <c r="O83" s="283">
        <v>1</v>
      </c>
      <c r="P83" s="216">
        <f>O83/P$68</f>
        <v>0.2</v>
      </c>
      <c r="Q83" s="283">
        <v>0</v>
      </c>
      <c r="R83" s="216">
        <f>Q83/R$68</f>
        <v>0</v>
      </c>
      <c r="S83" s="283">
        <f>2</f>
        <v>2</v>
      </c>
      <c r="T83" s="216">
        <f>S83/T$68</f>
        <v>0.2857142857142857</v>
      </c>
      <c r="U83" s="283">
        <v>2</v>
      </c>
      <c r="V83" s="216">
        <f>U83/V$68</f>
        <v>0.2857142857142857</v>
      </c>
      <c r="W83" s="283">
        <v>3</v>
      </c>
      <c r="X83" s="216">
        <f>W83/X$68</f>
        <v>0.42857142857142855</v>
      </c>
      <c r="Y83" s="283">
        <v>2</v>
      </c>
      <c r="Z83" s="1494">
        <f>Y83/Z$68</f>
        <v>0.2857142857142857</v>
      </c>
      <c r="AB83" s="1016">
        <f t="shared" si="12"/>
        <v>1.8</v>
      </c>
      <c r="AC83" s="863">
        <f t="shared" si="13"/>
        <v>0.25714285714285712</v>
      </c>
    </row>
    <row r="84" spans="1:31" x14ac:dyDescent="0.2">
      <c r="A84" s="3"/>
      <c r="B84" s="75" t="s">
        <v>128</v>
      </c>
      <c r="C84" s="62"/>
      <c r="D84" s="62"/>
      <c r="E84" s="894"/>
      <c r="F84" s="907"/>
      <c r="G84" s="1392"/>
      <c r="H84" s="907"/>
      <c r="I84" s="230">
        <v>3</v>
      </c>
      <c r="J84" s="221">
        <f>I84/J$68</f>
        <v>0.6</v>
      </c>
      <c r="K84" s="230">
        <v>2</v>
      </c>
      <c r="L84" s="221">
        <f>K84/L$68</f>
        <v>0.4</v>
      </c>
      <c r="M84" s="230">
        <f>1+2</f>
        <v>3</v>
      </c>
      <c r="N84" s="216">
        <f>M84/N$68</f>
        <v>0.5</v>
      </c>
      <c r="O84" s="283">
        <v>2</v>
      </c>
      <c r="P84" s="216">
        <f>O84/P$68</f>
        <v>0.4</v>
      </c>
      <c r="Q84" s="283">
        <v>3</v>
      </c>
      <c r="R84" s="216">
        <f>Q84/R$68</f>
        <v>0.5</v>
      </c>
      <c r="S84" s="283">
        <f>2</f>
        <v>2</v>
      </c>
      <c r="T84" s="216">
        <f>S84/T$68</f>
        <v>0.2857142857142857</v>
      </c>
      <c r="U84" s="283">
        <v>2</v>
      </c>
      <c r="V84" s="216">
        <f>U84/V$68</f>
        <v>0.2857142857142857</v>
      </c>
      <c r="W84" s="283">
        <v>1</v>
      </c>
      <c r="X84" s="216">
        <f>W84/X$68</f>
        <v>0.14285714285714285</v>
      </c>
      <c r="Y84" s="283">
        <v>2</v>
      </c>
      <c r="Z84" s="1494">
        <f>Y84/Z$68</f>
        <v>0.2857142857142857</v>
      </c>
      <c r="AB84" s="1016">
        <f t="shared" si="12"/>
        <v>2</v>
      </c>
      <c r="AC84" s="863">
        <f t="shared" si="13"/>
        <v>0.3</v>
      </c>
    </row>
    <row r="85" spans="1:31" x14ac:dyDescent="0.2">
      <c r="A85" s="3"/>
      <c r="B85" s="343" t="s">
        <v>138</v>
      </c>
      <c r="C85" s="576"/>
      <c r="D85" s="576"/>
      <c r="E85" s="1394"/>
      <c r="F85" s="908"/>
      <c r="G85" s="1391"/>
      <c r="H85" s="908"/>
      <c r="I85" s="315"/>
      <c r="J85" s="221"/>
      <c r="K85" s="315"/>
      <c r="L85" s="221"/>
      <c r="M85" s="315"/>
      <c r="N85" s="216"/>
      <c r="O85" s="285"/>
      <c r="P85" s="216"/>
      <c r="Q85" s="285"/>
      <c r="R85" s="216"/>
      <c r="S85" s="285"/>
      <c r="T85" s="216"/>
      <c r="U85" s="285"/>
      <c r="V85" s="216"/>
      <c r="W85" s="285"/>
      <c r="X85" s="216"/>
      <c r="Y85" s="285"/>
      <c r="Z85" s="1494"/>
      <c r="AB85" s="1016"/>
      <c r="AC85" s="863"/>
    </row>
    <row r="86" spans="1:31" x14ac:dyDescent="0.2">
      <c r="A86" s="3"/>
      <c r="B86" s="75" t="s">
        <v>129</v>
      </c>
      <c r="C86" s="62"/>
      <c r="D86" s="62"/>
      <c r="E86" s="894"/>
      <c r="F86" s="907"/>
      <c r="G86" s="1392"/>
      <c r="H86" s="907"/>
      <c r="I86" s="230">
        <v>3</v>
      </c>
      <c r="J86" s="221">
        <f>I86/J$68</f>
        <v>0.6</v>
      </c>
      <c r="K86" s="230">
        <v>4</v>
      </c>
      <c r="L86" s="221">
        <f>K86/L$68</f>
        <v>0.8</v>
      </c>
      <c r="M86" s="230">
        <v>4</v>
      </c>
      <c r="N86" s="216">
        <f>M86/N$68</f>
        <v>0.66666666666666663</v>
      </c>
      <c r="O86" s="283">
        <v>4</v>
      </c>
      <c r="P86" s="216">
        <f>O86/P$68</f>
        <v>0.8</v>
      </c>
      <c r="Q86" s="283">
        <v>5</v>
      </c>
      <c r="R86" s="216">
        <f>Q86/R$68</f>
        <v>0.83333333333333337</v>
      </c>
      <c r="S86" s="283">
        <f>1+5</f>
        <v>6</v>
      </c>
      <c r="T86" s="216">
        <f>S86/T$68</f>
        <v>0.8571428571428571</v>
      </c>
      <c r="U86" s="283">
        <v>6</v>
      </c>
      <c r="V86" s="216">
        <f>U86/V$68</f>
        <v>0.8571428571428571</v>
      </c>
      <c r="W86" s="283">
        <f>1+5</f>
        <v>6</v>
      </c>
      <c r="X86" s="216">
        <f>W86/X$68</f>
        <v>0.8571428571428571</v>
      </c>
      <c r="Y86" s="283">
        <v>6</v>
      </c>
      <c r="Z86" s="1494">
        <f>Y86/Z$68</f>
        <v>0.8571428571428571</v>
      </c>
      <c r="AB86" s="1016">
        <f t="shared" si="12"/>
        <v>5.8</v>
      </c>
      <c r="AC86" s="863">
        <f t="shared" si="13"/>
        <v>0.85238095238095235</v>
      </c>
    </row>
    <row r="87" spans="1:31" x14ac:dyDescent="0.2">
      <c r="A87" s="3"/>
      <c r="B87" s="75" t="s">
        <v>130</v>
      </c>
      <c r="C87" s="62"/>
      <c r="D87" s="62"/>
      <c r="E87" s="894"/>
      <c r="F87" s="907"/>
      <c r="G87" s="1392"/>
      <c r="H87" s="907"/>
      <c r="I87" s="230">
        <v>1</v>
      </c>
      <c r="J87" s="221">
        <f>I87/J$68</f>
        <v>0.2</v>
      </c>
      <c r="K87" s="230">
        <v>1</v>
      </c>
      <c r="L87" s="221">
        <f>K87/L$68</f>
        <v>0.2</v>
      </c>
      <c r="M87" s="230">
        <f>1+1</f>
        <v>2</v>
      </c>
      <c r="N87" s="216">
        <f>M87/N$68</f>
        <v>0.33333333333333331</v>
      </c>
      <c r="O87" s="283">
        <v>1</v>
      </c>
      <c r="P87" s="216">
        <f>O87/P$68</f>
        <v>0.2</v>
      </c>
      <c r="Q87" s="283">
        <v>1</v>
      </c>
      <c r="R87" s="216">
        <f>Q87/R$68</f>
        <v>0.16666666666666666</v>
      </c>
      <c r="S87" s="283">
        <f>1</f>
        <v>1</v>
      </c>
      <c r="T87" s="216">
        <f>S87/T$68</f>
        <v>0.14285714285714285</v>
      </c>
      <c r="U87" s="283">
        <v>1</v>
      </c>
      <c r="V87" s="216">
        <f>U87/V$68</f>
        <v>0.14285714285714285</v>
      </c>
      <c r="W87" s="283">
        <v>1</v>
      </c>
      <c r="X87" s="216">
        <f>W87/X$68</f>
        <v>0.14285714285714285</v>
      </c>
      <c r="Y87" s="283">
        <v>1</v>
      </c>
      <c r="Z87" s="1494">
        <f>Y87/Z$68</f>
        <v>0.14285714285714285</v>
      </c>
      <c r="AB87" s="1016">
        <f t="shared" si="12"/>
        <v>1</v>
      </c>
      <c r="AC87" s="863">
        <f t="shared" si="13"/>
        <v>0.14761904761904759</v>
      </c>
    </row>
    <row r="88" spans="1:31" x14ac:dyDescent="0.2">
      <c r="A88" s="3"/>
      <c r="B88" s="75" t="s">
        <v>131</v>
      </c>
      <c r="C88" s="62"/>
      <c r="D88" s="62"/>
      <c r="E88" s="894"/>
      <c r="F88" s="907"/>
      <c r="G88" s="1392"/>
      <c r="H88" s="907"/>
      <c r="I88" s="230">
        <v>1</v>
      </c>
      <c r="J88" s="221">
        <f>I88/J$68</f>
        <v>0.2</v>
      </c>
      <c r="K88" s="230">
        <v>0</v>
      </c>
      <c r="L88" s="221">
        <f>K88/L$68</f>
        <v>0</v>
      </c>
      <c r="M88" s="230">
        <v>0</v>
      </c>
      <c r="N88" s="216">
        <f>M88/N$68</f>
        <v>0</v>
      </c>
      <c r="O88" s="283">
        <v>0</v>
      </c>
      <c r="P88" s="216">
        <f>O88/P$68</f>
        <v>0</v>
      </c>
      <c r="Q88" s="283">
        <v>0</v>
      </c>
      <c r="R88" s="216">
        <f>Q88/R$68</f>
        <v>0</v>
      </c>
      <c r="S88" s="283">
        <f>0</f>
        <v>0</v>
      </c>
      <c r="T88" s="216">
        <f>S88/T$68</f>
        <v>0</v>
      </c>
      <c r="U88" s="283">
        <v>0</v>
      </c>
      <c r="V88" s="216">
        <f>U88/V$68</f>
        <v>0</v>
      </c>
      <c r="W88" s="283">
        <v>0</v>
      </c>
      <c r="X88" s="216">
        <f>W88/X$68</f>
        <v>0</v>
      </c>
      <c r="Y88" s="283">
        <v>0</v>
      </c>
      <c r="Z88" s="1494">
        <f>Y88/Z$68</f>
        <v>0</v>
      </c>
      <c r="AB88" s="1016">
        <f t="shared" si="12"/>
        <v>0</v>
      </c>
      <c r="AC88" s="863">
        <f t="shared" si="13"/>
        <v>0</v>
      </c>
    </row>
    <row r="89" spans="1:31" ht="13.5" thickBot="1" x14ac:dyDescent="0.25">
      <c r="A89" s="3"/>
      <c r="B89" s="344" t="s">
        <v>132</v>
      </c>
      <c r="C89" s="577"/>
      <c r="D89" s="577"/>
      <c r="E89" s="910"/>
      <c r="F89" s="909"/>
      <c r="G89" s="1393"/>
      <c r="H89" s="909"/>
      <c r="I89" s="375">
        <v>0</v>
      </c>
      <c r="J89" s="222">
        <f>I89/J$68</f>
        <v>0</v>
      </c>
      <c r="K89" s="375">
        <v>0</v>
      </c>
      <c r="L89" s="222">
        <f>K89/L$68</f>
        <v>0</v>
      </c>
      <c r="M89" s="375">
        <v>0</v>
      </c>
      <c r="N89" s="220">
        <f>M89/N$68</f>
        <v>0</v>
      </c>
      <c r="O89" s="284">
        <v>0</v>
      </c>
      <c r="P89" s="220">
        <f>O89/P$68</f>
        <v>0</v>
      </c>
      <c r="Q89" s="284">
        <v>0</v>
      </c>
      <c r="R89" s="220">
        <f>Q89/R$68</f>
        <v>0</v>
      </c>
      <c r="S89" s="284">
        <v>0</v>
      </c>
      <c r="T89" s="220">
        <f>S89/T$68</f>
        <v>0</v>
      </c>
      <c r="U89" s="284">
        <v>0</v>
      </c>
      <c r="V89" s="220">
        <f>U89/V$68</f>
        <v>0</v>
      </c>
      <c r="W89" s="284">
        <v>0</v>
      </c>
      <c r="X89" s="220">
        <f>W89/X$68</f>
        <v>0</v>
      </c>
      <c r="Y89" s="284">
        <v>0</v>
      </c>
      <c r="Z89" s="1495">
        <f>Y89/Z$68</f>
        <v>0</v>
      </c>
      <c r="AB89" s="1016">
        <f t="shared" si="12"/>
        <v>0</v>
      </c>
      <c r="AC89" s="863">
        <f t="shared" si="13"/>
        <v>0</v>
      </c>
    </row>
    <row r="90" spans="1:31" ht="14.25" thickTop="1" thickBot="1" x14ac:dyDescent="0.25">
      <c r="A90" s="1"/>
      <c r="B90" s="956" t="s">
        <v>186</v>
      </c>
      <c r="C90" s="1992" t="s">
        <v>51</v>
      </c>
      <c r="D90" s="1993"/>
      <c r="E90" s="1989" t="s">
        <v>52</v>
      </c>
      <c r="F90" s="1990"/>
      <c r="G90" s="1989" t="s">
        <v>184</v>
      </c>
      <c r="H90" s="1990"/>
      <c r="I90" s="1989" t="s">
        <v>185</v>
      </c>
      <c r="J90" s="1990"/>
      <c r="K90" s="1989" t="s">
        <v>202</v>
      </c>
      <c r="L90" s="1990"/>
      <c r="M90" s="1991" t="s">
        <v>203</v>
      </c>
      <c r="N90" s="1979"/>
      <c r="O90" s="1970" t="s">
        <v>228</v>
      </c>
      <c r="P90" s="1979"/>
      <c r="Q90" s="1970" t="s">
        <v>238</v>
      </c>
      <c r="R90" s="1979"/>
      <c r="S90" s="1970" t="s">
        <v>273</v>
      </c>
      <c r="T90" s="1979"/>
      <c r="U90" s="1970" t="s">
        <v>275</v>
      </c>
      <c r="V90" s="1979"/>
      <c r="W90" s="1970" t="s">
        <v>281</v>
      </c>
      <c r="X90" s="1979"/>
      <c r="Y90" s="1970" t="s">
        <v>291</v>
      </c>
      <c r="Z90" s="1976"/>
      <c r="AB90" s="2003" t="s">
        <v>213</v>
      </c>
      <c r="AC90" s="2004"/>
    </row>
    <row r="91" spans="1:31" x14ac:dyDescent="0.2">
      <c r="A91" s="1"/>
      <c r="B91" s="957"/>
      <c r="C91" s="958"/>
      <c r="D91" s="959"/>
      <c r="E91" s="1273" t="s">
        <v>133</v>
      </c>
      <c r="F91" s="1180" t="s">
        <v>17</v>
      </c>
      <c r="G91" s="1448" t="s">
        <v>133</v>
      </c>
      <c r="H91" s="1449" t="s">
        <v>17</v>
      </c>
      <c r="I91" s="1448" t="s">
        <v>133</v>
      </c>
      <c r="J91" s="1449" t="s">
        <v>17</v>
      </c>
      <c r="K91" s="1448" t="s">
        <v>133</v>
      </c>
      <c r="L91" s="1449" t="s">
        <v>17</v>
      </c>
      <c r="M91" s="1448" t="s">
        <v>133</v>
      </c>
      <c r="N91" s="1449" t="s">
        <v>17</v>
      </c>
      <c r="O91" s="1448" t="s">
        <v>133</v>
      </c>
      <c r="P91" s="1450" t="s">
        <v>17</v>
      </c>
      <c r="Q91" s="1451" t="s">
        <v>133</v>
      </c>
      <c r="R91" s="1450" t="s">
        <v>17</v>
      </c>
      <c r="S91" s="1451" t="s">
        <v>133</v>
      </c>
      <c r="T91" s="1450" t="s">
        <v>17</v>
      </c>
      <c r="U91" s="1768" t="s">
        <v>133</v>
      </c>
      <c r="V91" s="1450" t="s">
        <v>17</v>
      </c>
      <c r="W91" s="1768" t="s">
        <v>133</v>
      </c>
      <c r="X91" s="1450" t="s">
        <v>17</v>
      </c>
      <c r="Y91" s="1768" t="s">
        <v>133</v>
      </c>
      <c r="Z91" s="1452" t="s">
        <v>17</v>
      </c>
      <c r="AB91" s="953" t="s">
        <v>133</v>
      </c>
      <c r="AC91" s="1366" t="s">
        <v>17</v>
      </c>
    </row>
    <row r="92" spans="1:31" x14ac:dyDescent="0.2">
      <c r="A92" s="1"/>
      <c r="B92" s="341" t="s">
        <v>187</v>
      </c>
      <c r="C92" s="960">
        <v>0</v>
      </c>
      <c r="D92" s="961">
        <v>0</v>
      </c>
      <c r="E92" s="1356"/>
      <c r="F92" s="1357"/>
      <c r="G92" s="1356"/>
      <c r="H92" s="1357"/>
      <c r="I92" s="960">
        <v>0</v>
      </c>
      <c r="J92" s="961">
        <v>0</v>
      </c>
      <c r="K92" s="960">
        <v>0</v>
      </c>
      <c r="L92" s="961">
        <v>0</v>
      </c>
      <c r="M92" s="960">
        <v>0</v>
      </c>
      <c r="N92" s="961">
        <v>0</v>
      </c>
      <c r="O92" s="960">
        <v>0</v>
      </c>
      <c r="P92" s="961">
        <v>0</v>
      </c>
      <c r="Q92" s="960">
        <v>0</v>
      </c>
      <c r="R92" s="961">
        <v>0</v>
      </c>
      <c r="S92" s="960">
        <v>0</v>
      </c>
      <c r="T92" s="961">
        <v>0</v>
      </c>
      <c r="U92" s="960">
        <v>0</v>
      </c>
      <c r="V92" s="961">
        <v>0</v>
      </c>
      <c r="W92" s="960">
        <v>0</v>
      </c>
      <c r="X92" s="961">
        <v>0</v>
      </c>
      <c r="Y92" s="960">
        <v>0</v>
      </c>
      <c r="Z92" s="1517">
        <v>0</v>
      </c>
      <c r="AB92" s="1360">
        <f t="shared" ref="AB92:AB94" si="16">AVERAGE(W92,U92,Q92,S92,Y92)</f>
        <v>0</v>
      </c>
      <c r="AC92" s="1362">
        <f t="shared" ref="AC92:AC94" si="17">AVERAGE(X92,V92,R92,T92,Z92)</f>
        <v>0</v>
      </c>
    </row>
    <row r="93" spans="1:31" x14ac:dyDescent="0.2">
      <c r="A93" s="1"/>
      <c r="B93" s="341" t="s">
        <v>188</v>
      </c>
      <c r="C93" s="960">
        <v>0</v>
      </c>
      <c r="D93" s="961">
        <v>0</v>
      </c>
      <c r="E93" s="1356"/>
      <c r="F93" s="1357"/>
      <c r="G93" s="1356"/>
      <c r="H93" s="1357"/>
      <c r="I93" s="960">
        <v>0</v>
      </c>
      <c r="J93" s="961">
        <v>0</v>
      </c>
      <c r="K93" s="960">
        <v>1</v>
      </c>
      <c r="L93" s="961">
        <v>0.5</v>
      </c>
      <c r="M93" s="960">
        <v>1</v>
      </c>
      <c r="N93" s="961">
        <v>0.5</v>
      </c>
      <c r="O93" s="960">
        <v>2</v>
      </c>
      <c r="P93" s="961">
        <v>1</v>
      </c>
      <c r="Q93" s="960">
        <v>1</v>
      </c>
      <c r="R93" s="961">
        <v>0.5</v>
      </c>
      <c r="S93" s="960">
        <v>1</v>
      </c>
      <c r="T93" s="961">
        <v>0.5</v>
      </c>
      <c r="U93" s="960">
        <v>0</v>
      </c>
      <c r="V93" s="961">
        <v>0</v>
      </c>
      <c r="W93" s="960">
        <v>1</v>
      </c>
      <c r="X93" s="961">
        <v>0.4</v>
      </c>
      <c r="Y93" s="960">
        <v>1</v>
      </c>
      <c r="Z93" s="1517">
        <v>0.4</v>
      </c>
      <c r="AB93" s="1363">
        <f t="shared" si="16"/>
        <v>0.8</v>
      </c>
      <c r="AC93" s="1365">
        <f t="shared" si="17"/>
        <v>0.36</v>
      </c>
    </row>
    <row r="94" spans="1:31" ht="13.5" thickBot="1" x14ac:dyDescent="0.25">
      <c r="A94" s="1"/>
      <c r="B94" s="344" t="s">
        <v>211</v>
      </c>
      <c r="C94" s="962">
        <v>0</v>
      </c>
      <c r="D94" s="963">
        <v>0</v>
      </c>
      <c r="E94" s="1358"/>
      <c r="F94" s="1359"/>
      <c r="G94" s="1358"/>
      <c r="H94" s="1359"/>
      <c r="I94" s="962">
        <v>0</v>
      </c>
      <c r="J94" s="963">
        <v>0</v>
      </c>
      <c r="K94" s="964">
        <v>0</v>
      </c>
      <c r="L94" s="963">
        <v>0</v>
      </c>
      <c r="M94" s="964">
        <v>0</v>
      </c>
      <c r="N94" s="963">
        <v>0</v>
      </c>
      <c r="O94" s="964">
        <v>0</v>
      </c>
      <c r="P94" s="963">
        <v>0</v>
      </c>
      <c r="Q94" s="964">
        <v>0</v>
      </c>
      <c r="R94" s="963">
        <v>0</v>
      </c>
      <c r="S94" s="964">
        <v>0</v>
      </c>
      <c r="T94" s="963">
        <v>0</v>
      </c>
      <c r="U94" s="964">
        <v>0</v>
      </c>
      <c r="V94" s="963">
        <v>0</v>
      </c>
      <c r="W94" s="964">
        <v>0</v>
      </c>
      <c r="X94" s="963">
        <v>0</v>
      </c>
      <c r="Y94" s="964">
        <v>0</v>
      </c>
      <c r="Z94" s="1518">
        <v>0</v>
      </c>
      <c r="AB94" s="1364">
        <f t="shared" si="16"/>
        <v>0</v>
      </c>
      <c r="AC94" s="1361">
        <f t="shared" si="17"/>
        <v>0</v>
      </c>
      <c r="AE94" s="1" t="s">
        <v>29</v>
      </c>
    </row>
    <row r="95" spans="1:31" ht="17.25" thickTop="1" thickBot="1" x14ac:dyDescent="0.3">
      <c r="A95" s="966"/>
      <c r="B95" s="967"/>
      <c r="C95" s="1992" t="s">
        <v>51</v>
      </c>
      <c r="D95" s="1993"/>
      <c r="E95" s="1989" t="s">
        <v>52</v>
      </c>
      <c r="F95" s="1990"/>
      <c r="G95" s="1989" t="s">
        <v>184</v>
      </c>
      <c r="H95" s="1990"/>
      <c r="I95" s="1989" t="s">
        <v>185</v>
      </c>
      <c r="J95" s="1990"/>
      <c r="K95" s="1989" t="s">
        <v>202</v>
      </c>
      <c r="L95" s="1990"/>
      <c r="M95" s="1991" t="s">
        <v>203</v>
      </c>
      <c r="N95" s="1979"/>
      <c r="O95" s="1970" t="s">
        <v>254</v>
      </c>
      <c r="P95" s="1979"/>
      <c r="Q95" s="1970" t="s">
        <v>238</v>
      </c>
      <c r="R95" s="1979"/>
      <c r="S95" s="1970" t="s">
        <v>273</v>
      </c>
      <c r="T95" s="1979"/>
      <c r="U95" s="1970" t="s">
        <v>275</v>
      </c>
      <c r="V95" s="1979"/>
      <c r="W95" s="1970" t="s">
        <v>281</v>
      </c>
      <c r="X95" s="1979"/>
      <c r="Y95" s="1970" t="s">
        <v>291</v>
      </c>
      <c r="Z95" s="1976"/>
      <c r="AA95" s="932"/>
      <c r="AB95" s="2081"/>
      <c r="AC95" s="2104"/>
      <c r="AD95" s="3"/>
      <c r="AE95" s="3"/>
    </row>
    <row r="96" spans="1:31" x14ac:dyDescent="0.2">
      <c r="A96" s="3"/>
      <c r="B96" s="342" t="s">
        <v>210</v>
      </c>
      <c r="C96" s="975"/>
      <c r="D96" s="1055"/>
      <c r="E96" s="970"/>
      <c r="F96" s="971"/>
      <c r="G96" s="972"/>
      <c r="H96" s="973"/>
      <c r="I96" s="1532"/>
      <c r="J96" s="420"/>
      <c r="K96" s="975"/>
      <c r="L96" s="976"/>
      <c r="M96" s="975"/>
      <c r="N96" s="991"/>
      <c r="O96" s="974"/>
      <c r="P96" s="593"/>
      <c r="Q96" s="975"/>
      <c r="R96" s="976"/>
      <c r="S96" s="975"/>
      <c r="T96" s="991"/>
      <c r="U96" s="117"/>
      <c r="V96" s="1422"/>
      <c r="W96" s="975"/>
      <c r="X96" s="991"/>
      <c r="Y96" s="975"/>
      <c r="Z96" s="977"/>
      <c r="AA96" s="28"/>
      <c r="AB96" s="136"/>
      <c r="AC96" s="136"/>
      <c r="AD96" s="3"/>
      <c r="AE96" s="3"/>
    </row>
    <row r="97" spans="1:31" x14ac:dyDescent="0.2">
      <c r="A97" s="930"/>
      <c r="B97" s="979" t="s">
        <v>192</v>
      </c>
      <c r="C97" s="2105"/>
      <c r="D97" s="2106"/>
      <c r="E97" s="980"/>
      <c r="F97" s="981"/>
      <c r="G97" s="982"/>
      <c r="H97" s="983"/>
      <c r="I97" s="1983">
        <v>0.95</v>
      </c>
      <c r="J97" s="1984"/>
      <c r="K97" s="984"/>
      <c r="L97" s="985"/>
      <c r="M97" s="984"/>
      <c r="N97" s="991"/>
      <c r="O97" s="1898"/>
      <c r="P97" s="1899">
        <v>3</v>
      </c>
      <c r="Q97" s="984"/>
      <c r="R97" s="991"/>
      <c r="S97" s="984"/>
      <c r="T97" s="991"/>
      <c r="U97" s="136"/>
      <c r="V97" s="1899">
        <v>4.75</v>
      </c>
      <c r="W97" s="984"/>
      <c r="X97" s="991"/>
      <c r="Y97" s="984"/>
      <c r="Z97" s="977"/>
      <c r="AA97" s="28"/>
      <c r="AB97" s="136"/>
      <c r="AC97" s="1230"/>
      <c r="AD97" s="3"/>
      <c r="AE97" s="3"/>
    </row>
    <row r="98" spans="1:31" x14ac:dyDescent="0.2">
      <c r="A98" s="930"/>
      <c r="B98" s="986" t="s">
        <v>193</v>
      </c>
      <c r="C98" s="2105"/>
      <c r="D98" s="2106"/>
      <c r="E98" s="980"/>
      <c r="F98" s="981"/>
      <c r="G98" s="982"/>
      <c r="H98" s="983"/>
      <c r="I98" s="1983"/>
      <c r="J98" s="1984"/>
      <c r="K98" s="984"/>
      <c r="L98" s="985"/>
      <c r="M98" s="984"/>
      <c r="N98" s="991"/>
      <c r="O98" s="1898"/>
      <c r="P98" s="1899"/>
      <c r="Q98" s="984"/>
      <c r="R98" s="991"/>
      <c r="S98" s="984"/>
      <c r="T98" s="991"/>
      <c r="U98" s="136"/>
      <c r="V98" s="1899"/>
      <c r="W98" s="984"/>
      <c r="X98" s="991"/>
      <c r="Y98" s="984"/>
      <c r="Z98" s="977"/>
      <c r="AA98" s="28"/>
      <c r="AB98" s="136"/>
      <c r="AC98" s="1230"/>
      <c r="AD98" s="3"/>
      <c r="AE98" s="3"/>
    </row>
    <row r="99" spans="1:31" x14ac:dyDescent="0.2">
      <c r="A99" s="930"/>
      <c r="B99" s="986" t="s">
        <v>194</v>
      </c>
      <c r="C99" s="2105"/>
      <c r="D99" s="2106"/>
      <c r="E99" s="980"/>
      <c r="F99" s="981"/>
      <c r="G99" s="982"/>
      <c r="H99" s="983"/>
      <c r="I99" s="1983">
        <v>0</v>
      </c>
      <c r="J99" s="1984"/>
      <c r="K99" s="984"/>
      <c r="L99" s="985"/>
      <c r="M99" s="984"/>
      <c r="N99" s="991"/>
      <c r="O99" s="1898"/>
      <c r="P99" s="1899">
        <v>1</v>
      </c>
      <c r="Q99" s="984"/>
      <c r="R99" s="991"/>
      <c r="S99" s="984"/>
      <c r="T99" s="991"/>
      <c r="U99" s="136"/>
      <c r="V99" s="1899">
        <v>0.5</v>
      </c>
      <c r="W99" s="984"/>
      <c r="X99" s="991"/>
      <c r="Y99" s="984"/>
      <c r="Z99" s="977"/>
      <c r="AA99" s="28"/>
      <c r="AB99" s="136"/>
      <c r="AC99" s="1230"/>
      <c r="AD99" s="3"/>
      <c r="AE99" s="3"/>
    </row>
    <row r="100" spans="1:31" x14ac:dyDescent="0.2">
      <c r="A100" s="930"/>
      <c r="B100" s="979" t="s">
        <v>195</v>
      </c>
      <c r="C100" s="2105"/>
      <c r="D100" s="2106"/>
      <c r="E100" s="980"/>
      <c r="F100" s="981"/>
      <c r="G100" s="982"/>
      <c r="H100" s="983"/>
      <c r="I100" s="1983">
        <v>0</v>
      </c>
      <c r="J100" s="1984"/>
      <c r="K100" s="984"/>
      <c r="L100" s="985"/>
      <c r="M100" s="984"/>
      <c r="N100" s="991"/>
      <c r="O100" s="1898"/>
      <c r="P100" s="1899">
        <v>0</v>
      </c>
      <c r="Q100" s="984"/>
      <c r="R100" s="991"/>
      <c r="S100" s="984"/>
      <c r="T100" s="991"/>
      <c r="U100" s="136"/>
      <c r="V100" s="1899">
        <v>0</v>
      </c>
      <c r="W100" s="984"/>
      <c r="X100" s="991"/>
      <c r="Y100" s="984"/>
      <c r="Z100" s="977"/>
      <c r="AA100" s="28"/>
      <c r="AB100" s="136"/>
      <c r="AC100" s="1230"/>
      <c r="AD100" s="3"/>
      <c r="AE100" s="3"/>
    </row>
    <row r="101" spans="1:31" x14ac:dyDescent="0.2">
      <c r="A101" s="930"/>
      <c r="B101" s="987" t="s">
        <v>196</v>
      </c>
      <c r="C101" s="2105"/>
      <c r="D101" s="2106"/>
      <c r="E101" s="980"/>
      <c r="F101" s="981"/>
      <c r="G101" s="982"/>
      <c r="H101" s="983"/>
      <c r="I101" s="1983">
        <v>1.85</v>
      </c>
      <c r="J101" s="1984"/>
      <c r="K101" s="984"/>
      <c r="L101" s="985"/>
      <c r="M101" s="984"/>
      <c r="N101" s="991"/>
      <c r="O101" s="1898"/>
      <c r="P101" s="1899">
        <v>2.5</v>
      </c>
      <c r="Q101" s="984"/>
      <c r="R101" s="991"/>
      <c r="S101" s="984"/>
      <c r="T101" s="991"/>
      <c r="U101" s="136"/>
      <c r="V101" s="1899">
        <f>2.1+0</f>
        <v>2.1</v>
      </c>
      <c r="W101" s="984"/>
      <c r="X101" s="991"/>
      <c r="Y101" s="984"/>
      <c r="Z101" s="977"/>
      <c r="AA101" s="28"/>
      <c r="AB101" s="136"/>
      <c r="AC101" s="1230"/>
      <c r="AD101" s="3"/>
      <c r="AE101" s="3"/>
    </row>
    <row r="102" spans="1:31" x14ac:dyDescent="0.2">
      <c r="A102" s="930"/>
      <c r="B102" s="987" t="s">
        <v>197</v>
      </c>
      <c r="C102" s="2105"/>
      <c r="D102" s="2106"/>
      <c r="E102" s="980"/>
      <c r="F102" s="981"/>
      <c r="G102" s="982"/>
      <c r="H102" s="983"/>
      <c r="I102" s="1983">
        <f>SUM(I97:J101)</f>
        <v>2.8</v>
      </c>
      <c r="J102" s="1984"/>
      <c r="K102" s="984"/>
      <c r="L102" s="985"/>
      <c r="M102" s="984"/>
      <c r="N102" s="991"/>
      <c r="O102" s="1898"/>
      <c r="P102" s="1899">
        <v>6.5</v>
      </c>
      <c r="Q102" s="984"/>
      <c r="R102" s="991"/>
      <c r="S102" s="984"/>
      <c r="T102" s="991"/>
      <c r="U102" s="136"/>
      <c r="V102" s="1899">
        <f>SUM(V97:V101)</f>
        <v>7.35</v>
      </c>
      <c r="W102" s="984"/>
      <c r="X102" s="991"/>
      <c r="Y102" s="984"/>
      <c r="Z102" s="977"/>
      <c r="AA102" s="28"/>
      <c r="AB102" s="136"/>
      <c r="AC102" s="1230"/>
      <c r="AD102" s="3"/>
      <c r="AE102" s="3"/>
    </row>
    <row r="103" spans="1:31" ht="13.5" thickBot="1" x14ac:dyDescent="0.25">
      <c r="A103" s="930"/>
      <c r="B103" s="988" t="s">
        <v>204</v>
      </c>
      <c r="C103" s="2107"/>
      <c r="D103" s="2108"/>
      <c r="E103" s="989"/>
      <c r="F103" s="990"/>
      <c r="G103" s="975"/>
      <c r="H103" s="991"/>
      <c r="I103" s="2056"/>
      <c r="J103" s="2055"/>
      <c r="K103" s="984"/>
      <c r="L103" s="985"/>
      <c r="M103" s="984"/>
      <c r="N103" s="991"/>
      <c r="O103" s="1900"/>
      <c r="P103" s="1901"/>
      <c r="Q103" s="984"/>
      <c r="R103" s="991"/>
      <c r="S103" s="984"/>
      <c r="T103" s="991"/>
      <c r="U103" s="136"/>
      <c r="V103" s="1901"/>
      <c r="W103" s="984"/>
      <c r="X103" s="991"/>
      <c r="Y103" s="984"/>
      <c r="Z103" s="977"/>
      <c r="AA103" s="28"/>
      <c r="AB103" s="136"/>
      <c r="AC103" s="1230"/>
      <c r="AD103" s="3"/>
      <c r="AE103" s="3"/>
    </row>
    <row r="104" spans="1:31" x14ac:dyDescent="0.2">
      <c r="A104" s="930"/>
      <c r="B104" s="979" t="s">
        <v>198</v>
      </c>
      <c r="C104" s="2111"/>
      <c r="D104" s="2112"/>
      <c r="E104" s="992"/>
      <c r="F104" s="993"/>
      <c r="G104" s="994"/>
      <c r="H104" s="995"/>
      <c r="I104" s="2043">
        <v>387</v>
      </c>
      <c r="J104" s="2044"/>
      <c r="K104" s="984"/>
      <c r="L104" s="985"/>
      <c r="M104" s="984"/>
      <c r="N104" s="991"/>
      <c r="O104" s="1902"/>
      <c r="P104" s="1903">
        <v>136</v>
      </c>
      <c r="Q104" s="984"/>
      <c r="R104" s="991"/>
      <c r="S104" s="984"/>
      <c r="T104" s="991"/>
      <c r="U104" s="136"/>
      <c r="V104" s="1903">
        <v>393</v>
      </c>
      <c r="W104" s="984"/>
      <c r="X104" s="991"/>
      <c r="Y104" s="984"/>
      <c r="Z104" s="977"/>
      <c r="AA104" s="28"/>
      <c r="AB104" s="136"/>
      <c r="AC104" s="1230"/>
      <c r="AD104" s="3"/>
      <c r="AE104" s="3"/>
    </row>
    <row r="105" spans="1:31" x14ac:dyDescent="0.2">
      <c r="A105" s="930"/>
      <c r="B105" s="987" t="s">
        <v>199</v>
      </c>
      <c r="C105" s="2111"/>
      <c r="D105" s="2112"/>
      <c r="E105" s="992"/>
      <c r="F105" s="993"/>
      <c r="G105" s="994"/>
      <c r="H105" s="995"/>
      <c r="I105" s="2043">
        <v>0</v>
      </c>
      <c r="J105" s="2044"/>
      <c r="K105" s="984"/>
      <c r="L105" s="985"/>
      <c r="M105" s="984"/>
      <c r="N105" s="991"/>
      <c r="O105" s="1902"/>
      <c r="P105" s="1903">
        <v>216</v>
      </c>
      <c r="Q105" s="984"/>
      <c r="R105" s="991"/>
      <c r="S105" s="984"/>
      <c r="T105" s="991"/>
      <c r="U105" s="136"/>
      <c r="V105" s="1903">
        <v>93</v>
      </c>
      <c r="W105" s="984"/>
      <c r="X105" s="991"/>
      <c r="Y105" s="984"/>
      <c r="Z105" s="977"/>
      <c r="AA105" s="28"/>
      <c r="AB105" s="136"/>
      <c r="AC105" s="1230"/>
      <c r="AD105" s="3"/>
      <c r="AE105" s="3"/>
    </row>
    <row r="106" spans="1:31" x14ac:dyDescent="0.2">
      <c r="A106" s="930"/>
      <c r="B106" s="987" t="s">
        <v>200</v>
      </c>
      <c r="C106" s="2111"/>
      <c r="D106" s="2112"/>
      <c r="E106" s="992"/>
      <c r="F106" s="993"/>
      <c r="G106" s="994"/>
      <c r="H106" s="995"/>
      <c r="I106" s="2043">
        <f>309+570</f>
        <v>879</v>
      </c>
      <c r="J106" s="2044"/>
      <c r="K106" s="984"/>
      <c r="L106" s="985"/>
      <c r="M106" s="984"/>
      <c r="N106" s="991"/>
      <c r="O106" s="1902"/>
      <c r="P106" s="1903">
        <v>627</v>
      </c>
      <c r="Q106" s="984"/>
      <c r="R106" s="991"/>
      <c r="S106" s="984"/>
      <c r="T106" s="991"/>
      <c r="U106" s="136"/>
      <c r="V106" s="1903">
        <v>504</v>
      </c>
      <c r="W106" s="984"/>
      <c r="X106" s="991"/>
      <c r="Y106" s="984"/>
      <c r="Z106" s="977"/>
      <c r="AA106" s="28"/>
      <c r="AB106" s="136"/>
      <c r="AC106" s="1230"/>
      <c r="AD106" s="3"/>
      <c r="AE106" s="3"/>
    </row>
    <row r="107" spans="1:31" x14ac:dyDescent="0.2">
      <c r="A107" s="930"/>
      <c r="B107" s="987" t="s">
        <v>209</v>
      </c>
      <c r="C107" s="2111"/>
      <c r="D107" s="2112"/>
      <c r="E107" s="992"/>
      <c r="F107" s="993"/>
      <c r="G107" s="994"/>
      <c r="H107" s="995"/>
      <c r="I107" s="2043">
        <f>SUM(I104:J106)</f>
        <v>1266</v>
      </c>
      <c r="J107" s="2044"/>
      <c r="K107" s="984"/>
      <c r="L107" s="985"/>
      <c r="M107" s="984"/>
      <c r="N107" s="991"/>
      <c r="O107" s="1902"/>
      <c r="P107" s="1903">
        <v>979</v>
      </c>
      <c r="Q107" s="984"/>
      <c r="R107" s="991"/>
      <c r="S107" s="984"/>
      <c r="T107" s="991"/>
      <c r="U107" s="136"/>
      <c r="V107" s="1903">
        <f>SUM(V104:V106)</f>
        <v>990</v>
      </c>
      <c r="W107" s="984"/>
      <c r="X107" s="991"/>
      <c r="Y107" s="984"/>
      <c r="Z107" s="977"/>
      <c r="AA107" s="28"/>
      <c r="AB107" s="136"/>
      <c r="AC107" s="1230"/>
      <c r="AD107" s="3"/>
      <c r="AE107" s="3"/>
    </row>
    <row r="108" spans="1:31" ht="13.5" thickBot="1" x14ac:dyDescent="0.25">
      <c r="A108" s="930"/>
      <c r="B108" s="988" t="s">
        <v>205</v>
      </c>
      <c r="C108" s="2107"/>
      <c r="D108" s="2108"/>
      <c r="E108" s="989"/>
      <c r="F108" s="990"/>
      <c r="G108" s="975"/>
      <c r="H108" s="991"/>
      <c r="I108" s="2056"/>
      <c r="J108" s="2055"/>
      <c r="K108" s="984"/>
      <c r="L108" s="985"/>
      <c r="M108" s="984"/>
      <c r="N108" s="991"/>
      <c r="O108" s="1900"/>
      <c r="P108" s="1901"/>
      <c r="Q108" s="984"/>
      <c r="R108" s="991"/>
      <c r="S108" s="984"/>
      <c r="T108" s="991"/>
      <c r="U108" s="136"/>
      <c r="V108" s="1901"/>
      <c r="W108" s="984"/>
      <c r="X108" s="991"/>
      <c r="Y108" s="984"/>
      <c r="Z108" s="977"/>
      <c r="AA108" s="831"/>
      <c r="AB108" s="136"/>
      <c r="AC108" s="1230"/>
      <c r="AD108" s="28"/>
      <c r="AE108" s="28"/>
    </row>
    <row r="109" spans="1:31" x14ac:dyDescent="0.2">
      <c r="A109" s="930"/>
      <c r="B109" s="979" t="s">
        <v>206</v>
      </c>
      <c r="C109" s="2109"/>
      <c r="D109" s="2110"/>
      <c r="E109" s="996"/>
      <c r="F109" s="997"/>
      <c r="G109" s="998"/>
      <c r="H109" s="999"/>
      <c r="I109" s="1985">
        <f>I104/I97</f>
        <v>407.36842105263162</v>
      </c>
      <c r="J109" s="1986"/>
      <c r="K109" s="1000"/>
      <c r="L109" s="1001" t="s">
        <v>29</v>
      </c>
      <c r="M109" s="1056"/>
      <c r="N109" s="991"/>
      <c r="O109" s="1904"/>
      <c r="P109" s="1905">
        <v>45.333333333333336</v>
      </c>
      <c r="Q109" s="984"/>
      <c r="R109" s="991"/>
      <c r="S109" s="984"/>
      <c r="T109" s="991"/>
      <c r="U109" s="136"/>
      <c r="V109" s="1905">
        <f>V104/V97</f>
        <v>82.736842105263165</v>
      </c>
      <c r="W109" s="984"/>
      <c r="X109" s="991"/>
      <c r="Y109" s="984"/>
      <c r="Z109" s="977"/>
      <c r="AA109" s="668"/>
      <c r="AB109" s="494"/>
      <c r="AC109" s="1230"/>
      <c r="AD109" s="21"/>
      <c r="AE109" s="21"/>
    </row>
    <row r="110" spans="1:31" x14ac:dyDescent="0.2">
      <c r="A110" s="930"/>
      <c r="B110" s="987" t="s">
        <v>207</v>
      </c>
      <c r="C110" s="2109"/>
      <c r="D110" s="2110"/>
      <c r="E110" s="996"/>
      <c r="F110" s="997"/>
      <c r="G110" s="998"/>
      <c r="H110" s="999"/>
      <c r="I110" s="1985">
        <v>0</v>
      </c>
      <c r="J110" s="1986"/>
      <c r="K110" s="1000"/>
      <c r="L110" s="1001"/>
      <c r="M110" s="1057"/>
      <c r="N110" s="999"/>
      <c r="O110" s="1904"/>
      <c r="P110" s="1905">
        <v>216</v>
      </c>
      <c r="Q110" s="1000"/>
      <c r="R110" s="999"/>
      <c r="S110" s="1000"/>
      <c r="T110" s="999"/>
      <c r="U110" s="494"/>
      <c r="V110" s="1905">
        <f>V105/(V99+V100)</f>
        <v>186</v>
      </c>
      <c r="W110" s="1000"/>
      <c r="X110" s="999"/>
      <c r="Y110" s="1000"/>
      <c r="Z110" s="1460"/>
      <c r="AA110" s="668"/>
      <c r="AB110" s="494"/>
      <c r="AC110" s="1230"/>
      <c r="AD110" s="21"/>
      <c r="AE110" s="21"/>
    </row>
    <row r="111" spans="1:31" x14ac:dyDescent="0.2">
      <c r="A111" s="930"/>
      <c r="B111" s="987" t="s">
        <v>208</v>
      </c>
      <c r="C111" s="2109"/>
      <c r="D111" s="2110"/>
      <c r="E111" s="996"/>
      <c r="F111" s="997"/>
      <c r="G111" s="998"/>
      <c r="H111" s="999"/>
      <c r="I111" s="1985">
        <f>I106/I101</f>
        <v>475.1351351351351</v>
      </c>
      <c r="J111" s="1986"/>
      <c r="K111" s="1000"/>
      <c r="L111" s="1001"/>
      <c r="M111" s="1057"/>
      <c r="N111" s="999"/>
      <c r="O111" s="1904"/>
      <c r="P111" s="1905">
        <v>250.8</v>
      </c>
      <c r="Q111" s="1000"/>
      <c r="R111" s="999"/>
      <c r="S111" s="1000"/>
      <c r="T111" s="999"/>
      <c r="U111" s="494"/>
      <c r="V111" s="1905">
        <f>V106/V101</f>
        <v>240</v>
      </c>
      <c r="W111" s="1000"/>
      <c r="X111" s="999"/>
      <c r="Y111" s="1000"/>
      <c r="Z111" s="1460"/>
      <c r="AA111" s="668"/>
      <c r="AB111" s="494"/>
      <c r="AC111" s="1230"/>
      <c r="AD111" s="21"/>
      <c r="AE111" s="21"/>
    </row>
    <row r="112" spans="1:31" ht="13.5" thickBot="1" x14ac:dyDescent="0.25">
      <c r="A112" s="930"/>
      <c r="B112" s="1002" t="s">
        <v>201</v>
      </c>
      <c r="C112" s="2113"/>
      <c r="D112" s="2114"/>
      <c r="E112" s="1003"/>
      <c r="F112" s="1004"/>
      <c r="G112" s="1005"/>
      <c r="H112" s="1006"/>
      <c r="I112" s="2045">
        <f>I107/I102</f>
        <v>452.14285714285717</v>
      </c>
      <c r="J112" s="2046"/>
      <c r="K112" s="1005"/>
      <c r="L112" s="1006"/>
      <c r="M112" s="1068"/>
      <c r="N112" s="1006"/>
      <c r="O112" s="1906"/>
      <c r="P112" s="1907">
        <v>150.61538461538461</v>
      </c>
      <c r="Q112" s="1005"/>
      <c r="R112" s="1006"/>
      <c r="S112" s="1005"/>
      <c r="T112" s="1006"/>
      <c r="U112" s="1233"/>
      <c r="V112" s="1907">
        <f>V107/V102</f>
        <v>134.69387755102042</v>
      </c>
      <c r="W112" s="1005"/>
      <c r="X112" s="1006"/>
      <c r="Y112" s="1005"/>
      <c r="Z112" s="1461"/>
      <c r="AA112" s="668"/>
      <c r="AB112" s="494"/>
      <c r="AC112" s="1230"/>
      <c r="AD112" s="21"/>
      <c r="AE112" s="21"/>
    </row>
    <row r="113" spans="2:2" ht="13.5" thickTop="1" x14ac:dyDescent="0.2">
      <c r="B113" t="str">
        <f>Dean_AS!B169</f>
        <v>*Note: Beginning with the 2009 collection cycle, Instructional FTE was defined according to the national Delaware Study of Instructional Costs and Productivity</v>
      </c>
    </row>
  </sheetData>
  <mergeCells count="138">
    <mergeCell ref="C112:D112"/>
    <mergeCell ref="I112:J112"/>
    <mergeCell ref="AB60:AC60"/>
    <mergeCell ref="C109:D109"/>
    <mergeCell ref="I109:J109"/>
    <mergeCell ref="C110:D110"/>
    <mergeCell ref="Q6:R6"/>
    <mergeCell ref="Q19:R19"/>
    <mergeCell ref="Q27:R27"/>
    <mergeCell ref="Q30:R30"/>
    <mergeCell ref="AB30:AC30"/>
    <mergeCell ref="AB6:AC6"/>
    <mergeCell ref="AB19:AC19"/>
    <mergeCell ref="U6:V6"/>
    <mergeCell ref="U19:V19"/>
    <mergeCell ref="U27:V27"/>
    <mergeCell ref="Q34:R34"/>
    <mergeCell ref="Q60:R60"/>
    <mergeCell ref="S6:T6"/>
    <mergeCell ref="S19:T19"/>
    <mergeCell ref="S27:T27"/>
    <mergeCell ref="S30:T30"/>
    <mergeCell ref="S34:T34"/>
    <mergeCell ref="S60:T60"/>
    <mergeCell ref="C111:D111"/>
    <mergeCell ref="I111:J111"/>
    <mergeCell ref="C106:D106"/>
    <mergeCell ref="I106:J106"/>
    <mergeCell ref="C107:D107"/>
    <mergeCell ref="I107:J107"/>
    <mergeCell ref="C108:D108"/>
    <mergeCell ref="AB34:AC34"/>
    <mergeCell ref="I108:J108"/>
    <mergeCell ref="O90:P90"/>
    <mergeCell ref="U34:V34"/>
    <mergeCell ref="U60:V60"/>
    <mergeCell ref="U90:V90"/>
    <mergeCell ref="U95:V95"/>
    <mergeCell ref="C104:D104"/>
    <mergeCell ref="I104:J104"/>
    <mergeCell ref="C101:D101"/>
    <mergeCell ref="I101:J101"/>
    <mergeCell ref="C102:D102"/>
    <mergeCell ref="I102:J102"/>
    <mergeCell ref="C105:D105"/>
    <mergeCell ref="S90:T90"/>
    <mergeCell ref="S95:T95"/>
    <mergeCell ref="I105:J105"/>
    <mergeCell ref="I110:J110"/>
    <mergeCell ref="C99:D99"/>
    <mergeCell ref="I99:J99"/>
    <mergeCell ref="C100:D100"/>
    <mergeCell ref="I100:J100"/>
    <mergeCell ref="C97:D97"/>
    <mergeCell ref="I97:J97"/>
    <mergeCell ref="C98:D98"/>
    <mergeCell ref="I98:J98"/>
    <mergeCell ref="C103:D103"/>
    <mergeCell ref="I103:J103"/>
    <mergeCell ref="AB90:AC90"/>
    <mergeCell ref="C95:D95"/>
    <mergeCell ref="E95:F95"/>
    <mergeCell ref="G95:H95"/>
    <mergeCell ref="I95:J95"/>
    <mergeCell ref="K95:L95"/>
    <mergeCell ref="M95:N95"/>
    <mergeCell ref="AB95:AC95"/>
    <mergeCell ref="Q90:R90"/>
    <mergeCell ref="Q95:R95"/>
    <mergeCell ref="C90:D90"/>
    <mergeCell ref="E90:F90"/>
    <mergeCell ref="G90:H90"/>
    <mergeCell ref="I90:J90"/>
    <mergeCell ref="K90:L90"/>
    <mergeCell ref="M90:N90"/>
    <mergeCell ref="W90:X90"/>
    <mergeCell ref="W95:X95"/>
    <mergeCell ref="O95:P95"/>
    <mergeCell ref="C30:D30"/>
    <mergeCell ref="E30:F30"/>
    <mergeCell ref="G30:H30"/>
    <mergeCell ref="AB27:AC27"/>
    <mergeCell ref="C28:D28"/>
    <mergeCell ref="E28:F28"/>
    <mergeCell ref="G28:H28"/>
    <mergeCell ref="I28:J28"/>
    <mergeCell ref="E27:F27"/>
    <mergeCell ref="I27:J27"/>
    <mergeCell ref="I30:J30"/>
    <mergeCell ref="C29:D29"/>
    <mergeCell ref="E29:F29"/>
    <mergeCell ref="G29:H29"/>
    <mergeCell ref="I29:J29"/>
    <mergeCell ref="C27:D27"/>
    <mergeCell ref="M30:N30"/>
    <mergeCell ref="U30:V30"/>
    <mergeCell ref="O60:P60"/>
    <mergeCell ref="E60:F60"/>
    <mergeCell ref="G60:H60"/>
    <mergeCell ref="E19:F19"/>
    <mergeCell ref="G19:H19"/>
    <mergeCell ref="E34:F34"/>
    <mergeCell ref="G34:H34"/>
    <mergeCell ref="G27:H27"/>
    <mergeCell ref="I34:J34"/>
    <mergeCell ref="K34:L34"/>
    <mergeCell ref="I60:J60"/>
    <mergeCell ref="K60:L60"/>
    <mergeCell ref="M34:N34"/>
    <mergeCell ref="M60:N60"/>
    <mergeCell ref="M19:N19"/>
    <mergeCell ref="K27:L27"/>
    <mergeCell ref="K30:L30"/>
    <mergeCell ref="M27:N27"/>
    <mergeCell ref="I6:J6"/>
    <mergeCell ref="K6:L6"/>
    <mergeCell ref="I19:J19"/>
    <mergeCell ref="K19:L19"/>
    <mergeCell ref="Y6:Z6"/>
    <mergeCell ref="Y19:Z19"/>
    <mergeCell ref="Y27:Z27"/>
    <mergeCell ref="Y30:Z30"/>
    <mergeCell ref="Y34:Z34"/>
    <mergeCell ref="O19:P19"/>
    <mergeCell ref="O27:P27"/>
    <mergeCell ref="O30:P30"/>
    <mergeCell ref="O34:P34"/>
    <mergeCell ref="M6:N6"/>
    <mergeCell ref="O6:P6"/>
    <mergeCell ref="Y60:Z60"/>
    <mergeCell ref="Y90:Z90"/>
    <mergeCell ref="Y95:Z95"/>
    <mergeCell ref="W6:X6"/>
    <mergeCell ref="W19:X19"/>
    <mergeCell ref="W27:X27"/>
    <mergeCell ref="W30:X30"/>
    <mergeCell ref="W34:X34"/>
    <mergeCell ref="W60:X60"/>
  </mergeCells>
  <phoneticPr fontId="3" type="noConversion"/>
  <printOptions horizontalCentered="1"/>
  <pageMargins left="0.32" right="0.35" top="0.57999999999999996" bottom="0.3" header="0.5" footer="0.54"/>
  <pageSetup scale="74" orientation="landscape" r:id="rId1"/>
  <headerFooter alignWithMargins="0">
    <oddFooter>&amp;R&amp;P of &amp;N
&amp;D</oddFooter>
  </headerFooter>
  <rowBreaks count="1" manualBreakCount="1">
    <brk id="57" max="16383" man="1"/>
  </rowBreaks>
  <ignoredErrors>
    <ignoredError sqref="S70:S89 W70:W88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5"/>
  <sheetViews>
    <sheetView tabSelected="1" topLeftCell="A10" zoomScaleNormal="100" zoomScaleSheetLayoutView="100" workbookViewId="0">
      <selection activeCell="AB1" sqref="AB1:AC1048576"/>
    </sheetView>
  </sheetViews>
  <sheetFormatPr defaultColWidth="10.28515625" defaultRowHeight="12.75" x14ac:dyDescent="0.2"/>
  <cols>
    <col min="1" max="1" width="3.7109375" style="115" customWidth="1"/>
    <col min="2" max="2" width="33.5703125" style="115" customWidth="1"/>
    <col min="3" max="3" width="7.7109375" style="115" hidden="1" customWidth="1"/>
    <col min="4" max="4" width="12.5703125" style="115" hidden="1" customWidth="1"/>
    <col min="5" max="5" width="7.7109375" style="115" hidden="1" customWidth="1"/>
    <col min="6" max="6" width="11.5703125" style="115" hidden="1" customWidth="1"/>
    <col min="7" max="7" width="7.7109375" style="115" hidden="1" customWidth="1"/>
    <col min="8" max="8" width="11.42578125" style="115" hidden="1" customWidth="1"/>
    <col min="9" max="9" width="7.7109375" style="115" hidden="1" customWidth="1"/>
    <col min="10" max="10" width="12" style="115" hidden="1" customWidth="1"/>
    <col min="11" max="11" width="7.7109375" style="115" hidden="1" customWidth="1"/>
    <col min="12" max="12" width="3.7109375" style="115" hidden="1" customWidth="1"/>
    <col min="13" max="13" width="9.5703125" style="115" hidden="1" customWidth="1"/>
    <col min="14" max="14" width="11" style="115" hidden="1" customWidth="1"/>
    <col min="15" max="15" width="9.5703125" style="115" customWidth="1"/>
    <col min="16" max="16" width="11.140625" style="115" customWidth="1"/>
    <col min="17" max="17" width="9.5703125" style="115" customWidth="1"/>
    <col min="18" max="18" width="11.85546875" style="115" customWidth="1"/>
    <col min="19" max="19" width="9.5703125" style="115" customWidth="1"/>
    <col min="20" max="20" width="11.85546875" style="115" customWidth="1"/>
    <col min="21" max="21" width="9.5703125" style="115" customWidth="1"/>
    <col min="22" max="22" width="11.85546875" style="115" customWidth="1"/>
    <col min="23" max="23" width="9.5703125" style="115" customWidth="1"/>
    <col min="24" max="24" width="11.85546875" style="115" customWidth="1"/>
    <col min="25" max="25" width="9.5703125" style="115" customWidth="1"/>
    <col min="26" max="26" width="11.85546875" style="115" customWidth="1"/>
    <col min="27" max="27" width="2.28515625" style="115" customWidth="1"/>
    <col min="28" max="28" width="7.7109375" style="115" hidden="1" customWidth="1"/>
    <col min="29" max="29" width="11.7109375" style="115" hidden="1" customWidth="1"/>
    <col min="30" max="30" width="1.42578125" style="115" customWidth="1"/>
    <col min="31" max="16384" width="10.28515625" style="115"/>
  </cols>
  <sheetData>
    <row r="1" spans="1:31" ht="18.75" customHeight="1" x14ac:dyDescent="0.25">
      <c r="A1" s="1257" t="s">
        <v>293</v>
      </c>
      <c r="B1" s="1257"/>
      <c r="C1" s="1257"/>
      <c r="D1" s="1257"/>
      <c r="E1" s="1181"/>
      <c r="F1" s="1257"/>
      <c r="G1" s="1181"/>
      <c r="H1" s="1257"/>
      <c r="I1" s="1181"/>
      <c r="J1" s="1181"/>
      <c r="K1" s="1258"/>
      <c r="L1" s="1181"/>
      <c r="M1" s="1181"/>
      <c r="N1" s="1181"/>
      <c r="O1" s="1181"/>
      <c r="P1" s="1181"/>
      <c r="Q1" s="1181"/>
      <c r="R1" s="1181"/>
      <c r="S1" s="1181"/>
      <c r="T1" s="1181"/>
      <c r="U1" s="1181"/>
      <c r="V1" s="1181"/>
      <c r="W1" s="1181"/>
      <c r="X1" s="1181"/>
      <c r="Y1" s="1181"/>
      <c r="Z1" s="1181"/>
      <c r="AA1" s="1181"/>
      <c r="AB1" s="1181"/>
      <c r="AC1" s="1181"/>
    </row>
    <row r="2" spans="1:31" ht="12" customHeight="1" x14ac:dyDescent="0.2">
      <c r="A2" s="116"/>
      <c r="B2" s="117"/>
      <c r="C2" s="410"/>
      <c r="D2" s="117"/>
      <c r="E2" s="410"/>
      <c r="F2" s="117"/>
      <c r="G2" s="410"/>
      <c r="H2" s="117"/>
      <c r="I2" s="410"/>
      <c r="J2" s="117"/>
      <c r="V2" s="409"/>
      <c r="W2" s="409"/>
      <c r="AB2" s="116" t="s">
        <v>29</v>
      </c>
    </row>
    <row r="3" spans="1:31" ht="12" customHeight="1" x14ac:dyDescent="0.2">
      <c r="A3" s="118" t="s">
        <v>77</v>
      </c>
      <c r="B3" s="117"/>
      <c r="C3" s="410"/>
      <c r="E3" s="117"/>
      <c r="F3" s="117"/>
      <c r="G3" s="409"/>
      <c r="H3" s="117"/>
      <c r="I3" s="409"/>
      <c r="J3" s="117"/>
      <c r="S3" s="409"/>
      <c r="T3" s="409"/>
      <c r="U3" s="409"/>
      <c r="V3" s="409"/>
      <c r="W3" s="1933" t="s">
        <v>29</v>
      </c>
      <c r="X3" s="409"/>
      <c r="Y3" s="409"/>
      <c r="Z3" s="409"/>
    </row>
    <row r="4" spans="1:31" ht="12" customHeight="1" thickBot="1" x14ac:dyDescent="0.25">
      <c r="A4" s="118"/>
      <c r="B4" s="117"/>
      <c r="C4" s="117"/>
      <c r="D4" s="117"/>
      <c r="E4" s="117"/>
      <c r="F4" s="117"/>
      <c r="G4" s="117"/>
      <c r="H4" s="117"/>
      <c r="I4" s="117"/>
      <c r="J4" s="117"/>
      <c r="W4" s="409"/>
      <c r="Y4" s="1933"/>
    </row>
    <row r="5" spans="1:31" ht="12.75" customHeight="1" thickTop="1" thickBot="1" x14ac:dyDescent="0.25">
      <c r="A5" s="116"/>
      <c r="B5" s="119"/>
      <c r="C5" s="120" t="s">
        <v>49</v>
      </c>
      <c r="D5" s="121"/>
      <c r="E5" s="120" t="s">
        <v>50</v>
      </c>
      <c r="F5" s="299"/>
      <c r="G5" s="302" t="s">
        <v>141</v>
      </c>
      <c r="H5" s="121"/>
      <c r="I5" s="2115" t="s">
        <v>152</v>
      </c>
      <c r="J5" s="2115"/>
      <c r="K5" s="2115" t="s">
        <v>154</v>
      </c>
      <c r="L5" s="1994"/>
      <c r="M5" s="2115" t="s">
        <v>171</v>
      </c>
      <c r="N5" s="2115"/>
      <c r="O5" s="1980" t="s">
        <v>227</v>
      </c>
      <c r="P5" s="2115"/>
      <c r="Q5" s="1980" t="s">
        <v>237</v>
      </c>
      <c r="R5" s="2115"/>
      <c r="S5" s="1980" t="s">
        <v>272</v>
      </c>
      <c r="T5" s="2115"/>
      <c r="U5" s="1980" t="s">
        <v>274</v>
      </c>
      <c r="V5" s="2115"/>
      <c r="W5" s="1980" t="s">
        <v>280</v>
      </c>
      <c r="X5" s="2115"/>
      <c r="Y5" s="1980" t="s">
        <v>290</v>
      </c>
      <c r="Z5" s="2117"/>
      <c r="AB5" s="2003" t="s">
        <v>213</v>
      </c>
      <c r="AC5" s="2004"/>
    </row>
    <row r="6" spans="1:31" ht="12" customHeight="1" x14ac:dyDescent="0.2">
      <c r="A6" s="116"/>
      <c r="B6" s="122"/>
      <c r="C6" s="124" t="s">
        <v>1</v>
      </c>
      <c r="D6" s="125" t="s">
        <v>2</v>
      </c>
      <c r="E6" s="124" t="s">
        <v>1</v>
      </c>
      <c r="F6" s="300" t="s">
        <v>2</v>
      </c>
      <c r="G6" s="303" t="s">
        <v>1</v>
      </c>
      <c r="H6" s="125" t="s">
        <v>2</v>
      </c>
      <c r="I6" s="124" t="s">
        <v>1</v>
      </c>
      <c r="J6" s="125" t="s">
        <v>2</v>
      </c>
      <c r="K6" s="303" t="s">
        <v>1</v>
      </c>
      <c r="L6" s="300" t="s">
        <v>2</v>
      </c>
      <c r="M6" s="303" t="s">
        <v>1</v>
      </c>
      <c r="N6" s="125" t="s">
        <v>2</v>
      </c>
      <c r="O6" s="124" t="s">
        <v>1</v>
      </c>
      <c r="P6" s="125" t="s">
        <v>2</v>
      </c>
      <c r="Q6" s="124" t="s">
        <v>1</v>
      </c>
      <c r="R6" s="125" t="s">
        <v>2</v>
      </c>
      <c r="S6" s="124" t="s">
        <v>1</v>
      </c>
      <c r="T6" s="125" t="s">
        <v>2</v>
      </c>
      <c r="U6" s="124" t="s">
        <v>1</v>
      </c>
      <c r="V6" s="125" t="s">
        <v>2</v>
      </c>
      <c r="W6" s="124" t="s">
        <v>1</v>
      </c>
      <c r="X6" s="125" t="s">
        <v>2</v>
      </c>
      <c r="Y6" s="124" t="s">
        <v>1</v>
      </c>
      <c r="Z6" s="126" t="s">
        <v>2</v>
      </c>
      <c r="AB6" s="921" t="s">
        <v>214</v>
      </c>
      <c r="AC6" s="922" t="s">
        <v>215</v>
      </c>
    </row>
    <row r="7" spans="1:31" ht="12" customHeight="1" thickBot="1" x14ac:dyDescent="0.25">
      <c r="A7" s="116"/>
      <c r="B7" s="391"/>
      <c r="C7" s="160" t="s">
        <v>3</v>
      </c>
      <c r="D7" s="123" t="s">
        <v>4</v>
      </c>
      <c r="E7" s="127" t="s">
        <v>3</v>
      </c>
      <c r="F7" s="301" t="s">
        <v>4</v>
      </c>
      <c r="G7" s="304" t="s">
        <v>3</v>
      </c>
      <c r="H7" s="123" t="s">
        <v>4</v>
      </c>
      <c r="I7" s="127" t="s">
        <v>3</v>
      </c>
      <c r="J7" s="123" t="s">
        <v>4</v>
      </c>
      <c r="K7" s="304" t="s">
        <v>3</v>
      </c>
      <c r="L7" s="301" t="s">
        <v>4</v>
      </c>
      <c r="M7" s="304" t="s">
        <v>3</v>
      </c>
      <c r="N7" s="123" t="s">
        <v>4</v>
      </c>
      <c r="O7" s="127" t="s">
        <v>3</v>
      </c>
      <c r="P7" s="123" t="s">
        <v>4</v>
      </c>
      <c r="Q7" s="127" t="s">
        <v>3</v>
      </c>
      <c r="R7" s="123" t="s">
        <v>4</v>
      </c>
      <c r="S7" s="127" t="s">
        <v>3</v>
      </c>
      <c r="T7" s="123" t="s">
        <v>4</v>
      </c>
      <c r="U7" s="127" t="s">
        <v>3</v>
      </c>
      <c r="V7" s="123" t="s">
        <v>4</v>
      </c>
      <c r="W7" s="127" t="s">
        <v>3</v>
      </c>
      <c r="X7" s="123" t="s">
        <v>4</v>
      </c>
      <c r="Y7" s="127" t="s">
        <v>3</v>
      </c>
      <c r="Z7" s="128" t="s">
        <v>4</v>
      </c>
      <c r="AB7" s="923" t="s">
        <v>3</v>
      </c>
      <c r="AC7" s="924" t="s">
        <v>4</v>
      </c>
    </row>
    <row r="8" spans="1:31" ht="12" customHeight="1" x14ac:dyDescent="0.2">
      <c r="A8" s="116"/>
      <c r="B8" s="389" t="s">
        <v>5</v>
      </c>
      <c r="C8" s="1153"/>
      <c r="D8" s="1154"/>
      <c r="E8" s="1155"/>
      <c r="F8" s="1156"/>
      <c r="G8" s="1157"/>
      <c r="H8" s="1154"/>
      <c r="I8" s="1155"/>
      <c r="J8" s="1154"/>
      <c r="K8" s="1157"/>
      <c r="L8" s="1156"/>
      <c r="M8" s="1157"/>
      <c r="N8" s="131"/>
      <c r="O8" s="1155"/>
      <c r="P8" s="131"/>
      <c r="Q8" s="1155"/>
      <c r="R8" s="131"/>
      <c r="S8" s="1155"/>
      <c r="T8" s="131"/>
      <c r="U8" s="1155"/>
      <c r="V8" s="131"/>
      <c r="W8" s="1155"/>
      <c r="X8" s="131"/>
      <c r="Y8" s="1155"/>
      <c r="Z8" s="296"/>
      <c r="AB8" s="925"/>
      <c r="AC8" s="581"/>
    </row>
    <row r="9" spans="1:31" s="787" customFormat="1" ht="12" hidden="1" customHeight="1" x14ac:dyDescent="0.2">
      <c r="A9" s="786"/>
      <c r="B9" s="654" t="s">
        <v>219</v>
      </c>
      <c r="C9" s="1153">
        <f>Dean_AS!C20</f>
        <v>0</v>
      </c>
      <c r="D9" s="1158">
        <f>Dean_AS!D20</f>
        <v>2</v>
      </c>
      <c r="E9" s="1153">
        <f>Dean_AS!E20</f>
        <v>1</v>
      </c>
      <c r="F9" s="1158">
        <f>Dean_AS!F20</f>
        <v>0</v>
      </c>
      <c r="G9" s="1153">
        <f>Dean_AS!G20</f>
        <v>0</v>
      </c>
      <c r="H9" s="1158">
        <v>1</v>
      </c>
      <c r="I9" s="1153">
        <f>Dean_AS!I20</f>
        <v>0</v>
      </c>
      <c r="J9" s="1158">
        <f>Dean_AS!J20</f>
        <v>0</v>
      </c>
      <c r="K9" s="1153">
        <f>Dean_AS!K20</f>
        <v>0</v>
      </c>
      <c r="L9" s="1159">
        <f>Dean_AS!L20</f>
        <v>0</v>
      </c>
      <c r="M9" s="1160">
        <f>Dean_AS!M20</f>
        <v>0</v>
      </c>
      <c r="N9" s="1158">
        <f>Dean_AS!N20</f>
        <v>0</v>
      </c>
      <c r="O9" s="1153">
        <f>Dean_AS!O20</f>
        <v>0</v>
      </c>
      <c r="P9" s="1158">
        <f>Dean_AS!P20</f>
        <v>0</v>
      </c>
      <c r="Q9" s="1153">
        <f>Dean_AS!Q20</f>
        <v>3</v>
      </c>
      <c r="R9" s="1158">
        <f>Dean_AS!R20</f>
        <v>0</v>
      </c>
      <c r="S9" s="1153">
        <f>Dean_AS!S20</f>
        <v>0</v>
      </c>
      <c r="T9" s="1158">
        <f>Dean_AS!T20</f>
        <v>0</v>
      </c>
      <c r="U9" s="1153"/>
      <c r="V9" s="1158"/>
      <c r="W9" s="1153"/>
      <c r="X9" s="1935"/>
      <c r="Y9" s="1153"/>
      <c r="Z9" s="1652"/>
      <c r="AB9" s="1630">
        <f t="shared" ref="AB9" si="0">AVERAGE(M9,U9,S9,Q9,O9)</f>
        <v>0.75</v>
      </c>
      <c r="AC9" s="143">
        <f>AVERAGE(L9,T9,R9,P9,N9)</f>
        <v>0</v>
      </c>
    </row>
    <row r="10" spans="1:31" s="787" customFormat="1" ht="12" customHeight="1" x14ac:dyDescent="0.2">
      <c r="A10" s="786"/>
      <c r="B10" s="669" t="s">
        <v>218</v>
      </c>
      <c r="C10" s="1161">
        <f>Dean_AS!C12+Dean_AS!C14+Dean_AS!C16+Dean_AS!C18+Dean_AS!C22+Dean_AS!C30+Dean_AS!C32+Dean_AS!C34+Dean_AS!C36+Dean_AS!C38+Dean_AS!C40+Dean_AS!C42+Dean_AS!C44+Dean_AS!C46+Dean_AS!C48+Dean_AS!C50+Dean_AS!C56+Dean_AS!C58+Dean_AS!C62+Dean_AS!C66+Art!C12+Biochem!C12+Biology!C12+Biology!C17+Biology!C19+Chemistry!C12+Chemistry!C17+'Comm Stud Th Dan - OLD'!C12+'Comm Stud Th Dan - OLD'!C16+Economics!C12+English!C12+Geography!C12+Geology!C12+Hist!C11+JMC!C12+Kinesiology!C12+Math!C12+'Modern Language'!C12+'Music -OLD'!C12+'Music -OLD'!C17+Philosophy!C12+Physics!C12+'Political Science'!C12+Psych!C12+SASW!C12+SASW!C16+SASW!C18+Stats!C12+'Women''s Studies'!C11</f>
        <v>7978</v>
      </c>
      <c r="D10" s="1162">
        <f>SUM(Dean_AS!D12+Dean_AS!D14+Dean_AS!D16+Dean_AS!D18+Dean_AS!D30+Dean_AS!D32+Art!D12+Biochem!D12+Biology!D12+Biology!D17+Biology!D19+Chemistry!D12+Chemistry!D17+Economics!D12+English!D12+Geography!D12+Geology!D12+Hist!D11+JMC!D12+Kinesiology!D12+Math!D12+'Modern Language'!D12+'Music -OLD'!D12+'Music -OLD'!D17+Philosophy!D12+Physics!D12+'Political Science'!D12+Psych!D12+SASW!D12+SASW!D16+SASW!D18+'Comm Stud Th Dan - OLD'!D12+'Comm Stud Th Dan - OLD'!D16+Stats!D12+'Women''s Studies'!D11)</f>
        <v>1095</v>
      </c>
      <c r="E10" s="1161">
        <f>Dean_AS!E12+Dean_AS!E14+Dean_AS!E16+Dean_AS!E18+Dean_AS!E22+Dean_AS!E30+Dean_AS!E32+Dean_AS!E34+Dean_AS!E36+Dean_AS!E38+Dean_AS!E40+Dean_AS!E42+Dean_AS!E44+Dean_AS!E46+Dean_AS!E48+Dean_AS!E50+Dean_AS!E56+Dean_AS!E58+Dean_AS!E62+Dean_AS!E66+Art!E12+Biochem!E12+Biology!E12+Biology!E17+Biology!E19+Chemistry!E12+Chemistry!E17+'Comm Stud Th Dan - OLD'!E12+'Comm Stud Th Dan - OLD'!E16+Economics!E12+English!E12+Geography!E12+Geology!E12+Hist!E11+JMC!E12+Kinesiology!E12+Kinesiology!E16+Math!E12+'Modern Language'!E12+'Music -OLD'!E12+'Music -OLD'!E17+Philosophy!E12+Physics!E12+'Political Science'!E12+Psych!E12+SASW!E12+SASW!E16+SASW!E18+Stats!E12+'Women''s Studies'!E11</f>
        <v>8369</v>
      </c>
      <c r="F10" s="1162">
        <f>SUM(Dean_AS!F12+Dean_AS!F14+Dean_AS!F16+Dean_AS!F18+Dean_AS!F30+Dean_AS!F32+Art!F12+Biochem!F12+Biology!F12+Biology!F17+Biology!F19+Chemistry!F12+Chemistry!F17+Economics!F12+English!F12+Geography!F12+Geology!F12+Hist!F11+JMC!F12+Kinesiology!F12+Math!F12+'Modern Language'!F12+'Music -OLD'!F12+'Music -OLD'!F17+Philosophy!F12+Physics!F12+'Political Science'!F12+Psych!F12+SASW!F12+SASW!F16+SASW!F18+'Comm Stud Th Dan - OLD'!F12+'Comm Stud Th Dan - OLD'!F16+Stats!F12+'Women''s Studies'!F11)</f>
        <v>1208</v>
      </c>
      <c r="G10" s="1161">
        <f>Dean_AS!G12+Dean_AS!G14+Dean_AS!G16+Dean_AS!G18+Dean_AS!G22+Dean_AS!G30+Dean_AS!G32+Dean_AS!G34+Dean_AS!G36+Dean_AS!G38+Dean_AS!G40+Dean_AS!G42+Dean_AS!G44+Dean_AS!G46+Dean_AS!G48+Dean_AS!G50+Dean_AS!G56+Dean_AS!G58+Dean_AS!G62+Dean_AS!G66+Art!G12+Biochem!G12+Biology!G12+Biology!G17+Biology!G19+Chemistry!G12+Chemistry!G17+'Comm Stud Th Dan - OLD'!G12+'Comm Stud Th Dan - OLD'!G16+Economics!G12+English!G12+Geography!G12+Geology!G12+Hist!G11+JMC!G12+Kinesiology!G12+Kinesiology!G16+Math!G12+'Modern Language'!G12+'Music -OLD'!G12+'Music -OLD'!G17+Philosophy!G12+Physics!G12+'Political Science'!G12+Psych!G12+SASW!G12+SASW!G16+SASW!G18+Stats!G12+'Women''s Studies'!G11</f>
        <v>8587</v>
      </c>
      <c r="H10" s="1162">
        <f>SUM(Dean_AS!H12+Dean_AS!H14+Dean_AS!H16+Dean_AS!H18+Dean_AS!H30+Dean_AS!H32+Art!H12+Biochem!H12+Biology!H12+Biology!H17+Biology!H19+Chemistry!H12+Chemistry!H17+Economics!H12+English!H12+Geography!H12+Geology!H12+Hist!H11+JMC!H12+Kinesiology!H12+Math!H12+'Modern Language'!H12+'Music -OLD'!H12+'Music -OLD'!H17+Philosophy!H12+Physics!H12+'Political Science'!H12+Psych!H12+SASW!H12+SASW!H16+SASW!H18+'Comm Stud Th Dan - OLD'!H12+'Comm Stud Th Dan - OLD'!H16+Stats!H12+'Women''s Studies'!H11)</f>
        <v>1237</v>
      </c>
      <c r="I10" s="1161">
        <f>Dean_AS!I12+Dean_AS!I14+Dean_AS!I16+Dean_AS!I18+Dean_AS!I22+Dean_AS!I30+Dean_AS!I32+Dean_AS!I34+Dean_AS!I36+Dean_AS!I38+Dean_AS!I40+Dean_AS!I42+Dean_AS!I44+Dean_AS!I46+Dean_AS!I48+Dean_AS!I50+Dean_AS!I56+Dean_AS!I58+Dean_AS!I62+Dean_AS!I66+Art!I12+Biochem!I12+Biology!I12+Biology!I17+Biology!I19+Chemistry!I12+Chemistry!I17+'Comm Stud Th Dan - OLD'!I12+'Comm Stud Th Dan - OLD'!I16+Economics!I12+English!I12+Geography!I12+Geology!I12+Hist!I11+JMC!I12+Kinesiology!I12+Math!I12+'Modern Language'!I12+'Music -OLD'!I12+'Music -OLD'!I17+Philosophy!I12+Physics!I12+'Political Science'!I12+Psych!I12+SASW!I12+SASW!I16+SASW!I18+Stats!I12+'Women''s Studies'!I11+Kinesiology!I16+Dean_AS!I52+Dean_AS!I54</f>
        <v>8522</v>
      </c>
      <c r="J10" s="1162">
        <f>SUM(Dean_AS!J12,Dean_AS!J14,Dean_AS!J16,Dean_AS!J18,Dean_AS!J30,Dean_AS!J32,Art!J12,Biochem!J12,Biology!J12,Biology!J17,Biology!J19,Chemistry!J12,Chemistry!J17,Economics!J12,English!J12,Geography!J12,Geology!J12,Hist!J11,JMC!J12,Kinesiology!J12,Math!J12,'Modern Language'!J12,'Music -OLD'!J12,'Music -OLD'!J17,Philosophy!J12,Physics!J12,'Political Science'!J12,Psych!J12,SASW!J12,SASW!J16)+SASW!J18+'Women''s Studies'!J11+'Comm Stud Th Dan - OLD'!J12+'Comm Stud Th Dan - OLD'!J16+Stats!J12+Kinesiology!J16</f>
        <v>1335</v>
      </c>
      <c r="K10" s="1161">
        <f>Dean_AS!K12+Dean_AS!K14+Dean_AS!K16+Dean_AS!K18+Dean_AS!K22+Dean_AS!K30+Dean_AS!K32+Dean_AS!K34+Dean_AS!K36+Dean_AS!K38+Dean_AS!K40+Dean_AS!K42+Dean_AS!K44+Dean_AS!K46+Dean_AS!K48+Dean_AS!K50+Dean_AS!K56+Dean_AS!K58+Dean_AS!K62+Dean_AS!K66+Art!K12+Biochem!K12+Biology!K12+Biology!K17+Biology!K19+Chemistry!K12+Chemistry!K17+'Comm Stud Th Dan - OLD'!K12+'Comm Stud Th Dan - OLD'!K16+Economics!K12+English!K12+Geography!K12+Geology!K12+Hist!K11+JMC!K12+Kinesiology!K12+Math!K12+'Modern Language'!K12+'Music -OLD'!K12+'Music -OLD'!K17+Philosophy!K12+Physics!K12+'Political Science'!K12+Psych!K12+SASW!K12+SASW!K16+SASW!K18+Stats!K12+'Women''s Studies'!K11+Kinesiology!K16+Dean_AS!K52+Dean_AS!K54</f>
        <v>8336</v>
      </c>
      <c r="L10" s="1162">
        <f>SUM(Dean_AS!L12,Dean_AS!L14,Dean_AS!L16,Dean_AS!L18,Dean_AS!L30,Dean_AS!L32,Art!L12,Biochem!L12,Biology!L12,Biology!L17,Biology!L19,Chemistry!L12,Chemistry!L17,Economics!L12,English!L12,Geography!L12,Geology!L12,Hist!L11,JMC!L12,Kinesiology!L12,Math!L12,'Modern Language'!L12,'Music -OLD'!L12,'Music -OLD'!L17,Philosophy!L12,Physics!L12,'Political Science'!L12,Psych!L12,SASW!L12,SASW!L16)+SASW!L18+'Women''s Studies'!L11+'Comm Stud Th Dan - OLD'!L12+'Comm Stud Th Dan - OLD'!L16+Stats!L12+Kinesiology!L16</f>
        <v>1240</v>
      </c>
      <c r="M10" s="1161">
        <f>Dean_AS!M12+Dean_AS!M14+Dean_AS!M16+Dean_AS!M18+Dean_AS!M22+Dean_AS!M30+Dean_AS!M32+Dean_AS!M34+Dean_AS!M36+Dean_AS!M38+Dean_AS!M40+Dean_AS!M42+Dean_AS!M44+Dean_AS!M46+Dean_AS!M48+Dean_AS!M50+Dean_AS!M56+Dean_AS!M58+Dean_AS!M62+Dean_AS!M66+Art!M12+Biochem!M12+Biology!M12+Biology!M17+Biology!M19+Chemistry!M12+Chemistry!M17+'Comm Stud Th Dan - OLD'!M12+'Comm Stud Th Dan - OLD'!M16+Economics!M12+English!M12+Geography!M12+Geology!M12+Hist!M11+JMC!M12+Kinesiology!M12+Math!M12+'Modern Language'!M12+'Music -OLD'!M12+'Music -OLD'!M17+Philosophy!M12+Physics!M12+'Political Science'!M12+Psych!M12+SASW!M12+SASW!M16+SASW!M18+Stats!M12+'Women''s Studies'!M11+Kinesiology!M16+Dean_AS!M52+Dean_AS!M54</f>
        <v>8582</v>
      </c>
      <c r="N10" s="1158">
        <f>SUM(Dean_AS!N12,Dean_AS!N14,Dean_AS!N16,Dean_AS!N18,Dean_AS!N30,Dean_AS!N32,Art!N12,Biochem!N12,Biology!N12,Biology!N17,Biology!N19,Chemistry!N12,Chemistry!N17,Economics!N12,English!N12,Geography!N12,Geology!N12,Hist!N11,JMC!N12,Kinesiology!N12,Math!N12,'Modern Language'!N12,'Music -OLD'!N12,'Music -OLD'!N17,Philosophy!N12,Physics!N12,'Political Science'!N12,Psych!N12,SASW!N12,SASW!N16)+SASW!N18+'Women''s Studies'!N11+'Comm Stud Th Dan - OLD'!N12+'Comm Stud Th Dan - OLD'!N16+Stats!N12+Kinesiology!N16</f>
        <v>1233</v>
      </c>
      <c r="O10" s="1162">
        <f>Dean_AS!O12+Dean_AS!O14+Dean_AS!O16+Dean_AS!O18+Dean_AS!O22+Dean_AS!O30+Dean_AS!O32+Dean_AS!O34+Dean_AS!O36+Dean_AS!O38+Dean_AS!O40+Dean_AS!O42+Dean_AS!O44+Dean_AS!O46+Dean_AS!O48+Dean_AS!O50+Dean_AS!O56+Dean_AS!O58+Dean_AS!O62+Dean_AS!O66+Art!O12+Biochem!O12+Biology!O12+Biology!O17+Biology!O19+Chemistry!O12+Chemistry!O17+'Comm Stud Th Dan - OLD'!O12+'Comm Stud Th Dan - OLD'!O16+Economics!O12+English!O12+Geography!O12+Geology!O12+Hist!O11+JMC!O12+Kinesiology!O12+Math!O12+'Modern Language'!O12+'Music -OLD'!O12+'Music -OLD'!O17+Philosophy!O12+Physics!O12+'Political Science'!O12+Psych!O12+SASW!O12+SASW!O16+SASW!O18+Stats!O12+'Women''s Studies'!O11+Kinesiology!O16+Dean_AS!O52+Dean_AS!O54</f>
        <v>8422</v>
      </c>
      <c r="P10" s="1158">
        <f>SUM(Dean_AS!P12,Dean_AS!P14,Dean_AS!P16,Dean_AS!P18,Dean_AS!P30,Dean_AS!P32,Art!P12,Biochem!P12,Biology!P12,Biology!P17,Biology!P19,Chemistry!P12,Chemistry!P17,Economics!P12,English!P12,Geography!P12,Geology!P12,Hist!P11,JMC!P12,Kinesiology!P12,Math!P12,'Modern Language'!P12,'Music -OLD'!P12,'Music -OLD'!P17,Philosophy!P12,Physics!P12,'Political Science'!P12,Psych!P12,SASW!P12,SASW!P16)+SASW!P18+'Women''s Studies'!P11+'Comm Stud Th Dan - OLD'!P12+'Comm Stud Th Dan - OLD'!P16+Stats!P12+Kinesiology!P16</f>
        <v>1109</v>
      </c>
      <c r="Q10" s="1162">
        <f>Dean_AS!Q12+Dean_AS!Q14+Dean_AS!Q16+Dean_AS!Q18+Dean_AS!Q22+Dean_AS!Q30+Dean_AS!Q32+Dean_AS!Q34+Dean_AS!Q36+Dean_AS!Q38+Dean_AS!Q40+Dean_AS!Q42+Dean_AS!Q44+Dean_AS!Q46+Dean_AS!Q48+Dean_AS!Q50+Dean_AS!Q56+Dean_AS!Q58+Dean_AS!Q62+Dean_AS!Q66+Art!Q12+Biochem!Q12+Biology!Q12+Biology!Q17+Biology!Q19+Chemistry!Q12+Chemistry!Q17+'Comm Stud Th Dan - OLD'!Q12+'Comm Stud Th Dan - OLD'!Q16+Economics!Q12+English!Q12+Geography!Q12+Geology!Q12+Hist!Q11+JMC!Q12+Kinesiology!Q12+Math!Q12+'Modern Language'!Q12+'Music -OLD'!Q12+'Music -OLD'!Q17+Philosophy!Q12+Physics!Q12+'Political Science'!Q12+Psych!Q12+SASW!Q12+SASW!Q16+SASW!Q18+Stats!Q12+'Women''s Studies'!Q11+Kinesiology!Q16+Dean_AS!Q52+Dean_AS!Q54+'Amer Ethnic Stud'!Q12</f>
        <v>8553</v>
      </c>
      <c r="R10" s="1158">
        <f>SUM(Dean_AS!R12,Dean_AS!R14,Dean_AS!R16,Dean_AS!R18,Dean_AS!R30,Dean_AS!R32,Art!R12,Biochem!R12,Biology!R12,Biology!R17,Biology!R19,Chemistry!R12,Chemistry!R17,Economics!R12,English!R12,Geography!R12,Geology!R12,Hist!R11,JMC!R12,Kinesiology!R12,Math!R12,'Modern Language'!R12,'Music -OLD'!R12,'Music -OLD'!R17,Philosophy!R12,Physics!R12,'Political Science'!R12,Psych!R12,SASW!R12,SASW!R16)+SASW!R18+'Women''s Studies'!R11+'Comm Stud Th Dan - OLD'!R12+'Comm Stud Th Dan - OLD'!R16+Stats!R12+Kinesiology!R16+'Amer Ethnic Stud'!R12</f>
        <v>1158</v>
      </c>
      <c r="S10" s="1162">
        <f>Dean_AS!S12+Dean_AS!S14+Dean_AS!S16+Dean_AS!S18+Dean_AS!S22+Dean_AS!S30+Dean_AS!S32+Dean_AS!S34+Dean_AS!S36+Dean_AS!S38+Dean_AS!S40+Dean_AS!S42+Dean_AS!S44+Dean_AS!S46+Dean_AS!S48+Dean_AS!S50+Dean_AS!S56+Dean_AS!S58+Dean_AS!S62+Dean_AS!S66+Art!S12+Biochem!S12+Biology!S12+Biology!S17+Biology!S19+Chemistry!S12+Chemistry!S17+'Comm Stud Th Dan - OLD'!S12+'Comm Stud Th Dan - OLD'!S16+Economics!S12+English!S12+Geography!S12+Geology!S12+Hist!S11+JMC!S12+Kinesiology!S12+Math!S12+'Modern Language'!S12+'Music -OLD'!S12+'Music -OLD'!S17+Philosophy!S12+Physics!S12+'Political Science'!S12+Psych!S12+SASW!S12+SASW!S16+SASW!S18+Stats!S12+Kinesiology!S16+Dean_AS!S52+Dean_AS!S54+'Amer Ethnic Stud'!S12+'Women''s Studies'!S11</f>
        <v>8520</v>
      </c>
      <c r="T10" s="1158">
        <f>SUM(Dean_AS!T12,Dean_AS!T14,Dean_AS!T16,Dean_AS!T18,Dean_AS!T30,Dean_AS!T32,Art!T12,Biochem!T12,Biology!T12,Biology!T17,Biology!T19,Chemistry!T12,Chemistry!T17,Economics!T12,English!T12,Geography!T12,Geology!T12,Hist!T11,JMC!T12,Kinesiology!T12,Math!T12,'Modern Language'!T12,'Music -OLD'!T12,'Music -OLD'!T17,Philosophy!T12,Physics!T12,'Political Science'!T12,Psych!T12,SASW!T12,SASW!T16)+SASW!T18+'Women''s Studies'!T11+'Comm Stud Th Dan - OLD'!T12+'Comm Stud Th Dan - OLD'!T16+Stats!T12+Kinesiology!T16+'Amer Ethnic Stud'!T12</f>
        <v>1266</v>
      </c>
      <c r="U10" s="1162">
        <f>Dean_AS!U12+Dean_AS!U14+Dean_AS!U16+Dean_AS!U18+Dean_AS!U22+Dean_AS!U30+Dean_AS!U32+Dean_AS!U34+Dean_AS!U36+Dean_AS!U38+Dean_AS!U40+Dean_AS!U42+Dean_AS!U44+Dean_AS!U46+Dean_AS!U48+Dean_AS!U50+Dean_AS!U56+Dean_AS!U58+Dean_AS!U62+Dean_AS!U66+Art!U12+Biochem!U12+Biology!U12+Biology!U17+Biology!U19+Chemistry!U12+Chemistry!U17+'Comm Stud Th Dan - OLD'!U12+'Comm Stud Th Dan - OLD'!U16+Economics!U12+English!U12+Geography!U12+Geology!U12+Hist!U11+JMC!U12+Kinesiology!U12+Math!U12+'Modern Language'!U12+'Music -OLD'!U12+'Music -OLD'!U17+Philosophy!U12+Physics!U12+'Political Science'!U12+Psych!U12+SASW!U12+SASW!U16+SASW!U18+Stats!U12+Kinesiology!U16+Dean_AS!U52+Dean_AS!U54+'Amer Ethnic Stud'!U12+'Women''s Studies'!U11</f>
        <v>8944</v>
      </c>
      <c r="V10" s="1158">
        <f>SUM(Dean_AS!V12,Dean_AS!V14,Dean_AS!V16,Dean_AS!V30,Dean_AS!V32,'Amer Ethnic Stud'!V12,Art!V12,Biochem!V12,Biology!V12,Biology!V17,Biology!V19,Chemistry!V12,'Comm Studies '!V12,Economics!V12,English!V12,Geography!V12,Geology!V12,Hist!V11,JMC!V12,Math!V12,'Modern Language'!V12,'Music Theatre Dance'!V12,'Music Theatre Dance'!V17,'Music Theatre Dance'!V19,Philosophy!V12,Physics!V12,'Political Science'!V12,Psych!V12,Stats!V12)+SUM('Women''s Studies'!V11,Kinesiology!V12,Kinesiology!V16,SASW!V12,SASW!V16,SASW!V18)</f>
        <v>1272</v>
      </c>
      <c r="W10" s="1162">
        <f>Dean_AS!W12+Dean_AS!W14+Dean_AS!W16+Dean_AS!W18+Dean_AS!W22+Dean_AS!W30+Dean_AS!W32+Dean_AS!W34+Dean_AS!W36+Dean_AS!W38+Dean_AS!W40+Dean_AS!W42+Dean_AS!W44+Dean_AS!W46+Dean_AS!W48+Dean_AS!W50+Dean_AS!W56+Dean_AS!W58+Dean_AS!W62+Dean_AS!W66+Art!W12+Biochem!W12+Biology!W12+Biology!W17+Biology!W19+Chemistry!W12+Chemistry!W17+'Music Theatre Dance'!W12+'Music Theatre Dance'!W17+'Music Theatre Dance'!W19+'Comm Studies '!W12+Economics!W12+English!W12+Geography!W12+Geology!W12+Hist!W11+JMC!W12+Math!W12+'Modern Language'!W12+Philosophy!W12+Physics!W12+'Political Science'!W12+Psych!W12+SASW!W12+SASW!W16+SASW!W18+Stats!W12+Dean_AS!W52+Dean_AS!W54+'Amer Ethnic Stud'!W12+'Women''s Studies'!W11</f>
        <v>9164</v>
      </c>
      <c r="X10" s="1158">
        <f>SUM(Dean_AS!X12,Dean_AS!X14,Dean_AS!X16,Dean_AS!X30,Dean_AS!X32,'Amer Ethnic Stud'!X12,Art!X12,Biochem!X12,Biology!X12,Biology!X17,Biology!X19,Chemistry!X12,'Comm Studies '!X12,Economics!X12,English!X12,Geography!X12,Geology!X12,Hist!X11,JMC!X12,Math!X12,'Modern Language'!X12,'Music Theatre Dance'!X12,'Music Theatre Dance'!X17,'Music Theatre Dance'!X19,Philosophy!X12,Physics!X12,'Political Science'!X12,Psych!X12,Stats!X12)+SUM('Women''s Studies'!X11,SASW!X12,SASW!X16,SASW!X18)</f>
        <v>1197</v>
      </c>
      <c r="Y10" s="1162">
        <f>Dean_AS!Y12+Dean_AS!Y14+Dean_AS!Y16+Dean_AS!Y18+Dean_AS!Y22+Dean_AS!Y30+Dean_AS!Y32+Dean_AS!Y34+Dean_AS!Y36+Dean_AS!Y38+Dean_AS!Y40+Dean_AS!Y42+Dean_AS!Y44+Dean_AS!Y46+Dean_AS!Y48+Dean_AS!Y50+Dean_AS!Y56+Dean_AS!Y58+Dean_AS!Y62+Dean_AS!Y66+Art!Y12+Biochem!Y12+Biology!Y12+Biology!Y17+Biology!Y19+Chemistry!Y12+Chemistry!Y17+'Music Theatre Dance'!Y12+'Music Theatre Dance'!Y17+'Music Theatre Dance'!Y19+'Comm Studies '!Y12+Economics!Y12+English!Y12+Geography!Y12+Geology!Y12+Hist!Y11+JMC!Y12+Math!Y12+'Modern Language'!Y12+Philosophy!Y12+Physics!Y12+'Political Science'!Y12+Psych!Y12+SASW!Y12+SASW!Y16+SASW!Y18+Stats!Y12+Dean_AS!Y52+Dean_AS!Y54+'Amer Ethnic Stud'!Y12+'Women''s Studies'!Y11</f>
        <v>8392</v>
      </c>
      <c r="Z10" s="1652"/>
      <c r="AB10" s="1630">
        <f>AVERAGE(U10,S10,Q10,Y10,W10)</f>
        <v>8714.6</v>
      </c>
      <c r="AC10" s="143">
        <f>AVERAGE(V10,T10,R10,P10,X10)</f>
        <v>1200.4000000000001</v>
      </c>
    </row>
    <row r="11" spans="1:31" s="787" customFormat="1" ht="12.75" customHeight="1" x14ac:dyDescent="0.2">
      <c r="A11" s="786"/>
      <c r="B11" s="669" t="s">
        <v>94</v>
      </c>
      <c r="C11" s="1161">
        <f>(Dean_AS!C26+Dean_AS!C28+'Amer Ethnic Stud'!C14)</f>
        <v>102</v>
      </c>
      <c r="D11" s="1163" t="s">
        <v>25</v>
      </c>
      <c r="E11" s="1161">
        <f>(Dean_AS!E26+Dean_AS!E28+'Amer Ethnic Stud'!E14)</f>
        <v>90</v>
      </c>
      <c r="F11" s="1163" t="s">
        <v>25</v>
      </c>
      <c r="G11" s="1161">
        <f>(Dean_AS!G26+Dean_AS!G28+'Amer Ethnic Stud'!G14)</f>
        <v>105</v>
      </c>
      <c r="H11" s="1163" t="s">
        <v>25</v>
      </c>
      <c r="I11" s="1161">
        <f>(Dean_AS!I26+Dean_AS!I28+'Amer Ethnic Stud'!I14)</f>
        <v>121</v>
      </c>
      <c r="J11" s="1163" t="s">
        <v>25</v>
      </c>
      <c r="K11" s="1161">
        <f>(Dean_AS!K26+Dean_AS!K28+'Amer Ethnic Stud'!K14)</f>
        <v>105</v>
      </c>
      <c r="L11" s="1164" t="s">
        <v>25</v>
      </c>
      <c r="M11" s="1161">
        <f>(Dean_AS!M26+Dean_AS!M28+'Amer Ethnic Stud'!M14)</f>
        <v>85</v>
      </c>
      <c r="N11" s="1163" t="s">
        <v>25</v>
      </c>
      <c r="O11" s="1162">
        <f>(Dean_AS!O26+Dean_AS!O28+'Amer Ethnic Stud'!O14)</f>
        <v>97</v>
      </c>
      <c r="P11" s="1163" t="s">
        <v>25</v>
      </c>
      <c r="Q11" s="1162">
        <f>(Dean_AS!Q26+Dean_AS!Q28+'Amer Ethnic Stud'!Q14)</f>
        <v>73</v>
      </c>
      <c r="R11" s="1163" t="s">
        <v>25</v>
      </c>
      <c r="S11" s="1162">
        <f>(Dean_AS!S26+Dean_AS!S28)</f>
        <v>67</v>
      </c>
      <c r="T11" s="1163" t="s">
        <v>25</v>
      </c>
      <c r="U11" s="1162">
        <f>(Dean_AS!U26+Dean_AS!U28)</f>
        <v>49</v>
      </c>
      <c r="V11" s="1163" t="s">
        <v>25</v>
      </c>
      <c r="W11" s="1162">
        <f>(Dean_AS!W26+Dean_AS!W28)</f>
        <v>45</v>
      </c>
      <c r="X11" s="1163" t="s">
        <v>25</v>
      </c>
      <c r="Y11" s="1162">
        <f>(Dean_AS!Y26+Dean_AS!Y28)</f>
        <v>51</v>
      </c>
      <c r="Z11" s="1653"/>
      <c r="AB11" s="1630">
        <f t="shared" ref="AB11" si="1">AVERAGE(U11,S11,Q11,Y11,W11)</f>
        <v>57</v>
      </c>
      <c r="AC11" s="1631" t="s">
        <v>25</v>
      </c>
    </row>
    <row r="12" spans="1:31" s="787" customFormat="1" ht="12" customHeight="1" x14ac:dyDescent="0.2">
      <c r="A12" s="786"/>
      <c r="B12" s="669" t="s">
        <v>169</v>
      </c>
      <c r="C12" s="1161">
        <f>Dean_AS!C60+Biology!C13+Chemistry!C13+'Comm Stud Th Dan - OLD'!C13+'Comm Stud Th Dan - OLD'!C18+'Comm Stud Th Dan - OLD'!C19+Economics!C13+English!C13+Geography!C13+Geology!C13+Hist!C12+JMC!C14+'Modern Language'!C13+'Modern Language'!C14+'Modern Language'!C15+'Modern Language'!C16+'Modern Language'!C18+'Modern Language'!C20+'Music -OLD'!C13+Philosophy!C13+Physics!C13+'Political Science'!C13+SASW!C19+Stats!C13+'Women''s Studies'!C12+'Amer Ethnic Stud'!C13+'Modern Language'!C17</f>
        <v>482</v>
      </c>
      <c r="D12" s="1158">
        <f>+'Amer Ethnic Stud'!D13+Biology!D13+Chemistry!D13+Economics!D13+English!D13+Geography!D13+Geology!D13+Hist!D12+'Modern Language'!D14+'Modern Language'!D15+'Modern Language'!D16+'Modern Language'!D18+'Modern Language'!D20+'Music -OLD'!D13+Philosophy!D13+Physics!D13+'Political Science'!D13+SASW!D19+'Comm Stud Th Dan - OLD'!D13+'Comm Stud Th Dan - OLD'!D18+'Comm Stud Th Dan - OLD'!D19+Stats!D13+'Modern Language'!D13+'Women''s Studies'!D12+'Modern Language'!D17+Dean_AS!D60+JMC!D14</f>
        <v>150</v>
      </c>
      <c r="E12" s="1161">
        <f>Dean_AS!E60+Biology!E13+Chemistry!E13+'Comm Stud Th Dan - OLD'!E13+'Comm Stud Th Dan - OLD'!E18+'Comm Stud Th Dan - OLD'!E19+Economics!E13+English!E13+Geography!E13+Geology!E13+Hist!E12+JMC!E14+'Modern Language'!E13+'Modern Language'!E14+'Modern Language'!E15+'Modern Language'!E16+'Modern Language'!E18+'Modern Language'!E20+'Music -OLD'!E13+Philosophy!E13+Physics!E13+'Political Science'!E13+SASW!E19+Stats!E13+'Women''s Studies'!E12+'Amer Ethnic Stud'!E13+'Modern Language'!E17</f>
        <v>554</v>
      </c>
      <c r="F12" s="1158">
        <f>+'Amer Ethnic Stud'!F13+Biology!F13+Chemistry!F13+Economics!F13+English!F13+Geography!F13+Geology!F13+Hist!F12+'Modern Language'!F14+'Modern Language'!F15+'Modern Language'!F16+'Modern Language'!F18+'Modern Language'!F20+'Music -OLD'!F13+Philosophy!F13+Physics!F13+'Political Science'!F13+SASW!F19+'Comm Stud Th Dan - OLD'!F13+'Comm Stud Th Dan - OLD'!F18+'Comm Stud Th Dan - OLD'!F19+Stats!F13+'Modern Language'!F13+'Women''s Studies'!F12+'Modern Language'!F17+Dean_AS!F60+JMC!F14</f>
        <v>206</v>
      </c>
      <c r="G12" s="1161">
        <f>Dean_AS!G60+Biology!G13+Chemistry!G13+'Comm Stud Th Dan - OLD'!G13+'Comm Stud Th Dan - OLD'!G18+'Comm Stud Th Dan - OLD'!G19+Economics!G13+English!G13+Geography!G13+Geology!G13+Hist!G12+JMC!G14+'Modern Language'!G13+'Modern Language'!G14+'Modern Language'!G15+'Modern Language'!G16+'Modern Language'!G18+'Modern Language'!G20+'Music -OLD'!G13+Philosophy!G13+Physics!G13+'Political Science'!G13+SASW!G19+Stats!G13+'Women''s Studies'!G12+'Amer Ethnic Stud'!G13+'Modern Language'!G17</f>
        <v>653</v>
      </c>
      <c r="H12" s="1158">
        <f>+'Amer Ethnic Stud'!H13+Biology!H13+Chemistry!H13+Economics!H13+English!H13+Geography!H13+Geology!H13+Hist!H12+'Modern Language'!H14+'Modern Language'!H15+'Modern Language'!H16+'Modern Language'!H18+'Modern Language'!H20+'Music -OLD'!H13+Philosophy!H13+Physics!H13+'Political Science'!H13+SASW!H19+'Comm Stud Th Dan - OLD'!H13+'Comm Stud Th Dan - OLD'!H18+'Comm Stud Th Dan - OLD'!H19+Stats!H13+'Modern Language'!H13+'Women''s Studies'!H12+'Modern Language'!H17+Dean_AS!H60+JMC!H14</f>
        <v>209</v>
      </c>
      <c r="I12" s="1161">
        <f>Dean_AS!I60+Biology!I13+Chemistry!I13+'Comm Stud Th Dan - OLD'!I13+'Comm Stud Th Dan - OLD'!I18+'Comm Stud Th Dan - OLD'!I19+Economics!I13+English!I13+Geography!I13+Geology!I13+Hist!I12+JMC!I14+'Modern Language'!I13+'Modern Language'!I14+'Modern Language'!I15+'Modern Language'!I16+'Modern Language'!I18+'Modern Language'!I20+'Music -OLD'!I13+Philosophy!I13+Physics!I13+'Political Science'!I13+SASW!I19+Stats!I13+'Women''s Studies'!I12+'Amer Ethnic Stud'!I13+'Modern Language'!I17</f>
        <v>690</v>
      </c>
      <c r="J12" s="1158">
        <f>+'Amer Ethnic Stud'!J13+Biology!J13+Chemistry!J13+Economics!J13+English!J13+Geography!J13+Geology!J13+Hist!J12+'Modern Language'!J14+'Modern Language'!J15+'Modern Language'!J16+'Modern Language'!J18+'Modern Language'!J20+'Music -OLD'!J13+Philosophy!J13+Physics!J13+'Political Science'!J13+SASW!J19+'Comm Stud Th Dan - OLD'!J13+'Comm Stud Th Dan - OLD'!J18+'Comm Stud Th Dan - OLD'!J19+Stats!J13+'Modern Language'!J13+'Women''s Studies'!J12+'Modern Language'!J17+Dean_AS!J60+JMC!J14</f>
        <v>249</v>
      </c>
      <c r="K12" s="1161">
        <f>Dean_AS!K60+Biology!K13+Chemistry!K13+'Comm Stud Th Dan - OLD'!K13+'Comm Stud Th Dan - OLD'!K18+'Comm Stud Th Dan - OLD'!K19+Economics!K13+English!K13+Geography!K13+Geology!K13+Hist!K12+JMC!K14+'Modern Language'!K13+'Modern Language'!K14+'Modern Language'!K15+'Modern Language'!K16+'Modern Language'!K18+'Modern Language'!K20+'Music -OLD'!K13+Philosophy!K13+Physics!K13+'Political Science'!K13+SASW!K19+Stats!K13+'Women''s Studies'!K12+'Amer Ethnic Stud'!K13+'Modern Language'!K17</f>
        <v>705</v>
      </c>
      <c r="L12" s="1159">
        <f>+'Amer Ethnic Stud'!L13+Biology!L13+Chemistry!L13+Economics!L13+English!L13+Geography!L13+Geology!L13+Hist!L12+'Modern Language'!L14+'Modern Language'!L15+'Modern Language'!L16+'Modern Language'!L18+'Modern Language'!L20+'Music -OLD'!L13+Philosophy!L13+Physics!L13+'Political Science'!L13+SASW!L19+'Comm Stud Th Dan - OLD'!L13+'Comm Stud Th Dan - OLD'!L18+'Comm Stud Th Dan - OLD'!L19+Stats!L13+'Modern Language'!L13+'Women''s Studies'!L12+'Modern Language'!L17+Dean_AS!L60+JMC!L14</f>
        <v>277</v>
      </c>
      <c r="M12" s="1165">
        <f>Dean_AS!M60+Biology!M13+Chemistry!M13+'Comm Stud Th Dan - OLD'!M13+'Comm Stud Th Dan - OLD'!M18+'Comm Stud Th Dan - OLD'!M19+Economics!M13+English!M13+Geography!M13+Geology!M13+Hist!M12+JMC!M14+'Modern Language'!M13+'Modern Language'!M14+'Modern Language'!M15+'Modern Language'!M16+'Modern Language'!M18+'Modern Language'!M20+'Music -OLD'!M13+Philosophy!M13+Physics!M13+'Political Science'!M13+SASW!M19+Stats!M13+'Women''s Studies'!M12+'Amer Ethnic Stud'!M13+'Modern Language'!M17</f>
        <v>615</v>
      </c>
      <c r="N12" s="1158">
        <f>+'Amer Ethnic Stud'!N13+Biology!N13+Chemistry!N13+Economics!N13+English!N13+Geography!N13+Geology!N13+Hist!N12+'Modern Language'!N14+'Modern Language'!N15+'Modern Language'!N16+'Modern Language'!N18+'Modern Language'!N20+'Music -OLD'!N13+Philosophy!N13+Physics!N13+'Political Science'!N13+SASW!N19+'Comm Stud Th Dan - OLD'!N13+'Comm Stud Th Dan - OLD'!N18+'Comm Stud Th Dan - OLD'!N19+Stats!N13+'Modern Language'!N13+'Women''s Studies'!N12+'Modern Language'!N17+Dean_AS!N60+JMC!N14</f>
        <v>312</v>
      </c>
      <c r="O12" s="1162">
        <f>Dean_AS!O60+Biology!O13+Chemistry!O13+'Comm Stud Th Dan - OLD'!O13+'Comm Stud Th Dan - OLD'!O18+'Comm Stud Th Dan - OLD'!O19+Economics!O13+English!O13+Geography!O13+Geology!O13+Hist!O12+JMC!O14+'Modern Language'!O13+'Modern Language'!O14+'Modern Language'!O15+'Modern Language'!O16+'Modern Language'!O18+'Modern Language'!O20+'Music -OLD'!O13+Philosophy!O13+Physics!O13+'Political Science'!O13+SASW!O19+Stats!O13+'Women''s Studies'!O12+'Amer Ethnic Stud'!O13+'Modern Language'!O17</f>
        <v>620</v>
      </c>
      <c r="P12" s="1158">
        <f>+'Amer Ethnic Stud'!P13+Biology!P13+Chemistry!P13+Economics!P13+English!P13+Geography!P13+Geology!P13+Hist!P12+'Modern Language'!P14+'Modern Language'!P15+'Modern Language'!P16+'Modern Language'!P18+'Modern Language'!P20+'Music -OLD'!P13+Philosophy!P13+Physics!P13+'Political Science'!P13+SASW!P19+'Comm Stud Th Dan - OLD'!P13+'Comm Stud Th Dan - OLD'!P18+'Comm Stud Th Dan - OLD'!P19+Stats!P13+'Modern Language'!P13+'Women''s Studies'!P12+'Modern Language'!P17+Dean_AS!P60+JMC!P14+Kinesiology!P13</f>
        <v>258</v>
      </c>
      <c r="Q12" s="1162">
        <f>Dean_AS!Q60+Biology!Q13+Chemistry!Q13+'Comm Stud Th Dan - OLD'!Q13+'Comm Stud Th Dan - OLD'!Q18+'Comm Stud Th Dan - OLD'!Q19+Economics!Q13+English!Q13+Geography!Q13+Geology!Q13+Hist!Q12+JMC!Q14+'Modern Language'!Q13+'Modern Language'!Q14+'Modern Language'!Q15+'Modern Language'!Q16+'Modern Language'!Q18+'Modern Language'!Q20+'Music -OLD'!Q13+Philosophy!Q13+Physics!Q13+'Political Science'!Q13+SASW!Q19+Stats!Q13+'Women''s Studies'!Q12+'Amer Ethnic Stud'!Q13+'Modern Language'!Q17+Kinesiology!Q13</f>
        <v>723</v>
      </c>
      <c r="R12" s="1158">
        <f>+'Amer Ethnic Stud'!R13+Biology!R13+Chemistry!R13+Economics!R13+English!R13+Geography!R13+Geology!R13+Hist!R12+'Modern Language'!R14+'Modern Language'!R15+'Modern Language'!R16+'Modern Language'!R18+'Modern Language'!R20+'Music -OLD'!R13+Philosophy!R13+Physics!R13+'Political Science'!R13+SASW!R19+'Comm Stud Th Dan - OLD'!R13+'Comm Stud Th Dan - OLD'!R18+'Comm Stud Th Dan - OLD'!R19+Stats!R13+'Modern Language'!R13+'Women''s Studies'!R12+'Modern Language'!R17+Dean_AS!R60+JMC!R14</f>
        <v>219</v>
      </c>
      <c r="S12" s="1162">
        <f>Dean_AS!S60+Biology!S13+Chemistry!S13+'Comm Stud Th Dan - OLD'!S13+'Comm Stud Th Dan - OLD'!S18+'Comm Stud Th Dan - OLD'!S19+Economics!S13+English!S13+Geography!S13+Geology!S13+Hist!S12+JMC!S14+'Modern Language'!S13+'Modern Language'!S14+'Modern Language'!S15+'Modern Language'!S16+'Modern Language'!S18+'Modern Language'!S20+'Music -OLD'!S13+Philosophy!S13+Physics!S13+'Political Science'!S13+SASW!S19+Stats!S13+'Modern Language'!S17+Kinesiology!S13+'Music -OLD'!S14+'Amer Ethnic Stud'!S13+'Women''s Studies'!S12</f>
        <v>859</v>
      </c>
      <c r="T12" s="1158">
        <f>+'Amer Ethnic Stud'!T13+Biology!T13+Chemistry!T13+Economics!T13+English!T13+Geography!T13+Geology!T13+Hist!T12+'Modern Language'!T14+'Modern Language'!T15+'Modern Language'!T16+'Modern Language'!T18+'Modern Language'!T20+'Music -OLD'!T13+Philosophy!T13+Physics!T13+'Political Science'!T13+SASW!T19+'Comm Stud Th Dan - OLD'!T13+'Comm Stud Th Dan - OLD'!T18+'Comm Stud Th Dan - OLD'!T19+Stats!T13+'Modern Language'!T13+'Women''s Studies'!T12+'Modern Language'!T17+Dean_AS!T60+JMC!T14</f>
        <v>370</v>
      </c>
      <c r="U12" s="1162">
        <f>Dean_AS!U60+Biology!U13+Chemistry!U13+'Comm Stud Th Dan - OLD'!U13+'Comm Stud Th Dan - OLD'!U18+'Comm Stud Th Dan - OLD'!U19+Economics!U13+English!U13+Geography!U13+Geology!U13+Hist!U12+JMC!U14+'Modern Language'!U13+'Modern Language'!U14+'Modern Language'!U15+'Modern Language'!U16+'Modern Language'!U18+'Modern Language'!U20+'Music -OLD'!U13+Philosophy!U13+Physics!U13+'Political Science'!U13+SASW!U19+Stats!U13+'Modern Language'!U17+Kinesiology!U13+'Music -OLD'!U14+'Amer Ethnic Stud'!U13+'Women''s Studies'!U12</f>
        <v>723</v>
      </c>
      <c r="V12" s="1158">
        <f>SUM(Dean_AS!V60,Dean_AS!V71,'Amer Ethnic Stud'!V13,Biology!V13,Chemistry!V13,'Comm Studies '!V13,Economics!V13,English!V13,Geography!V13,Geology!V13,Hist!V12,JMC!V14,'Modern Language'!V13,'Modern Language'!V14,'Modern Language'!V15,'Modern Language'!V16,'Modern Language'!V18,'Modern Language'!V20,'Music Theatre Dance'!V13,'Music Theatre Dance'!V14,'Music Theatre Dance'!V21,'Music Theatre Dance'!V22,Philosophy!V13,Physics!V13,'Political Science'!V13,SASW!V19,Stats!V13,'Women''s Studies'!V12,Kinesiology!V13)</f>
        <v>363</v>
      </c>
      <c r="W12" s="1162">
        <f>Dean_AS!W60+Biology!W13+Chemistry!W13+'Music Theatre Dance'!W13+'Music Theatre Dance'!W14+'Music Theatre Dance'!W21+'Music Theatre Dance'!W22+'Comm Studies '!W13+Economics!W13+English!W13+Geography!W13+Geology!W13+Hist!W12+JMC!W14+'Modern Language'!W13+'Modern Language'!W14+'Modern Language'!W15+'Modern Language'!W16+'Modern Language'!W18+'Modern Language'!W20+Philosophy!W13+Physics!W13+'Political Science'!W13+SASW!W19+Stats!W13+'Modern Language'!W17+'Amer Ethnic Stud'!W13+'Women''s Studies'!W12+'Modern Language'!W19+'Women''s Studies'!W16</f>
        <v>931</v>
      </c>
      <c r="X12" s="1158">
        <f>SUM(Dean_AS!X60,'Modern Language'!X17,'Amer Ethnic Stud'!X13,Biology!X13,Chemistry!X13,'Comm Studies '!X13,Economics!X13,English!X13,Geography!X13,Geology!X13,Hist!X12,JMC!X14,'Modern Language'!X13,'Modern Language'!X14,'Modern Language'!X15,'Modern Language'!X16,'Modern Language'!X18,'Modern Language'!X20,'Music Theatre Dance'!X13,'Music Theatre Dance'!X14,'Music Theatre Dance'!X21,'Music Theatre Dance'!X22,Philosophy!X13,Physics!X13,'Political Science'!X13,SASW!X19,Stats!X13,'Women''s Studies'!X12)</f>
        <v>377</v>
      </c>
      <c r="Y12" s="1162">
        <f>Dean_AS!Y60+Biology!Y13+Chemistry!Y13+'Music Theatre Dance'!Y13+'Music Theatre Dance'!Y14+'Music Theatre Dance'!Y21+'Music Theatre Dance'!Y22+'Comm Studies '!Y13+Economics!Y13+English!Y13+Geography!Y13+Geology!Y13+Hist!Y12+JMC!Y14+'Modern Language'!Y13+'Modern Language'!Y14+'Modern Language'!Y15+'Modern Language'!Y16+'Modern Language'!Y18+'Modern Language'!Y20+Philosophy!Y13+Physics!Y13+'Political Science'!Y13+SASW!Y19+Stats!Y13+'Modern Language'!Y17+'Amer Ethnic Stud'!Y13+'Women''s Studies'!Y12+'Modern Language'!Y19+'Women''s Studies'!Y16</f>
        <v>900</v>
      </c>
      <c r="Z12" s="1652"/>
      <c r="AB12" s="1630">
        <f t="shared" ref="AB12:AB16" si="2">AVERAGE(U12,S12,Q12,Y12,W12)</f>
        <v>827.2</v>
      </c>
      <c r="AC12" s="143">
        <f t="shared" ref="AC12:AC16" si="3">AVERAGE(V12,T12,R12,P12,X12)</f>
        <v>317.39999999999998</v>
      </c>
    </row>
    <row r="13" spans="1:31" s="787" customFormat="1" ht="12" customHeight="1" x14ac:dyDescent="0.2">
      <c r="B13" s="654" t="s">
        <v>140</v>
      </c>
      <c r="C13" s="1161">
        <f>Dean_AS!C24+Dean_AS!C64+Dean_AS!C71+Geography!C17</f>
        <v>28</v>
      </c>
      <c r="D13" s="1158">
        <f>Dean_AS!D24+Dean_AS!D64+Geography!D17</f>
        <v>1</v>
      </c>
      <c r="E13" s="1161">
        <f>Dean_AS!E24+Dean_AS!E64+Dean_AS!E71+Geography!E17</f>
        <v>25</v>
      </c>
      <c r="F13" s="1158">
        <f>Dean_AS!F24+Dean_AS!F64+Geography!F17</f>
        <v>2</v>
      </c>
      <c r="G13" s="1161">
        <f>Dean_AS!G24+Dean_AS!G64+Dean_AS!G71+Geography!G17</f>
        <v>22</v>
      </c>
      <c r="H13" s="1158">
        <f>Dean_AS!H24+Dean_AS!H64+Geography!H17</f>
        <v>4</v>
      </c>
      <c r="I13" s="1161">
        <f>Dean_AS!I24+Dean_AS!I64+Dean_AS!I71+Geography!I17</f>
        <v>17</v>
      </c>
      <c r="J13" s="1158">
        <f>Dean_AS!J24+Dean_AS!J64+Geography!J17</f>
        <v>8</v>
      </c>
      <c r="K13" s="1161">
        <f>Dean_AS!K24+Dean_AS!K64+Dean_AS!K71+Geography!K17</f>
        <v>16</v>
      </c>
      <c r="L13" s="1159">
        <f>Dean_AS!L24+Dean_AS!L64+Geography!L17</f>
        <v>6</v>
      </c>
      <c r="M13" s="1165">
        <f>Dean_AS!M24+Dean_AS!M64+Dean_AS!M71+Geography!M17</f>
        <v>15</v>
      </c>
      <c r="N13" s="1158">
        <f>Dean_AS!N24+Dean_AS!N64+Geography!N17</f>
        <v>3</v>
      </c>
      <c r="O13" s="1162">
        <f>Dean_AS!O24+Dean_AS!O64+Dean_AS!O71+Geography!O17</f>
        <v>8</v>
      </c>
      <c r="P13" s="1158">
        <f>Dean_AS!P24+Dean_AS!P64+Geography!P17</f>
        <v>9</v>
      </c>
      <c r="Q13" s="1162">
        <f>Dean_AS!Q24+Dean_AS!Q64+Dean_AS!Q71+Geography!Q17</f>
        <v>8</v>
      </c>
      <c r="R13" s="1158">
        <f>Dean_AS!R24+Dean_AS!R64+Geography!R17</f>
        <v>7</v>
      </c>
      <c r="S13" s="1162">
        <f>Dean_AS!S24+Dean_AS!S64+Dean_AS!S71+Geography!S17</f>
        <v>12</v>
      </c>
      <c r="T13" s="1158">
        <f>Dean_AS!T24+Dean_AS!T64+Geography!T17</f>
        <v>23</v>
      </c>
      <c r="U13" s="1162">
        <f>Dean_AS!U24+Dean_AS!U64+Dean_AS!U71+Geography!U17</f>
        <v>0</v>
      </c>
      <c r="V13" s="1158">
        <f>SUM(Dean_AS!V24,Dean_AS!V64,Dean_AS!V71,Geography!V17)</f>
        <v>22</v>
      </c>
      <c r="W13" s="1162">
        <f>Dean_AS!W24+Dean_AS!W64+Dean_AS!W71+Geography!W17</f>
        <v>8</v>
      </c>
      <c r="X13" s="1158">
        <f>SUM(Dean_AS!X24,Dean_AS!X64,Dean_AS!X71,Geography!X17)</f>
        <v>15</v>
      </c>
      <c r="Y13" s="1162">
        <f>Dean_AS!Y24+Dean_AS!Y64+Dean_AS!Y71+Geography!Y17</f>
        <v>6</v>
      </c>
      <c r="Z13" s="1652"/>
      <c r="AB13" s="1630">
        <f t="shared" si="2"/>
        <v>6.8</v>
      </c>
      <c r="AC13" s="143">
        <f t="shared" si="3"/>
        <v>15.2</v>
      </c>
    </row>
    <row r="14" spans="1:31" s="787" customFormat="1" ht="12" customHeight="1" x14ac:dyDescent="0.2">
      <c r="A14" s="786"/>
      <c r="B14" s="669" t="s">
        <v>220</v>
      </c>
      <c r="C14" s="1161">
        <f>Art!C13+Biochem!C13+Biology!C14+Biology!C20+Chemistry!C14+'Comm Stud Th Dan - OLD'!C14+Economics!C14+English!C14+Geography!C14+Geology!C14+Hist!C13+JMC!C13+Kinesiology!C14+Math!C13+'Modern Language'!C21+'Music -OLD'!C15+Physics!C14+'Political Science'!C14+'Political Science'!C17+Psych!C13+SASW!C13+Stats!C14+Hist!C17</f>
        <v>447</v>
      </c>
      <c r="D14" s="1162">
        <f>Art!D13+Biochem!D13+Biology!D14+Biology!D20+Chemistry!D14+'Comm Stud Th Dan - OLD'!D14+Economics!D14+English!D14+Geography!D14+Geology!D14+Hist!D13+Hist!D16+JMC!D13+Kinesiology!D14+Math!D13+'Modern Language'!D21+'Music -OLD'!D15+Physics!D14+'Political Science'!D14+'Political Science'!D17+Psych!D13+SASW!D13+Stats!D14</f>
        <v>166</v>
      </c>
      <c r="E14" s="1161">
        <f>Art!E13+Biochem!E13+Biology!E14+Biology!E20+Chemistry!E14+'Comm Stud Th Dan - OLD'!E14+Economics!E14+English!E14+Geography!E14+Geology!E14+Hist!E13+JMC!E13+Kinesiology!E14+Math!E13+'Modern Language'!E21+'Music -OLD'!E15+Physics!E14+'Political Science'!E14+'Political Science'!E17+Psych!E13+SASW!E13+Stats!E14+Hist!E17</f>
        <v>511</v>
      </c>
      <c r="F14" s="1162">
        <f>Art!F13+Biochem!F13+Biology!F14+Biology!F20+Chemistry!F14+'Comm Stud Th Dan - OLD'!F14+Economics!F14+English!F14+Geography!F14+Geology!F14+Hist!F13+Hist!F16+JMC!F13+Kinesiology!F14+Math!F13+'Modern Language'!F21+'Music -OLD'!F15+Physics!F14+'Political Science'!F14+'Political Science'!F17+Psych!F13+SASW!F13+Stats!F14</f>
        <v>163</v>
      </c>
      <c r="G14" s="1161">
        <f>Art!G13+Biochem!G13+Biology!G14+Biology!G20+Chemistry!G14+'Comm Stud Th Dan - OLD'!G14+Economics!G14+English!G14+Geography!G14+Geology!G14+Hist!G13+JMC!G13+Kinesiology!G14+Math!G13+'Modern Language'!G21+'Music -OLD'!G15+Physics!G14+'Political Science'!G14+'Political Science'!G17+Psych!G13+SASW!G13+Stats!G14+Hist!G17</f>
        <v>496</v>
      </c>
      <c r="H14" s="1162">
        <f>Art!H13+Biochem!H13+Biology!H14+Biology!H20+Chemistry!H14+'Comm Stud Th Dan - OLD'!H14+Economics!H14+English!H14+Geography!H14+Geology!H14+Hist!H13+Hist!H16+JMC!H13+Kinesiology!H14+Math!H13+'Modern Language'!H21+'Music -OLD'!H15+Physics!H14+'Political Science'!H14+'Political Science'!H17+Psych!H13+SASW!H13+Stats!H14</f>
        <v>195</v>
      </c>
      <c r="I14" s="1161">
        <f>Art!I13+Biochem!I13+Biology!I14+Biology!I20+Chemistry!I14+'Comm Stud Th Dan - OLD'!I14+Economics!I14+English!I14+Geography!I14+Geology!I14+Hist!I13+JMC!I13+Kinesiology!I14+Math!I13+'Modern Language'!I21+'Music -OLD'!I15+Physics!I14+'Political Science'!I14+'Political Science'!I17+Psych!I13+SASW!I13+Stats!I14+Hist!I17</f>
        <v>461</v>
      </c>
      <c r="J14" s="1162">
        <f>Art!J13+Biochem!J13+Biology!J14+Biology!J20+Chemistry!J14+'Comm Stud Th Dan - OLD'!J14+Economics!J14+English!J14+Geography!J14+Geology!J14+Hist!J13+Hist!J16+JMC!J13+Kinesiology!J14+Math!J13+'Modern Language'!J21+'Music -OLD'!J15+Physics!J14+'Political Science'!J14+'Political Science'!J17+Psych!J13+SASW!J13+Stats!J14</f>
        <v>178</v>
      </c>
      <c r="K14" s="1161">
        <f>Art!K13+Biochem!K13+Biology!K14+Biology!K20+Chemistry!K14+'Comm Stud Th Dan - OLD'!K14+Economics!K14+English!K14+Geography!K14+Geology!K14+Hist!K13+Hist!K16+JMC!K13+Kinesiology!K14+Math!K13+'Modern Language'!K21+'Music -OLD'!K15+Physics!K14+'Political Science'!K14+'Political Science'!K17+Psych!K13+SASW!K13+Stats!K14</f>
        <v>482</v>
      </c>
      <c r="L14" s="1162">
        <f>Art!L13+Biochem!L13+Biology!L14+Biology!L20+Chemistry!L14+'Comm Stud Th Dan - OLD'!L14+'Comm Stud Th Dan - OLD'!L17+Economics!L14+English!L14+Geography!L14+Geology!L14+Hist!L13+Hist!L16+JMC!L13+Kinesiology!L14+Math!L13+'Modern Language'!L21+'Music -OLD'!L15+Physics!L14+'Political Science'!L14+'Political Science'!L17+Psych!L13+SASW!L13+Stats!L14</f>
        <v>187</v>
      </c>
      <c r="M14" s="1165">
        <f>Art!M13+Biochem!M13+Biology!M14+Biology!M20+Chemistry!M14+'Comm Stud Th Dan - OLD'!M14+Economics!M14+English!M14+Geography!M14+Geology!M14+Hist!M13+Hist!M16+JMC!M13+Kinesiology!M14+Math!M13+'Modern Language'!M21+'Music -OLD'!M15+Physics!M14+'Political Science'!M14+'Political Science'!M17+Psych!M13+SASW!M13+Stats!M14+Dean_AS!M67</f>
        <v>526</v>
      </c>
      <c r="N14" s="1158">
        <f>Art!N13+Biochem!N13+Biology!N14+Biology!N20+Chemistry!N14+'Comm Stud Th Dan - OLD'!N14+'Comm Stud Th Dan - OLD'!N17+Economics!N14+English!N14+Geography!N14+Geology!N14+Hist!N13+Hist!N16+JMC!N13+Kinesiology!N14+Math!N13+'Modern Language'!N21+'Music -OLD'!N15+Physics!N14+'Political Science'!N14+'Political Science'!N17+Psych!N13+SASW!N13+Stats!N14</f>
        <v>182</v>
      </c>
      <c r="O14" s="1162">
        <f>Art!O13+Biochem!O13+Biology!O14+Biology!O20+Chemistry!O14+'Comm Stud Th Dan - OLD'!O14+Economics!O14+English!O14+Geography!O14+Geology!O14+Hist!O13+Hist!O16+JMC!O13+Kinesiology!O14+Math!O13+'Modern Language'!O21+'Music -OLD'!O15+Physics!O14+'Political Science'!O14+'Political Science'!O17+Psych!O13+SASW!O13+Stats!O14+Dean_AS!O67+'Comm Stud Th Dan - OLD'!O17</f>
        <v>573</v>
      </c>
      <c r="P14" s="1158">
        <f>Art!P13+Biochem!P13+Biology!P14+Biology!P20+Chemistry!P14+'Comm Stud Th Dan - OLD'!P14+'Comm Stud Th Dan - OLD'!P17+Economics!P14+English!P14+Geography!P14+Geology!P14+Hist!P13+Hist!P16+JMC!P13+Kinesiology!P14+Math!P13+'Modern Language'!P21+'Music -OLD'!P15+Physics!P14+'Political Science'!P14+'Political Science'!P17+Psych!P13+SASW!P13+Stats!P14</f>
        <v>230</v>
      </c>
      <c r="Q14" s="1162">
        <f>Art!Q13+Biochem!Q13+Biology!Q14+Biology!Q20+Chemistry!Q14+'Comm Stud Th Dan - OLD'!Q14+Economics!Q14+English!Q14+Geography!Q14+Geology!Q14+Hist!Q13+Hist!Q16+JMC!Q13+Kinesiology!Q14+Math!Q13+'Modern Language'!Q21+'Music -OLD'!Q15+Physics!Q14+'Political Science'!Q14+'Political Science'!Q17+Psych!Q13+SASW!Q13+Stats!Q14+Dean_AS!Q67+'Comm Stud Th Dan - OLD'!Q17</f>
        <v>552</v>
      </c>
      <c r="R14" s="1158">
        <f>Art!R13+Biochem!R13+Biology!R14+Biology!R20+Chemistry!R14+'Comm Stud Th Dan - OLD'!R14+'Comm Stud Th Dan - OLD'!R17+Economics!R14+English!R14+Geography!R14+Geology!R14+Hist!R13+Hist!R16+JMC!R13+Kinesiology!R14+Math!R13+'Modern Language'!R21+'Music -OLD'!R15+Physics!R14+'Political Science'!R14+'Political Science'!R17+Psych!R13+SASW!R13+Stats!R14</f>
        <v>191</v>
      </c>
      <c r="S14" s="1162">
        <f>Art!S13+Biochem!S13+Biology!S14+Biology!S20+Chemistry!S14+'Comm Stud Th Dan - OLD'!S14+Economics!S14+English!S14+Geography!S14+Geology!S14+Hist!S13+Hist!S16+JMC!S13+Kinesiology!S14+Math!S13+'Modern Language'!S21+'Music -OLD'!S15+Physics!S14+'Political Science'!S14+'Political Science'!S17+Psych!S13+SASW!S13+Stats!S14+Dean_AS!S67+'Comm Stud Th Dan - OLD'!S17</f>
        <v>536</v>
      </c>
      <c r="T14" s="1158">
        <f>Art!T13+Biochem!T13+Biology!T14+Biology!T20+Chemistry!T14+'Comm Stud Th Dan - OLD'!T14+'Comm Stud Th Dan - OLD'!T17+Economics!T14+English!T14+Geography!T14+Geology!T14+Hist!T13+Hist!T16+JMC!T13+Kinesiology!T14+Math!T13+'Modern Language'!T21+'Music -OLD'!T15+Physics!T14+'Political Science'!T14+'Political Science'!T17+Psych!T13+SASW!T13+Stats!T14</f>
        <v>206</v>
      </c>
      <c r="U14" s="1162">
        <f>Art!U13+Biochem!U13+Biology!U14+Biology!U20+Chemistry!U14+'Comm Stud Th Dan - OLD'!U14+Economics!U14+English!U14+Geography!U14+Geology!U14+Hist!U13+Hist!U16+JMC!U13+Kinesiology!U14+Math!U13+'Modern Language'!U21+'Music -OLD'!U15+Physics!U14+'Political Science'!U14+'Political Science'!U17+Psych!U13+SASW!U13+Stats!U14+Dean_AS!U67+'Comm Stud Th Dan - OLD'!U17</f>
        <v>481</v>
      </c>
      <c r="V14" s="1158">
        <f>SUM(Art!V13,Biochem!V13,Biology!V14,Chemistry!V14,'Comm Studies '!V14,Economics!V14,English!V14,Geography!V14,Geology!V14,Hist!V13,Hist!V16,JMC!V13,Math!V13,'Modern Language'!V21,'Music Theatre Dance'!V15,'Music Theatre Dance'!V20,Physics!V14,'Political Science'!V14,'Political Science'!V17,Psych!V13,SASW!V13,Stats!V14,Kinesiology!V14)</f>
        <v>193</v>
      </c>
      <c r="W14" s="1162">
        <f>Art!W13+Biochem!W13+Biology!W14+Biology!W20+Chemistry!W14+Economics!W14+English!W14+Geography!W14+Geology!W14+Hist!W13+Hist!W16+JMC!W13+Math!W13+'Modern Language'!W21+Physics!W14+'Political Science'!W14+'Political Science'!W17+Psych!W13+SASW!W13+Stats!W14+Dean_AS!W67+'Music Theatre Dance'!W15+'Music Theatre Dance'!W20+'Comm Studies '!W14</f>
        <v>549</v>
      </c>
      <c r="X14" s="1158">
        <f>SUM(Art!X13,Biochem!X13,Biology!X14,Chemistry!X14,'Comm Studies '!X14,Economics!X14,English!X14,Geography!X14,Geology!X14,Hist!X13,Hist!X16,JMC!X13,Math!X13,'Modern Language'!X21,'Music Theatre Dance'!X15,'Music Theatre Dance'!X20,Physics!X14,'Political Science'!X14,'Political Science'!X17,Psych!X13,SASW!X13,Stats!X14)</f>
        <v>185</v>
      </c>
      <c r="Y14" s="1162">
        <f>Art!Y13+Biochem!Y13+Biology!Y14+Biology!Y20+Chemistry!Y14+Economics!Y14+English!Y14+Geography!Y14+Geology!Y14+Hist!Y13+Hist!Y16+JMC!Y13+Math!Y13+'Modern Language'!Y21+Physics!Y14+'Political Science'!Y14+'Political Science'!Y17+Psych!Y13+SASW!Y13+Stats!Y14+Dean_AS!Y67+'Music Theatre Dance'!Y15+'Music Theatre Dance'!Y20+'Comm Studies '!Y14</f>
        <v>486</v>
      </c>
      <c r="Z14" s="1652"/>
      <c r="AB14" s="1630">
        <f t="shared" si="2"/>
        <v>520.79999999999995</v>
      </c>
      <c r="AC14" s="143">
        <f t="shared" si="3"/>
        <v>201</v>
      </c>
    </row>
    <row r="15" spans="1:31" s="787" customFormat="1" ht="12" customHeight="1" x14ac:dyDescent="0.2">
      <c r="A15" s="786"/>
      <c r="B15" s="669" t="s">
        <v>95</v>
      </c>
      <c r="C15" s="1161">
        <f>SUM(Biochem!C14+Biology!C15+Biology!C21+Chemistry!C15+Economics!C15+Geography!C15+Hist!C14+Math!C14+Physics!C15+Psych!C14+SASW!C14+Stats!C16)</f>
        <v>318</v>
      </c>
      <c r="D15" s="1162">
        <f>SUM(Biochem!D14+Biology!D15+Biology!D21+Chemistry!D15+Economics!D15+Geography!D15+Hist!D14+Math!D14+Physics!D15+Psych!D14+SASW!D14+Stats!D16)</f>
        <v>40</v>
      </c>
      <c r="E15" s="1161">
        <f>SUM(Biochem!E14+Biology!E15+Biology!E21+Chemistry!E15+Economics!E15+Geography!E15+Hist!E14+Math!E14+Physics!E15+Psych!E14+SASW!E14+Stats!E16)</f>
        <v>343</v>
      </c>
      <c r="F15" s="1162">
        <f>SUM(Biochem!F14+Biology!F15+Biology!F21+Chemistry!F15+Economics!F15+Geography!F15+Hist!F14+Math!F14+Physics!F15+Psych!F14+SASW!F14+Stats!F16)</f>
        <v>46</v>
      </c>
      <c r="G15" s="1161">
        <f>SUM(Biochem!G14+Biology!G15+Biology!G21+Chemistry!G15+Economics!G15+Geography!G15+Hist!G14+Math!G14+Physics!G15+Psych!G14+SASW!G14+Stats!G16)</f>
        <v>377</v>
      </c>
      <c r="H15" s="1162">
        <f>SUM(Biochem!H14+Biology!H15+Biology!H21+Chemistry!H15+Economics!H15+Geography!H15+Hist!H14+Math!H14+Physics!H15+Psych!H14+SASW!H14+Stats!H16)</f>
        <v>42</v>
      </c>
      <c r="I15" s="1161">
        <f>SUM(Biochem!I14+Biology!I15+Biology!I21+Chemistry!I15+Economics!I15+Geography!I15+Hist!I14+Math!I14+Physics!I15+Psych!I14+SASW!I14+Stats!I16)</f>
        <v>394</v>
      </c>
      <c r="J15" s="1162">
        <f>SUM(Biochem!J14+Biology!J15+Biology!J21+Chemistry!J15+Economics!J15+Geography!J15+Hist!J14+Math!J14+Physics!J15+Psych!J14+SASW!J14+Stats!J16)</f>
        <v>50</v>
      </c>
      <c r="K15" s="1161">
        <f>SUM(Biochem!K14+Biology!K15+Biology!K21+Chemistry!K15+Economics!K15+Geography!K15+Hist!K14+Math!K14+Physics!K15+Psych!K14+SASW!K14+Stats!K16+Hist!K17)</f>
        <v>439</v>
      </c>
      <c r="L15" s="1159">
        <f>SUM(Biochem!L14+Biology!L15+Biology!L21+Chemistry!L15+Economics!L15+Geography!L15+Hist!L14+Math!L14+Physics!L15+Psych!L14+SASW!L14+Stats!L16)</f>
        <v>47</v>
      </c>
      <c r="M15" s="1165">
        <f>SUM(Biochem!M14+Biology!M15+Biology!M21+Chemistry!M15+Economics!M15+Geography!M15+Hist!M14+Math!M14+Physics!M15+Psych!M14+SASW!M14+Stats!M16+Hist!M17)</f>
        <v>454</v>
      </c>
      <c r="N15" s="1158">
        <f>SUM(Biochem!N14+Biology!N15+Biology!N21+Chemistry!N15+Economics!N15+Geography!N15+Hist!N14+Math!N14+Physics!N15+Psych!N14+SASW!N14+Stats!N16)</f>
        <v>59</v>
      </c>
      <c r="O15" s="1162">
        <f>SUM(Biochem!O14+Biology!O15+Biology!O21+Chemistry!O15+Economics!O15+Geography!O15+Hist!O14+Math!O14+Physics!O15+Psych!O14+SASW!O14+Stats!O16+Hist!O17)</f>
        <v>446</v>
      </c>
      <c r="P15" s="1158">
        <f>SUM(Biochem!P14+Biology!P15+Biology!P21+Chemistry!P15+Economics!P15+Geography!P15+Hist!P14+Math!P14+Physics!P15+Psych!P14+SASW!P14+Stats!P16)</f>
        <v>60</v>
      </c>
      <c r="Q15" s="1162">
        <f>SUM(Biochem!Q14+Biology!Q15+Biology!Q21+Chemistry!Q15+Economics!Q15+Geography!Q15+Hist!Q14+Math!Q14+Physics!Q15+Psych!Q14+SASW!Q14+Stats!Q16+Hist!Q17)</f>
        <v>446</v>
      </c>
      <c r="R15" s="1158">
        <f>SUM(Biochem!R14+Biology!R15+Biology!R21+Chemistry!R15+Economics!R15+Geography!R15+Hist!R14+Math!R14+Physics!R15+Psych!R14+SASW!R14+Stats!R16+Hist!R17)</f>
        <v>62</v>
      </c>
      <c r="S15" s="1162">
        <f>SUM(Biochem!S14+Biology!S15+Biology!S21+Chemistry!S15+Economics!S15+Geography!S15+Hist!S14+Math!S14+Physics!S15+Psych!S14+SASW!S14+Stats!S16+Hist!S17)</f>
        <v>445</v>
      </c>
      <c r="T15" s="1158">
        <f>SUM(Biochem!T14+Biology!T15+Biology!T21+Chemistry!T15+Economics!T15+Geography!T15+Hist!T14+Math!T14+Physics!T15+Psych!T14+SASW!T14+Stats!T16+Hist!T17)</f>
        <v>57</v>
      </c>
      <c r="U15" s="1162">
        <f>SUM(Biochem!U14+Biology!U15+Biology!U21+Chemistry!U15+Economics!U15+Geography!U15+Hist!U14+Math!U14+Physics!U15+Psych!U14+SASW!U14+Stats!U16+Hist!U17)</f>
        <v>462</v>
      </c>
      <c r="V15" s="1158">
        <f>SUM(Biochem!V14,Biology!V15,Biology!V21,Chemistry!V15,Economics!V15,Geography!V15,Hist!V14,Hist!V17,Math!V14,Physics!V15,Psych!V14,SASW!V14,Stats!V16)</f>
        <v>61</v>
      </c>
      <c r="W15" s="1162">
        <f>SUM(Biochem!W14+Biology!W15+Biology!W21+Chemistry!W15+Economics!W15+Geography!W15+Hist!W14+Math!W14+Physics!W15+Psych!W14+SASW!W14+Stats!W16+Hist!W17)</f>
        <v>432</v>
      </c>
      <c r="X15" s="1158">
        <f>SUM(Biochem!X14,Biology!X15,Biology!X21,Chemistry!X15,Economics!X15,Geography!X15,Hist!X14,Hist!X17,Math!X14,Physics!X15,Psych!X14,SASW!X14,Stats!X16)</f>
        <v>63</v>
      </c>
      <c r="Y15" s="1162">
        <f>SUM(Biochem!Y14+Biology!Y15+Biology!Y21+Chemistry!Y15+Economics!Y15+Geography!Y15+Hist!Y14+Math!Y14+Physics!Y15+Psych!Y14+SASW!Y14+Stats!Y16+Hist!Y17)</f>
        <v>425</v>
      </c>
      <c r="Z15" s="1652"/>
      <c r="AB15" s="1630">
        <f t="shared" si="2"/>
        <v>442</v>
      </c>
      <c r="AC15" s="143">
        <f t="shared" si="3"/>
        <v>60.6</v>
      </c>
    </row>
    <row r="16" spans="1:31" s="787" customFormat="1" ht="12" customHeight="1" thickBot="1" x14ac:dyDescent="0.25">
      <c r="A16" s="786"/>
      <c r="B16" s="737" t="s">
        <v>96</v>
      </c>
      <c r="C16" s="1166">
        <f>SUM('Women''s Studies'!C16+English!C15+Geography!C18+'Political Science'!C16+Psych!C15)</f>
        <v>0</v>
      </c>
      <c r="D16" s="1167">
        <f>SUM('Women''s Studies'!D16+English!D15+Geography!D18+'Political Science'!D16+Psych!D15)</f>
        <v>7</v>
      </c>
      <c r="E16" s="1166">
        <f>SUM('Women''s Studies'!E16+English!E15+Geography!E18+'Political Science'!E16+Psych!E15)</f>
        <v>0</v>
      </c>
      <c r="F16" s="1167">
        <f>SUM('Women''s Studies'!F16+English!F15+Geography!F18+'Political Science'!F16+Psych!F15)</f>
        <v>7</v>
      </c>
      <c r="G16" s="1166">
        <f>SUM('Women''s Studies'!G16+English!G15+Geography!G18+'Political Science'!G16+Psych!G15)</f>
        <v>3</v>
      </c>
      <c r="H16" s="1167">
        <f>SUM('Women''s Studies'!H16+English!H15+Geography!H18+'Political Science'!H16+Psych!H15)</f>
        <v>1</v>
      </c>
      <c r="I16" s="1166">
        <f>SUM('Women''s Studies'!I16+English!I15+Geography!I18+'Political Science'!I16+Psych!I15)</f>
        <v>4</v>
      </c>
      <c r="J16" s="1167">
        <f>SUM('Women''s Studies'!J16+English!J15+Geography!J18+'Political Science'!J16+Psych!J15)</f>
        <v>7</v>
      </c>
      <c r="K16" s="1166">
        <f>SUM('Women''s Studies'!K16+English!K15+Geography!K18+'Political Science'!K16+Psych!K15)+Stats!K15</f>
        <v>4</v>
      </c>
      <c r="L16" s="1168">
        <f>SUM('Women''s Studies'!L16+English!L15+Geography!L18+'Political Science'!L16+Psych!L15)</f>
        <v>7</v>
      </c>
      <c r="M16" s="1169">
        <f>SUM('Women''s Studies'!M14+English!M15+Geography!M18+'Political Science'!M16+Psych!M15)+Stats!M15</f>
        <v>5</v>
      </c>
      <c r="N16" s="1167">
        <f>SUM('Women''s Studies'!N14+English!N15+Geography!N18+'Political Science'!N16+Psych!N15)</f>
        <v>16</v>
      </c>
      <c r="O16" s="1169">
        <f>SUM('Women''s Studies'!O14+English!O15+Geography!O18+'Political Science'!O16+Psych!O15)+Stats!O15</f>
        <v>15</v>
      </c>
      <c r="P16" s="1167">
        <f>SUM('Women''s Studies'!P14+English!P15+Geography!P18+'Political Science'!P16+Psych!P15)</f>
        <v>16</v>
      </c>
      <c r="Q16" s="1169">
        <f>SUM('Women''s Studies'!Q14+English!Q15+Geography!Q18+'Political Science'!Q16+Psych!Q15)+Stats!Q15</f>
        <v>12</v>
      </c>
      <c r="R16" s="1167">
        <f>SUM('Women''s Studies'!R14+English!R15+Geography!R18+'Political Science'!R16+Psych!R15)</f>
        <v>10</v>
      </c>
      <c r="S16" s="1169">
        <f>SUM('Women''s Studies'!S14+English!S15+Geography!S18+'Political Science'!S16+Psych!S15)+Stats!S15</f>
        <v>19</v>
      </c>
      <c r="T16" s="1167">
        <f>SUM('Women''s Studies'!T14+English!T15+Geography!T18+'Political Science'!T16+Psych!T15)</f>
        <v>12</v>
      </c>
      <c r="U16" s="1169">
        <f>SUM('Women''s Studies'!U14+English!U15+Geography!U18+'Political Science'!U16+Psych!U15)+Stats!U15</f>
        <v>20</v>
      </c>
      <c r="V16" s="1167">
        <f>SUM('Women''s Studies'!V14+English!V15+Geography!V18+'Political Science'!V16+Psych!V15)</f>
        <v>22</v>
      </c>
      <c r="W16" s="1169">
        <f>SUM('Women''s Studies'!W14+English!W15+Geography!W18+'Political Science'!W16+Psych!W15)+Stats!W15</f>
        <v>29</v>
      </c>
      <c r="X16" s="1167">
        <f>SUM('Women''s Studies'!X14+English!X15+Geography!X18+'Political Science'!X16+Psych!X15)</f>
        <v>15</v>
      </c>
      <c r="Y16" s="1169">
        <f>SUM('Women''s Studies'!Y14+English!Y15+Geography!Y18+'Political Science'!Y16+Psych!Y15)+Stats!Y15</f>
        <v>23</v>
      </c>
      <c r="Z16" s="1654"/>
      <c r="AB16" s="1630">
        <f t="shared" si="2"/>
        <v>20.6</v>
      </c>
      <c r="AC16" s="1626">
        <f t="shared" si="3"/>
        <v>15</v>
      </c>
      <c r="AE16" s="787" t="s">
        <v>29</v>
      </c>
    </row>
    <row r="17" spans="1:32" ht="12" customHeight="1" thickTop="1" x14ac:dyDescent="0.2">
      <c r="A17" s="116"/>
      <c r="B17" s="1936" t="s">
        <v>292</v>
      </c>
      <c r="C17" s="133"/>
      <c r="D17" s="135"/>
      <c r="E17" s="133"/>
      <c r="F17" s="135"/>
      <c r="G17" s="133"/>
      <c r="H17" s="135"/>
      <c r="I17" s="133"/>
      <c r="J17" s="135"/>
      <c r="K17" s="133" t="s">
        <v>29</v>
      </c>
      <c r="L17" s="135"/>
      <c r="M17" s="133" t="s">
        <v>29</v>
      </c>
      <c r="N17" s="135"/>
      <c r="O17" s="1262" t="s">
        <v>29</v>
      </c>
      <c r="P17" s="135"/>
      <c r="Q17" s="1262"/>
      <c r="R17" s="135"/>
      <c r="S17" s="1262"/>
      <c r="T17" s="135"/>
      <c r="U17" s="1262"/>
      <c r="V17" s="135"/>
      <c r="W17" s="1262"/>
      <c r="X17" s="135"/>
      <c r="Y17" s="1262"/>
      <c r="Z17" s="135"/>
      <c r="AB17" s="1017"/>
      <c r="AC17" s="1017"/>
    </row>
    <row r="18" spans="1:32" ht="12" customHeight="1" thickBot="1" x14ac:dyDescent="0.25">
      <c r="A18" s="116"/>
      <c r="B18" s="133"/>
      <c r="C18" s="117"/>
      <c r="D18" s="117" t="s">
        <v>29</v>
      </c>
      <c r="E18" s="117"/>
      <c r="F18" s="117"/>
      <c r="G18" s="117"/>
      <c r="H18" s="117"/>
      <c r="I18" s="615"/>
      <c r="J18" s="117"/>
      <c r="K18" s="117"/>
      <c r="L18" s="117"/>
      <c r="M18" s="117"/>
      <c r="N18" s="117"/>
      <c r="O18" s="117"/>
      <c r="P18" s="117" t="s">
        <v>29</v>
      </c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F18" s="409"/>
    </row>
    <row r="19" spans="1:32" ht="18" customHeight="1" thickTop="1" thickBot="1" x14ac:dyDescent="0.25">
      <c r="A19" s="116"/>
      <c r="B19" s="390"/>
      <c r="C19" s="2002" t="s">
        <v>49</v>
      </c>
      <c r="D19" s="1982"/>
      <c r="E19" s="1974" t="s">
        <v>50</v>
      </c>
      <c r="F19" s="1974"/>
      <c r="G19" s="2002" t="s">
        <v>141</v>
      </c>
      <c r="H19" s="1982"/>
      <c r="I19" s="2125" t="s">
        <v>152</v>
      </c>
      <c r="J19" s="2116"/>
      <c r="K19" s="2116" t="s">
        <v>154</v>
      </c>
      <c r="L19" s="2002"/>
      <c r="M19" s="2116" t="s">
        <v>171</v>
      </c>
      <c r="N19" s="2116"/>
      <c r="O19" s="1982" t="s">
        <v>227</v>
      </c>
      <c r="P19" s="2116"/>
      <c r="Q19" s="1982" t="s">
        <v>237</v>
      </c>
      <c r="R19" s="2116"/>
      <c r="S19" s="1982" t="s">
        <v>272</v>
      </c>
      <c r="T19" s="2116"/>
      <c r="U19" s="1982" t="s">
        <v>274</v>
      </c>
      <c r="V19" s="2116"/>
      <c r="W19" s="1982" t="s">
        <v>280</v>
      </c>
      <c r="X19" s="2116"/>
      <c r="Y19" s="1982" t="s">
        <v>290</v>
      </c>
      <c r="Z19" s="2118"/>
      <c r="AB19" s="2003" t="s">
        <v>213</v>
      </c>
      <c r="AC19" s="2004"/>
    </row>
    <row r="20" spans="1:32" ht="12" customHeight="1" x14ac:dyDescent="0.2">
      <c r="A20" s="116"/>
      <c r="B20" s="389" t="s">
        <v>7</v>
      </c>
      <c r="C20" s="243"/>
      <c r="D20" s="244"/>
      <c r="E20" s="138"/>
      <c r="F20" s="138"/>
      <c r="G20" s="243"/>
      <c r="H20" s="244"/>
      <c r="I20" s="138"/>
      <c r="J20" s="248"/>
      <c r="K20" s="265"/>
      <c r="L20" s="138"/>
      <c r="M20" s="265"/>
      <c r="N20" s="244"/>
      <c r="O20" s="151"/>
      <c r="P20" s="244"/>
      <c r="Q20" s="151"/>
      <c r="R20" s="244"/>
      <c r="S20" s="151"/>
      <c r="T20" s="244"/>
      <c r="U20" s="151"/>
      <c r="V20" s="244"/>
      <c r="W20" s="151"/>
      <c r="X20" s="244"/>
      <c r="Y20" s="151"/>
      <c r="Z20" s="140"/>
      <c r="AB20" s="831"/>
      <c r="AC20" s="930"/>
    </row>
    <row r="21" spans="1:32" ht="12" customHeight="1" x14ac:dyDescent="0.2">
      <c r="A21" s="116"/>
      <c r="B21" s="161" t="s">
        <v>8</v>
      </c>
      <c r="C21" s="239"/>
      <c r="D21" s="245"/>
      <c r="E21" s="139"/>
      <c r="F21" s="139"/>
      <c r="G21" s="239"/>
      <c r="H21" s="245" t="s">
        <v>29</v>
      </c>
      <c r="I21" s="139"/>
      <c r="J21" s="245" t="s">
        <v>29</v>
      </c>
      <c r="K21" s="239"/>
      <c r="L21" s="139" t="s">
        <v>29</v>
      </c>
      <c r="M21" s="239"/>
      <c r="N21" s="245" t="s">
        <v>29</v>
      </c>
      <c r="O21" s="139"/>
      <c r="P21" s="245" t="s">
        <v>29</v>
      </c>
      <c r="Q21" s="139"/>
      <c r="R21" s="240"/>
      <c r="S21" s="139"/>
      <c r="T21" s="240"/>
      <c r="U21" s="139"/>
      <c r="V21" s="240"/>
      <c r="W21" s="139"/>
      <c r="X21" s="240"/>
      <c r="Y21" s="139"/>
      <c r="Z21" s="143"/>
      <c r="AB21" s="831"/>
      <c r="AC21" s="930"/>
    </row>
    <row r="22" spans="1:32" ht="12" customHeight="1" x14ac:dyDescent="0.2">
      <c r="A22" s="116"/>
      <c r="B22" s="161" t="s">
        <v>9</v>
      </c>
      <c r="C22" s="239"/>
      <c r="D22" s="240">
        <f>SUM(Dean_AS!D78+Art!D19+Biochem!D21+Biology!D28+Chemistry!D23+Economics!D23+English!D21+Geography!D25+Geology!D20+Hist!D23+JMC!D20+Kinesiology!D23+Math!D22+'Modern Language'!D27+'Music -OLD'!D23+Philosophy!D19+Physics!D21+'Political Science'!D23+Psych!D21+SASW!D25+'Comm Stud Th Dan - OLD'!D25+Stats!D22)</f>
        <v>183280</v>
      </c>
      <c r="E22" s="139"/>
      <c r="F22" s="241">
        <f>SUM(Dean_AS!F78+Art!F19+Biochem!F21+Biology!F28+Chemistry!F23+Economics!F23+English!F21+Geography!F25+Geology!F20+Hist!F23+JMC!F20+Kinesiology!F23+Math!F22+'Modern Language'!F27+'Music -OLD'!F23+Philosophy!F19+Physics!F21+'Political Science'!F23+Psych!F21+SASW!F25+'Comm Stud Th Dan - OLD'!F25+Stats!F22)</f>
        <v>186076</v>
      </c>
      <c r="G22" s="239"/>
      <c r="H22" s="240">
        <f>SUM(Dean_AS!H78+Art!H19+Biochem!H21+Biology!H28+Chemistry!H23+Economics!H23+English!H21+Geography!H25+Geology!H20+Hist!H23+JMC!H20+Kinesiology!H23+Math!H22+'Modern Language'!H27+'Music -OLD'!H23+Philosophy!H19+Physics!H21+'Political Science'!H23+Psych!H21+SASW!H25+'Comm Stud Th Dan - OLD'!H25+Stats!H22)</f>
        <v>178908</v>
      </c>
      <c r="I22" s="139"/>
      <c r="J22" s="240">
        <f>SUM(Dean_AS!J78+Art!J19+Biochem!J21+Biology!J28+Chemistry!J23+Economics!J23+English!J21+Geography!J25+Geology!J20+Hist!J23+JMC!J20+Kinesiology!J23+Math!J22+'Modern Language'!J27+'Music -OLD'!J23+Philosophy!J19+Physics!J21+'Political Science'!J23+Psych!J21+SASW!J25+'Comm Stud Th Dan - OLD'!J25+Stats!J22)</f>
        <v>180177</v>
      </c>
      <c r="K22" s="239"/>
      <c r="L22" s="241">
        <f>SUM(Dean_AS!L78+Art!L19+Biochem!L21+Biology!L28+Chemistry!L23+Economics!L23+English!L21+Geography!L25+Geology!L20+Hist!L23+JMC!L20+Kinesiology!L23+Math!L22+'Modern Language'!L27+'Music -OLD'!L23+Philosophy!L19+Physics!L21+'Political Science'!L23+Psych!L21+SASW!L25+'Comm Stud Th Dan - OLD'!L25+Stats!L22)</f>
        <v>177262</v>
      </c>
      <c r="M22" s="239"/>
      <c r="N22" s="240">
        <f>SUM(Dean_AS!N78+Art!N19+Biochem!N21+Biology!N28+Chemistry!N23+Economics!N23+English!N21+Geography!N25+Geology!N20+Hist!N23+JMC!N20+Kinesiology!N23+Math!N22+'Modern Language'!N27+'Music -OLD'!N23+Philosophy!N19+Physics!N21+'Political Science'!N23+Psych!N21+SASW!N25+'Comm Stud Th Dan - OLD'!N25+Stats!N22)</f>
        <v>185058</v>
      </c>
      <c r="O22" s="139"/>
      <c r="P22" s="240">
        <f>SUM(Dean_AS!P78+'Amer Ethnic Stud'!P20+Art!P19+Biochem!P21+Biology!P28+Chemistry!P23+Economics!P23+English!P21+Geography!P25+Geology!P20+Hist!P23+JMC!P20+Kinesiology!P23+Math!P22+'Modern Language'!P27+'Music -OLD'!P23+Philosophy!P19+Physics!P21+'Political Science'!P23+Psych!P21+SASW!P25+'Comm Stud Th Dan - OLD'!P25+Stats!P22+'Women''s Studies'!P22)</f>
        <v>193269</v>
      </c>
      <c r="Q22" s="139"/>
      <c r="R22" s="240">
        <f>SUM(Dean_AS!R78+'Amer Ethnic Stud'!R20+Art!R19+Biochem!R21+Biology!R28+Chemistry!R23+Economics!R23+English!R21+Geography!R25+Geology!R20+Hist!R23+JMC!R20+Kinesiology!R23+Math!R22+'Modern Language'!R27+'Music -OLD'!R23+Philosophy!R19+Physics!R21+'Political Science'!R23+Psych!R21+SASW!R25+'Comm Stud Th Dan - OLD'!R25+Stats!R22+'Women''s Studies'!R22)</f>
        <v>196501</v>
      </c>
      <c r="S22" s="139"/>
      <c r="T22" s="240">
        <f>SUM(Dean_AS!T78+'Amer Ethnic Stud'!T20+Art!T19+Biochem!T21+Biology!T28+Chemistry!T23+Economics!T23+English!T21+Geography!T25+Geology!T20+Hist!T23+JMC!T20+Kinesiology!T23+Math!T22+'Modern Language'!T27+'Music -OLD'!T23+Philosophy!T19+Physics!T21+'Political Science'!T23+Psych!T21+SASW!T25+'Comm Stud Th Dan - OLD'!T25+Stats!T22+'Women''s Studies'!T22)</f>
        <v>191833</v>
      </c>
      <c r="U22" s="139"/>
      <c r="V22" s="240">
        <f>SUM(Dean_AS!V78+'Amer Ethnic Stud'!V20+Art!V19+Biochem!V21+Biology!V28+Chemistry!V23+Economics!V23+English!V21+Geography!V25+Geology!V20+Hist!V23+JMC!V20+Kinesiology!V23+Math!V22+'Modern Language'!V27+'Music Theatre Dance'!V28+'Comm Studies '!V20+Philosophy!V19+Physics!V21+'Political Science'!V23+Psych!V21+SASW!V25+Stats!V22+'Women''s Studies'!V22)</f>
        <v>206612</v>
      </c>
      <c r="W22" s="139"/>
      <c r="X22" s="240">
        <f>SUM(Dean_AS!X78+'Amer Ethnic Stud'!X20+Art!X19+Biochem!X21+Biology!X28+Chemistry!X23+Economics!X23+English!X21+Geography!X25+Geology!X20+Hist!X23+JMC!X20+Kinesiology!X23+Math!X22+'Modern Language'!X27+'Music Theatre Dance'!X28+'Comm Studies '!X20+Philosophy!X19+Physics!X21+'Political Science'!X23+Psych!X21+SASW!X25+Stats!X22+'Women''s Studies'!X22)</f>
        <v>201148</v>
      </c>
      <c r="Y22" s="139"/>
      <c r="Z22" s="1650"/>
      <c r="AB22" s="24"/>
      <c r="AC22" s="947">
        <f>AVERAGE(V22,T22,R22,P22,X22)</f>
        <v>197872.6</v>
      </c>
      <c r="AE22" s="409"/>
    </row>
    <row r="23" spans="1:32" ht="12" customHeight="1" x14ac:dyDescent="0.2">
      <c r="A23" s="116"/>
      <c r="B23" s="161" t="s">
        <v>10</v>
      </c>
      <c r="C23" s="239"/>
      <c r="D23" s="240">
        <f>SUM(Dean_AS!D79+Art!D20+Biochem!D22+Biology!D29+Chemistry!D24+Economics!D24+English!D22+Geography!D26+Geology!D21+Hist!D24+JMC!D21+Kinesiology!D24+Math!D23+'Modern Language'!D28+'Music -OLD'!D24+Philosophy!D20+Physics!D22+'Political Science'!D24+Psych!D22+SASW!D26+'Comm Stud Th Dan - OLD'!D26+Stats!D23)</f>
        <v>97853</v>
      </c>
      <c r="E23" s="139"/>
      <c r="F23" s="241">
        <f>SUM(Dean_AS!F79+Art!F20+Biochem!F22+Biology!F29+Chemistry!F24+Economics!F24+English!F22+Geography!F26+Geology!F21+Hist!F24+JMC!F21+Kinesiology!F24+Math!F23+'Modern Language'!F28+'Music -OLD'!F24+Philosophy!F20+Physics!F22+'Political Science'!F24+Psych!F22+SASW!F26+'Comm Stud Th Dan - OLD'!F26+Stats!F23)</f>
        <v>103995</v>
      </c>
      <c r="G23" s="239"/>
      <c r="H23" s="240">
        <f>SUM(Dean_AS!H79+Art!H20+Biochem!H22+Biology!H29+Chemistry!H24+Economics!H24+English!H22+Geography!H26+Geology!H21+Hist!H24+JMC!H21+Kinesiology!H24+Math!H23+'Modern Language'!H28+'Music -OLD'!H24+Philosophy!H20+Physics!H22+'Political Science'!H24+Psych!H22+SASW!H26+'Comm Stud Th Dan - OLD'!H26+Stats!H23)</f>
        <v>111105</v>
      </c>
      <c r="I23" s="139"/>
      <c r="J23" s="240">
        <f>SUM(Dean_AS!J79+Art!J20+Biochem!J22+Biology!J29+Chemistry!J24+Economics!J24+English!J22+Geography!J26+Geology!J21+Hist!J24+JMC!J21+Kinesiology!J24+Math!J23+'Modern Language'!J28+'Music -OLD'!J24+Philosophy!J20+Physics!J22+'Political Science'!J24+Psych!J22+SASW!J26+'Comm Stud Th Dan - OLD'!J26+Stats!J23)</f>
        <v>106573</v>
      </c>
      <c r="K23" s="239"/>
      <c r="L23" s="241">
        <f>SUM(Dean_AS!L79+Art!L20+Biochem!L22+Biology!L29+Chemistry!L24+Economics!L24+English!L22+Geography!L26+Geology!L21+Hist!L24+JMC!L21+Kinesiology!L24+Math!L23+'Modern Language'!L28+'Music -OLD'!L24+Philosophy!L20+Physics!L22+'Political Science'!L24+Psych!L22+SASW!L26+'Comm Stud Th Dan - OLD'!L26+Stats!L23)</f>
        <v>103427</v>
      </c>
      <c r="M23" s="239"/>
      <c r="N23" s="240">
        <f>SUM(Dean_AS!N79+Art!N20+Biochem!N22+Biology!N29+Chemistry!N24+Economics!N24+English!N22+Geography!N26+Geology!N21+Hist!N24+JMC!N21+Kinesiology!N24+Math!N23+'Modern Language'!N28+'Music -OLD'!N24+Philosophy!N20+Physics!N22+'Political Science'!N24+Psych!N22+SASW!N26+'Comm Stud Th Dan - OLD'!N26+Stats!N23)</f>
        <v>99402</v>
      </c>
      <c r="O23" s="139"/>
      <c r="P23" s="240">
        <f>SUM(Dean_AS!P79+'Amer Ethnic Stud'!P21+Art!P20+Biochem!P22+Biology!P29+Chemistry!P24+Economics!P24+English!P22+Geography!P26+Geology!P21+Hist!P24+JMC!P21+Kinesiology!P24+Math!P23+'Modern Language'!P28+'Music -OLD'!P24+Philosophy!P20+Physics!P22+'Political Science'!P24+Psych!P22+SASW!P26+'Comm Stud Th Dan - OLD'!P26+Stats!P23+'Women''s Studies'!P23)</f>
        <v>100817</v>
      </c>
      <c r="Q23" s="139"/>
      <c r="R23" s="240">
        <f>SUM(Dean_AS!R79+'Amer Ethnic Stud'!R21+Art!R20+Biochem!R22+Biology!R29+Chemistry!R24+Economics!R24+English!R22+Geography!R26+Geology!R21+Hist!R24+JMC!R21+Kinesiology!R24+Math!R23+'Modern Language'!R28+'Music -OLD'!R24+Philosophy!R20+Physics!R22+'Political Science'!R24+Psych!R22+SASW!R26+'Comm Stud Th Dan - OLD'!R26+Stats!R23+'Women''s Studies'!R23)</f>
        <v>104929</v>
      </c>
      <c r="S23" s="139"/>
      <c r="T23" s="240">
        <f>SUM(Dean_AS!T79+'Amer Ethnic Stud'!T21+Art!T20+Biochem!T22+Biology!T29+Chemistry!T24+Economics!T24+English!T22+Geography!T26+Geology!T21+Hist!T24+JMC!T21+Kinesiology!T24+Math!T23+'Modern Language'!T28+'Music -OLD'!T24+Philosophy!T20+Physics!T22+'Political Science'!T24+Psych!T22+SASW!T26+'Comm Stud Th Dan - OLD'!T26+Stats!T23+'Women''s Studies'!T23)</f>
        <v>103930</v>
      </c>
      <c r="U23" s="139"/>
      <c r="V23" s="240">
        <f>SUM(Dean_AS!V79+'Amer Ethnic Stud'!V21+Art!V20+Biochem!V22+Biology!V29+Chemistry!V24+Economics!V24+English!V22+Geography!V26+Geology!V21+Hist!V24+JMC!V21+Kinesiology!V24+Math!V23+'Modern Language'!V28+'Music Theatre Dance'!V29+'Comm Studies '!V21+Philosophy!V20+Physics!V22+'Political Science'!V24+Psych!V22+SASW!V26+Stats!V23+'Women''s Studies'!V23)</f>
        <v>102487</v>
      </c>
      <c r="W23" s="139"/>
      <c r="X23" s="240">
        <f>SUM(Dean_AS!X79+'Amer Ethnic Stud'!X21+Art!X20+Biochem!X22+Biology!X29+Chemistry!X24+Economics!X24+English!X22+Geography!X26+Geology!X21+Hist!X24+JMC!X21+Kinesiology!X24+Math!X23+'Modern Language'!X28+'Music Theatre Dance'!X29+'Comm Studies '!X21+Philosophy!X20+Physics!X22+'Political Science'!X24+Psych!X22+SASW!X26+Stats!X23+'Women''s Studies'!X23)</f>
        <v>98490</v>
      </c>
      <c r="Y23" s="139"/>
      <c r="Z23" s="1650"/>
      <c r="AB23" s="12"/>
      <c r="AC23" s="947">
        <f t="shared" ref="AC23:AC25" si="4">AVERAGE(V23,T23,R23,P23,X23)</f>
        <v>102130.6</v>
      </c>
      <c r="AE23" s="409"/>
    </row>
    <row r="24" spans="1:32" ht="12" customHeight="1" x14ac:dyDescent="0.2">
      <c r="A24" s="116"/>
      <c r="B24" s="161" t="s">
        <v>11</v>
      </c>
      <c r="C24" s="239"/>
      <c r="D24" s="240">
        <f>SUM(Dean_AS!D80+Art!D21+Biochem!D23+Biology!D30+Chemistry!D25+Economics!D25+English!D23+Geography!D27+Geology!D22+Hist!D25+JMC!D22+Kinesiology!D25+Math!D24+'Modern Language'!D29+'Music -OLD'!D25+Philosophy!D21+Physics!D23+'Political Science'!D25+Psych!D23+SASW!D27+'Comm Stud Th Dan - OLD'!D27+Stats!D24)</f>
        <v>11306</v>
      </c>
      <c r="E24" s="139"/>
      <c r="F24" s="241">
        <f>SUM(Dean_AS!F80+Art!F21+Biochem!F23+Biology!F30+Chemistry!F25+Economics!F25+English!F23+Geography!F27+Geology!F22+Hist!F25+JMC!F22+Kinesiology!F25+Math!F24+'Modern Language'!F29+'Music -OLD'!F25+Philosophy!F21+Physics!F23+'Political Science'!F25+Psych!F23+SASW!F27+'Comm Stud Th Dan - OLD'!F27+Stats!F24)</f>
        <v>11686</v>
      </c>
      <c r="G24" s="239"/>
      <c r="H24" s="240">
        <f>SUM(Dean_AS!H80+Art!H21+Biochem!H23+Biology!H30+Chemistry!H25+Economics!H25+English!H23+Geography!H27+Geology!H22+Hist!H25+JMC!H22+Kinesiology!H25+Math!H24+'Modern Language'!H29+'Music -OLD'!H25+Philosophy!H21+Physics!H23+'Political Science'!H25+Psych!H23+SASW!H27+'Comm Stud Th Dan - OLD'!H27+Stats!H24)</f>
        <v>12053</v>
      </c>
      <c r="I24" s="139"/>
      <c r="J24" s="240">
        <f>SUM(Dean_AS!J80+Art!J21+Biochem!J23+Biology!J30+Chemistry!J25+Economics!J25+English!J23+Geography!J27+Geology!J22+Hist!J25+JMC!J22+Kinesiology!J25+Math!J24+'Modern Language'!J29+'Music -OLD'!J25+Philosophy!J21+Physics!J23+'Political Science'!J25+Psych!J23+SASW!J27+'Comm Stud Th Dan - OLD'!J27+Stats!J24)</f>
        <v>12396</v>
      </c>
      <c r="K24" s="239"/>
      <c r="L24" s="241">
        <f>SUM(Dean_AS!L80+Art!L21+Biochem!L23+Biology!L30+Chemistry!L25+Economics!L25+English!L23+Geography!L27+Geology!L22+Hist!L25+JMC!L22+Kinesiology!L25+Math!L24+'Modern Language'!L29+'Music -OLD'!L25+Philosophy!L21+Physics!L23+'Political Science'!L25+Psych!L23+SASW!L27+'Comm Stud Th Dan - OLD'!L27+Stats!L24)</f>
        <v>13313</v>
      </c>
      <c r="M24" s="239"/>
      <c r="N24" s="240">
        <f>SUM(Dean_AS!N80+Art!N21+Biochem!N23+Biology!N30+Chemistry!N25+Economics!N25+English!N23+Geography!N27+Geology!N22+Hist!N25+JMC!N22+Kinesiology!N25+Math!N24+'Modern Language'!N29+'Music -OLD'!N25+Philosophy!N21+Physics!N23+'Political Science'!N25+Psych!N23+SASW!N27+'Comm Stud Th Dan - OLD'!N27+Stats!N24)</f>
        <v>11909</v>
      </c>
      <c r="O24" s="139"/>
      <c r="P24" s="240">
        <f>SUM(Dean_AS!P80+'Amer Ethnic Stud'!P22+Art!P21+Biochem!P23+Biology!P30+Chemistry!P25+Economics!P25+English!P23+Geography!P27+Geology!P22+Hist!P25+JMC!P22+Kinesiology!P25+Math!P24+'Modern Language'!P29+'Music -OLD'!P25+Philosophy!P21+Physics!P23+'Political Science'!P25+Psych!P23+SASW!P27+'Comm Stud Th Dan - OLD'!P27+Stats!P24+'Women''s Studies'!P24)</f>
        <v>12509</v>
      </c>
      <c r="Q24" s="139"/>
      <c r="R24" s="240">
        <f>SUM(Dean_AS!R80+'Amer Ethnic Stud'!R22+Art!R21+Biochem!R23+Biology!R30+Chemistry!R25+Economics!R25+English!R23+Geography!R27+Geology!R22+Hist!R25+JMC!R22+Kinesiology!R25+Math!R24+'Modern Language'!R29+'Music -OLD'!R25+Philosophy!R21+Physics!R23+'Political Science'!R25+Psych!R23+SASW!R27+'Comm Stud Th Dan - OLD'!R27+Stats!R24+'Women''s Studies'!R24)</f>
        <v>12925</v>
      </c>
      <c r="S24" s="139"/>
      <c r="T24" s="240">
        <f>SUM(Dean_AS!T80+'Amer Ethnic Stud'!T22+Art!T21+Biochem!T23+Biology!T30+Chemistry!T25+Economics!T25+English!T23+Geography!T27+Geology!T22+Hist!T25+JMC!T22+Kinesiology!T25+Math!T24+'Modern Language'!T29+'Music -OLD'!T25+Philosophy!T21+Physics!T23+'Political Science'!T25+Psych!T23+SASW!T27+'Comm Stud Th Dan - OLD'!T27+Stats!T24+'Women''s Studies'!T24)</f>
        <v>12538</v>
      </c>
      <c r="U24" s="139"/>
      <c r="V24" s="240">
        <f>SUM(Dean_AS!V80+'Amer Ethnic Stud'!V22+Art!V21+Biochem!V23+Biology!V30+Chemistry!V25+Economics!V25+English!V23+Geography!V27+Geology!V22+Hist!V25+JMC!V22+Kinesiology!V25+Math!V24+'Modern Language'!V29+'Music Theatre Dance'!V30+'Comm Studies '!V22+Philosophy!V21+Physics!V23+'Political Science'!V25+Psych!V23+SASW!V27+Stats!V24+'Women''s Studies'!V24)</f>
        <v>12874</v>
      </c>
      <c r="W24" s="139"/>
      <c r="X24" s="240">
        <f>SUM(Dean_AS!X80+'Amer Ethnic Stud'!X22+Art!X21+Biochem!X23+Biology!X30+Chemistry!X25+Economics!X25+English!X23+Geography!X27+Geology!X22+Hist!X25+JMC!X22+Kinesiology!X25+Math!X24+'Modern Language'!X29+'Music Theatre Dance'!X30+'Comm Studies '!X22+Philosophy!X21+Physics!X23+'Political Science'!X25+Psych!X23+SASW!X27+Stats!X24+'Women''s Studies'!X24)</f>
        <v>12238</v>
      </c>
      <c r="Y24" s="139"/>
      <c r="Z24" s="1650"/>
      <c r="AA24" s="1045"/>
      <c r="AB24" s="31"/>
      <c r="AC24" s="947">
        <f t="shared" si="4"/>
        <v>12616.8</v>
      </c>
    </row>
    <row r="25" spans="1:32" ht="12" customHeight="1" x14ac:dyDescent="0.2">
      <c r="A25" s="116"/>
      <c r="B25" s="161" t="s">
        <v>12</v>
      </c>
      <c r="C25" s="239"/>
      <c r="D25" s="240">
        <f>SUM(Dean_AS!D81+Art!D22+Biochem!D24+Biology!D31+Chemistry!D26+Economics!D26+English!D24+Geography!D28+Geology!D23+Hist!D26+JMC!D23+Kinesiology!D26+Math!D25+'Modern Language'!D30+'Music -OLD'!D26+Philosophy!D22+Physics!D24+'Political Science'!D26+Psych!D24+SASW!D28+'Comm Stud Th Dan - OLD'!D28+Stats!D25)</f>
        <v>4199</v>
      </c>
      <c r="E25" s="139"/>
      <c r="F25" s="241">
        <f>SUM(Dean_AS!F81+Art!F22+Biochem!F24+Biology!F31+Chemistry!F26+Economics!F26+English!F24+Geography!F28+Geology!F23+Hist!F26+JMC!F23+Kinesiology!F26+Math!F25+'Modern Language'!F30+'Music -OLD'!F26+Philosophy!F22+Physics!F24+'Political Science'!F26+Psych!F24+SASW!F28+'Comm Stud Th Dan - OLD'!F28+Stats!F25)</f>
        <v>4486</v>
      </c>
      <c r="G25" s="239"/>
      <c r="H25" s="240">
        <f>SUM(Dean_AS!H81+Art!H22+Biochem!H24+Biology!H31+Chemistry!H26+Economics!H26+English!H24+Geography!H28+Geology!H23+Hist!H26+JMC!H23+Kinesiology!H26+Math!H25+'Modern Language'!H30+'Music -OLD'!H26+Philosophy!H22+Physics!H24+'Political Science'!H26+Psych!H24+SASW!H28+'Comm Stud Th Dan - OLD'!H28+Stats!H25)</f>
        <v>4928</v>
      </c>
      <c r="I25" s="139"/>
      <c r="J25" s="240">
        <f>SUM(Dean_AS!J81+Art!J22+Biochem!J24+Biology!J31+Chemistry!J26+Economics!J26+English!J24+Geography!J28+Geology!J23+Hist!J26+JMC!J23+Kinesiology!J26+Math!J25+'Modern Language'!J30+'Music -OLD'!J26+Philosophy!J22+Physics!J24+'Political Science'!J26+Psych!J24+SASW!J28+'Comm Stud Th Dan - OLD'!J28+Stats!J25)</f>
        <v>5116</v>
      </c>
      <c r="K25" s="239"/>
      <c r="L25" s="241">
        <f>SUM(Dean_AS!L81+Art!L22+Biochem!L24+Biology!L31+Chemistry!L26+Economics!L26+English!L24+Geography!L28+Geology!L23+Hist!L26+JMC!L23+Kinesiology!L26+Math!L25+'Modern Language'!L30+'Music -OLD'!L26+Philosophy!L22+Physics!L24+'Political Science'!L26+Psych!L24+SASW!L28+'Comm Stud Th Dan - OLD'!L28+Stats!L25)</f>
        <v>5292</v>
      </c>
      <c r="M25" s="239"/>
      <c r="N25" s="240">
        <f>SUM(Dean_AS!N81+Art!N22+Biochem!N24+Biology!N31+Chemistry!N26+Economics!N26+English!N24+Geography!N28+Geology!N23+Hist!N26+JMC!N23+Kinesiology!N26+Math!N25+'Modern Language'!N30+'Music -OLD'!N26+Philosophy!N22+Physics!N24+'Political Science'!N26+Psych!N24+SASW!N28+'Comm Stud Th Dan - OLD'!N28+Stats!N25)</f>
        <v>5560</v>
      </c>
      <c r="O25" s="139"/>
      <c r="P25" s="240">
        <f>SUM(Dean_AS!P81+'Amer Ethnic Stud'!P23+Art!P22+Biochem!P24+Biology!P31+Chemistry!P26+Economics!P26+English!P24+Geography!P28+Geology!P23+Hist!P26+JMC!P23+Kinesiology!P26+Math!P25+'Modern Language'!P30+'Music -OLD'!P26+Philosophy!P22+Physics!P24+'Political Science'!P26+Psych!P24+SASW!P28+'Comm Stud Th Dan - OLD'!P28+Stats!P25+'Women''s Studies'!P25)</f>
        <v>5332</v>
      </c>
      <c r="Q25" s="139"/>
      <c r="R25" s="240">
        <f>SUM(Dean_AS!R81+'Amer Ethnic Stud'!R23+Art!R22+Biochem!R24+Biology!R31+Chemistry!R26+Economics!R26+English!R24+Geography!R28+Geology!R23+Hist!R26+JMC!R23+Kinesiology!R26+Math!R25+'Modern Language'!R30+'Music -OLD'!R26+Philosophy!R22+Physics!R24+'Political Science'!R26+Psych!R24+SASW!R28+'Comm Stud Th Dan - OLD'!R28+Stats!R25+'Women''s Studies'!R25)</f>
        <v>5431</v>
      </c>
      <c r="S25" s="139"/>
      <c r="T25" s="240">
        <f>SUM(Dean_AS!T81+'Amer Ethnic Stud'!T23+Art!T22+Biochem!T24+Biology!T31+Chemistry!T26+Economics!T26+English!T24+Geography!T28+Geology!T23+Hist!T26+JMC!T23+Kinesiology!T26+Math!T25+'Modern Language'!T30+'Music -OLD'!T26+Philosophy!T22+Physics!T24+'Political Science'!T26+Psych!T24+SASW!T28+'Comm Stud Th Dan - OLD'!T28+Stats!T25+'Women''s Studies'!T25)</f>
        <v>5519</v>
      </c>
      <c r="U25" s="139"/>
      <c r="V25" s="240">
        <f>SUM(Dean_AS!V81+'Amer Ethnic Stud'!V23+Art!V22+Biochem!V24+Biology!V31+Chemistry!V26+Economics!V26+English!V24+Geography!V28+Geology!V23+Hist!V26+JMC!V23+Kinesiology!V26+Math!V25+'Modern Language'!V30+'Music Theatre Dance'!V31+'Comm Studies '!V23+Philosophy!V22+Physics!V24+'Political Science'!V26+Psych!V24+SASW!V28+Stats!V25+'Women''s Studies'!V25)</f>
        <v>5351</v>
      </c>
      <c r="W25" s="139"/>
      <c r="X25" s="240">
        <f>SUM(Dean_AS!X81+'Amer Ethnic Stud'!X23+Art!X22+Biochem!X24+Biology!X31+Chemistry!X26+Economics!X26+English!X24+Geography!X28+Geology!X23+Hist!X26+JMC!X23+Kinesiology!X26+Math!X25+'Modern Language'!X30+'Music Theatre Dance'!X31+'Comm Studies '!X23+Philosophy!X22+Physics!X24+'Political Science'!X26+Psych!X24+SASW!X28+Stats!X25+'Women''s Studies'!X25)</f>
        <v>5112</v>
      </c>
      <c r="Y25" s="139"/>
      <c r="Z25" s="1650"/>
      <c r="AA25" s="1045"/>
      <c r="AB25" s="31"/>
      <c r="AC25" s="947">
        <f t="shared" si="4"/>
        <v>5349</v>
      </c>
    </row>
    <row r="26" spans="1:32" ht="12" customHeight="1" thickBot="1" x14ac:dyDescent="0.25">
      <c r="A26" s="116"/>
      <c r="B26" s="177" t="s">
        <v>13</v>
      </c>
      <c r="C26" s="246"/>
      <c r="D26" s="247">
        <f>SUM(D22:D25)</f>
        <v>296638</v>
      </c>
      <c r="E26" s="164"/>
      <c r="F26" s="242">
        <f>SUM(F22:F25)</f>
        <v>306243</v>
      </c>
      <c r="G26" s="246"/>
      <c r="H26" s="247">
        <f>SUM(H22:H25)</f>
        <v>306994</v>
      </c>
      <c r="I26" s="164"/>
      <c r="J26" s="247">
        <f>SUM(J22:J25)</f>
        <v>304262</v>
      </c>
      <c r="K26" s="246"/>
      <c r="L26" s="242">
        <f>SUM(L22:L25)</f>
        <v>299294</v>
      </c>
      <c r="M26" s="246"/>
      <c r="N26" s="247">
        <f>SUM(N22:N25)</f>
        <v>301929</v>
      </c>
      <c r="O26" s="164"/>
      <c r="P26" s="247">
        <f>SUM(P22:P25)</f>
        <v>311927</v>
      </c>
      <c r="Q26" s="164"/>
      <c r="R26" s="247">
        <f>SUM(R22:R25)</f>
        <v>319786</v>
      </c>
      <c r="S26" s="164"/>
      <c r="T26" s="247">
        <f>SUM(T22:T25)</f>
        <v>313820</v>
      </c>
      <c r="U26" s="164"/>
      <c r="V26" s="247">
        <f>SUM(Dean_AS!V82+'Amer Ethnic Stud'!V24+Art!V23+Biochem!V25+Biology!V32+Chemistry!V27+Economics!V27+English!V25+Geography!V29+Geology!V24+Hist!V27+JMC!V24+Kinesiology!V27+Math!V26+'Modern Language'!V31+'Music Theatre Dance'!V32+'Comm Studies '!V24+Philosophy!V23+Physics!V25+'Political Science'!V27+Psych!V25+SASW!V29+Stats!V26+'Women''s Studies'!V26)</f>
        <v>327324</v>
      </c>
      <c r="W26" s="164"/>
      <c r="X26" s="247">
        <f>SUM(Dean_AS!X82+'Amer Ethnic Stud'!X24+Art!X23+Biochem!X25+Biology!X32+Chemistry!X27+Economics!X27+English!X25+Geography!X29+Geology!X24+Hist!X27+JMC!X24+Kinesiology!X27+Math!X26+'Modern Language'!X31+'Music Theatre Dance'!X32+'Comm Studies '!X24+Philosophy!X23+Physics!X25+'Political Science'!X27+Psych!X25+SASW!X29+Stats!X26+'Women''s Studies'!X26)</f>
        <v>316988</v>
      </c>
      <c r="Y26" s="164"/>
      <c r="Z26" s="1655"/>
      <c r="AA26" s="1045"/>
      <c r="AB26" s="182"/>
      <c r="AC26" s="1008">
        <f>AVERAGE(V26,T26,R26,P26,X26)</f>
        <v>317969</v>
      </c>
    </row>
    <row r="27" spans="1:32" customFormat="1" ht="13.5" customHeight="1" thickTop="1" thickBot="1" x14ac:dyDescent="0.25">
      <c r="A27" s="930"/>
      <c r="B27" s="931" t="s">
        <v>212</v>
      </c>
      <c r="C27" s="1992" t="s">
        <v>51</v>
      </c>
      <c r="D27" s="1997"/>
      <c r="E27" s="1992" t="s">
        <v>52</v>
      </c>
      <c r="F27" s="1997"/>
      <c r="G27" s="1989" t="s">
        <v>184</v>
      </c>
      <c r="H27" s="1981"/>
      <c r="I27" s="1989" t="s">
        <v>185</v>
      </c>
      <c r="J27" s="2005"/>
      <c r="K27" s="1989" t="s">
        <v>202</v>
      </c>
      <c r="L27" s="2005"/>
      <c r="M27" s="1991" t="s">
        <v>203</v>
      </c>
      <c r="N27" s="1981"/>
      <c r="O27" s="1970" t="s">
        <v>228</v>
      </c>
      <c r="P27" s="1981"/>
      <c r="Q27" s="1970" t="s">
        <v>238</v>
      </c>
      <c r="R27" s="1981"/>
      <c r="S27" s="1970" t="s">
        <v>273</v>
      </c>
      <c r="T27" s="1981"/>
      <c r="U27" s="1970" t="s">
        <v>275</v>
      </c>
      <c r="V27" s="2074"/>
      <c r="W27" s="1970" t="s">
        <v>281</v>
      </c>
      <c r="X27" s="1981"/>
      <c r="Y27" s="1970" t="s">
        <v>291</v>
      </c>
      <c r="Z27" s="1971"/>
      <c r="AA27" s="932"/>
      <c r="AB27" s="2009"/>
      <c r="AC27" s="2010"/>
      <c r="AD27" s="293"/>
      <c r="AE27" s="293"/>
      <c r="AF27" s="21"/>
    </row>
    <row r="28" spans="1:32" customFormat="1" ht="12" customHeight="1" x14ac:dyDescent="0.2">
      <c r="A28" s="930"/>
      <c r="B28" s="933" t="s">
        <v>189</v>
      </c>
      <c r="C28" s="2123" t="s">
        <v>249</v>
      </c>
      <c r="D28" s="2124"/>
      <c r="E28" s="1995">
        <v>0.52200000000000002</v>
      </c>
      <c r="F28" s="1996"/>
      <c r="G28" s="1995">
        <v>0.497</v>
      </c>
      <c r="H28" s="1996"/>
      <c r="I28" s="1995">
        <v>0.48399999999999999</v>
      </c>
      <c r="J28" s="2006"/>
      <c r="K28" s="934"/>
      <c r="L28" s="935">
        <v>0.495</v>
      </c>
      <c r="M28" s="936"/>
      <c r="N28" s="1178">
        <v>0.502</v>
      </c>
      <c r="O28" s="1176"/>
      <c r="P28" s="1178">
        <v>0.47199999999999998</v>
      </c>
      <c r="Q28" s="1271"/>
      <c r="R28" s="1178">
        <v>0.49099999999999999</v>
      </c>
      <c r="S28" s="1271"/>
      <c r="T28" s="1178">
        <v>0.501</v>
      </c>
      <c r="U28" s="1271"/>
      <c r="V28" s="1178">
        <v>0.50700000000000001</v>
      </c>
      <c r="W28" s="1271"/>
      <c r="X28" s="1178">
        <v>0.46899999999999997</v>
      </c>
      <c r="Y28" s="1271"/>
      <c r="Z28" s="1479">
        <v>0.44400000000000001</v>
      </c>
      <c r="AA28" s="937"/>
      <c r="AB28" s="938"/>
      <c r="AC28" s="1048">
        <f>AVERAGE(V28,T28,R28,Z28,X28)</f>
        <v>0.4824</v>
      </c>
      <c r="AD28" s="293"/>
      <c r="AE28" s="293"/>
      <c r="AF28" s="21"/>
    </row>
    <row r="29" spans="1:32" customFormat="1" ht="12" customHeight="1" x14ac:dyDescent="0.2">
      <c r="A29" s="930"/>
      <c r="B29" s="940" t="s">
        <v>190</v>
      </c>
      <c r="C29" s="2119" t="s">
        <v>249</v>
      </c>
      <c r="D29" s="2120"/>
      <c r="E29" s="2000">
        <v>3.7999999999999999E-2</v>
      </c>
      <c r="F29" s="2001"/>
      <c r="G29" s="2000">
        <v>4.3999999999999997E-2</v>
      </c>
      <c r="H29" s="2001"/>
      <c r="I29" s="2000">
        <v>4.2000000000000003E-2</v>
      </c>
      <c r="J29" s="2011"/>
      <c r="K29" s="941"/>
      <c r="L29" s="942">
        <v>4.4999999999999998E-2</v>
      </c>
      <c r="M29" s="941"/>
      <c r="N29" s="1179">
        <v>4.5999999999999999E-2</v>
      </c>
      <c r="O29" s="1177"/>
      <c r="P29" s="1179">
        <v>4.3999999999999997E-2</v>
      </c>
      <c r="Q29" s="1272"/>
      <c r="R29" s="1179">
        <v>4.3999999999999997E-2</v>
      </c>
      <c r="S29" s="1272"/>
      <c r="T29" s="1179">
        <v>4.2000000000000003E-2</v>
      </c>
      <c r="U29" s="1272"/>
      <c r="V29" s="1179">
        <v>4.2999999999999997E-2</v>
      </c>
      <c r="W29" s="1272"/>
      <c r="X29" s="1179">
        <v>0.04</v>
      </c>
      <c r="Y29" s="1272"/>
      <c r="Z29" s="1480">
        <v>0.04</v>
      </c>
      <c r="AA29" s="937"/>
      <c r="AB29" s="938"/>
      <c r="AC29" s="1048">
        <f t="shared" ref="AC29:AC30" si="5">AVERAGE(V29,T29,R29,Z29,X29)</f>
        <v>4.1800000000000004E-2</v>
      </c>
      <c r="AD29" s="293"/>
      <c r="AE29" s="293"/>
      <c r="AF29" s="21"/>
    </row>
    <row r="30" spans="1:32" customFormat="1" ht="12.75" customHeight="1" thickBot="1" x14ac:dyDescent="0.25">
      <c r="A30" s="3"/>
      <c r="B30" s="943" t="s">
        <v>191</v>
      </c>
      <c r="C30" s="2121" t="s">
        <v>249</v>
      </c>
      <c r="D30" s="2122"/>
      <c r="E30" s="1998">
        <f>1-E28-E29</f>
        <v>0.44</v>
      </c>
      <c r="F30" s="1999"/>
      <c r="G30" s="1998">
        <f>1-G28-G29</f>
        <v>0.45900000000000002</v>
      </c>
      <c r="H30" s="1999"/>
      <c r="I30" s="1998">
        <f>1-I28-I29</f>
        <v>0.47400000000000003</v>
      </c>
      <c r="J30" s="1999"/>
      <c r="K30" s="1998">
        <f>1-L28-L29</f>
        <v>0.46</v>
      </c>
      <c r="L30" s="1999"/>
      <c r="M30" s="1998">
        <f>1-N28-N29</f>
        <v>0.45200000000000001</v>
      </c>
      <c r="N30" s="1999"/>
      <c r="O30" s="1998">
        <f>1-P28-P29</f>
        <v>0.48400000000000004</v>
      </c>
      <c r="P30" s="1999"/>
      <c r="Q30" s="2060">
        <f>1-R28-R29</f>
        <v>0.46500000000000002</v>
      </c>
      <c r="R30" s="1973"/>
      <c r="S30" s="1972">
        <f>1-T28-T29</f>
        <v>0.45700000000000002</v>
      </c>
      <c r="T30" s="1973"/>
      <c r="U30" s="1972">
        <f>1-V28-V29</f>
        <v>0.45</v>
      </c>
      <c r="V30" s="1973"/>
      <c r="W30" s="1972">
        <f>1-X28-X29</f>
        <v>0.49100000000000005</v>
      </c>
      <c r="X30" s="1973"/>
      <c r="Y30" s="1972">
        <f>1-Z28-Z29</f>
        <v>0.51600000000000001</v>
      </c>
      <c r="Z30" s="1973"/>
      <c r="AA30" s="937"/>
      <c r="AB30" s="2007">
        <f t="shared" ref="AB30" si="6">AVERAGE(U30,S30,Q30,Y30,W30)</f>
        <v>0.4758</v>
      </c>
      <c r="AC30" s="2008" t="e">
        <f t="shared" si="5"/>
        <v>#DIV/0!</v>
      </c>
      <c r="AD30" s="1050"/>
      <c r="AE30" s="293"/>
      <c r="AF30" s="21"/>
    </row>
    <row r="31" spans="1:32" s="117" customFormat="1" thickTop="1" x14ac:dyDescent="0.2">
      <c r="B31" s="144"/>
      <c r="C31" s="146"/>
      <c r="D31" s="147"/>
      <c r="E31" s="146"/>
      <c r="F31" s="147"/>
      <c r="G31" s="146"/>
      <c r="H31" s="147" t="s">
        <v>29</v>
      </c>
      <c r="I31" s="146"/>
      <c r="J31" s="147"/>
      <c r="K31" s="146"/>
      <c r="L31" s="147"/>
      <c r="M31" s="146"/>
      <c r="N31" s="147"/>
      <c r="O31" s="146"/>
      <c r="P31" s="147"/>
      <c r="Q31" s="146"/>
      <c r="R31" s="147"/>
      <c r="S31" s="146"/>
      <c r="T31" s="147"/>
      <c r="U31" s="146"/>
      <c r="V31" s="147"/>
      <c r="W31" s="146"/>
      <c r="X31" s="147"/>
      <c r="Y31" s="146"/>
      <c r="Z31" s="147"/>
    </row>
    <row r="32" spans="1:32" s="117" customFormat="1" x14ac:dyDescent="0.2">
      <c r="A32" s="148" t="s">
        <v>68</v>
      </c>
      <c r="B32" s="145"/>
      <c r="C32" s="136"/>
      <c r="D32" s="136"/>
      <c r="E32" s="136"/>
      <c r="F32" s="136"/>
      <c r="G32" s="136"/>
      <c r="H32" s="136"/>
      <c r="I32" s="136"/>
      <c r="J32" s="134"/>
      <c r="K32" s="136"/>
      <c r="L32" s="136"/>
      <c r="M32" s="136"/>
      <c r="N32" s="136"/>
      <c r="O32" s="136"/>
      <c r="P32" s="136"/>
      <c r="Q32" s="136"/>
      <c r="R32" s="136"/>
      <c r="S32" s="136"/>
      <c r="T32" s="134"/>
      <c r="U32" s="136"/>
      <c r="V32" s="134"/>
      <c r="W32" s="136"/>
      <c r="X32" s="134"/>
      <c r="Y32" s="136"/>
      <c r="Z32" s="134"/>
      <c r="AB32" s="136"/>
    </row>
    <row r="33" spans="1:29" s="117" customFormat="1" ht="13.5" thickBot="1" x14ac:dyDescent="0.25">
      <c r="A33" s="148"/>
      <c r="B33" s="145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B33" s="494"/>
    </row>
    <row r="34" spans="1:29" s="117" customFormat="1" ht="14.25" thickTop="1" thickBot="1" x14ac:dyDescent="0.25">
      <c r="A34" s="118"/>
      <c r="B34" s="388" t="s">
        <v>143</v>
      </c>
      <c r="C34" s="2002" t="s">
        <v>49</v>
      </c>
      <c r="D34" s="1982"/>
      <c r="E34" s="1974" t="s">
        <v>50</v>
      </c>
      <c r="F34" s="1974"/>
      <c r="G34" s="2002" t="s">
        <v>141</v>
      </c>
      <c r="H34" s="1982"/>
      <c r="I34" s="2116" t="s">
        <v>152</v>
      </c>
      <c r="J34" s="2116"/>
      <c r="K34" s="2116" t="s">
        <v>154</v>
      </c>
      <c r="L34" s="2002"/>
      <c r="M34" s="2116" t="s">
        <v>171</v>
      </c>
      <c r="N34" s="2116"/>
      <c r="O34" s="1982" t="s">
        <v>227</v>
      </c>
      <c r="P34" s="2116"/>
      <c r="Q34" s="1982" t="s">
        <v>237</v>
      </c>
      <c r="R34" s="2116"/>
      <c r="S34" s="1982" t="s">
        <v>272</v>
      </c>
      <c r="T34" s="2116"/>
      <c r="U34" s="1982" t="s">
        <v>274</v>
      </c>
      <c r="V34" s="2116"/>
      <c r="W34" s="1982" t="s">
        <v>280</v>
      </c>
      <c r="X34" s="2116"/>
      <c r="Y34" s="1982" t="s">
        <v>290</v>
      </c>
      <c r="Z34" s="2118"/>
      <c r="AA34" s="1047"/>
      <c r="AB34" s="2015" t="s">
        <v>213</v>
      </c>
      <c r="AC34" s="2004"/>
    </row>
    <row r="35" spans="1:29" s="117" customFormat="1" x14ac:dyDescent="0.2">
      <c r="A35" s="118"/>
      <c r="B35" s="1558" t="s">
        <v>70</v>
      </c>
      <c r="C35" s="239"/>
      <c r="D35" s="248"/>
      <c r="E35" s="139"/>
      <c r="F35" s="151"/>
      <c r="G35" s="239"/>
      <c r="H35" s="248"/>
      <c r="I35" s="139"/>
      <c r="J35" s="817"/>
      <c r="K35" s="151"/>
      <c r="L35" s="538"/>
      <c r="M35" s="265"/>
      <c r="N35" s="1259"/>
      <c r="O35" s="151"/>
      <c r="P35" s="1259"/>
      <c r="Q35" s="151"/>
      <c r="R35" s="1259"/>
      <c r="S35" s="151"/>
      <c r="T35" s="1259"/>
      <c r="U35" s="151"/>
      <c r="V35" s="1259"/>
      <c r="W35" s="151"/>
      <c r="X35" s="1259"/>
      <c r="Y35" s="151"/>
      <c r="Z35" s="810"/>
      <c r="AA35" s="1047"/>
      <c r="AB35" s="28"/>
      <c r="AC35" s="930"/>
    </row>
    <row r="36" spans="1:29" s="117" customFormat="1" x14ac:dyDescent="0.2">
      <c r="A36" s="118"/>
      <c r="B36" s="849" t="s">
        <v>71</v>
      </c>
      <c r="C36" s="847"/>
      <c r="D36" s="240">
        <f>Dean_AS!D92+'Amer Ethnic Stud'!D34+Art!D33+Biochem!D35+Biology!D42+Chemistry!D37+'Comm Stud Th Dan - OLD'!D39+Economics!D37+English!D35+Geography!D39+Geology!D34+Hist!D37+JMC!D34+Kinesiology!D37+Math!D36+'Modern Language'!D41+'Music -OLD'!D37+Philosophy!D33+Physics!D35+'Political Science'!D37+Psych!D35+SASW!D39+Stats!D36+'Women''s Studies'!D36</f>
        <v>38948600</v>
      </c>
      <c r="E36" s="258"/>
      <c r="F36" s="240">
        <f>Dean_AS!F92+'Amer Ethnic Stud'!F34+Art!F33+Biochem!F35+Biology!F42+Chemistry!F37+'Comm Stud Th Dan - OLD'!F39+Economics!F37+English!F35+Geography!F39+Geology!F34+Hist!F37+JMC!F34+Kinesiology!F37+Math!F36+'Modern Language'!F41+'Music -OLD'!F37+Philosophy!F33+Physics!F35+'Political Science'!F37+Psych!F35+SASW!F39+Stats!F36+'Women''s Studies'!F36</f>
        <v>42029391</v>
      </c>
      <c r="G36" s="258"/>
      <c r="H36" s="240">
        <f>Dean_AS!H92+'Amer Ethnic Stud'!H34+Art!H33+Biochem!H35+Biology!H42+Chemistry!H37+'Comm Stud Th Dan - OLD'!H39+Economics!H37+English!H35+Geography!H39+Geology!H34+Hist!H37+JMC!H34+Kinesiology!H37+Math!H36+'Modern Language'!H41+'Music -OLD'!H37+Philosophy!H33+Physics!H35+'Political Science'!H37+Psych!H35+SASW!H39+Stats!H36+'Women''s Studies'!H36</f>
        <v>43825270</v>
      </c>
      <c r="I36" s="258"/>
      <c r="J36" s="240">
        <f>Dean_AS!J92+Art!J33+Biochem!J35+Biology!J42+Chemistry!J37+'Comm Stud Th Dan - OLD'!J39+Economics!J37+English!J35+Geography!J39+Geology!J34+Hist!J37+JMC!J34+Kinesiology!J37+Math!J36+'Modern Language'!J41+'Music -OLD'!J37+Philosophy!J33+Physics!J35+'Political Science'!J37+Psych!J35+SASW!J39+Stats!J36</f>
        <v>45655030</v>
      </c>
      <c r="K36" s="258"/>
      <c r="L36" s="240">
        <f>Dean_AS!L92+Art!L33+Biochem!L35+Biology!L42+Chemistry!L37+'Comm Stud Th Dan - OLD'!L39+Economics!L37+English!L35+Geography!L39+Geology!L34+Hist!L37+JMC!L34+Kinesiology!L37+Math!L36+'Modern Language'!L41+'Music -OLD'!L37+Philosophy!L33+Physics!L35+'Political Science'!L37+Psych!L35+SASW!L39+Stats!L36</f>
        <v>49020957</v>
      </c>
      <c r="M36" s="258"/>
      <c r="N36" s="240">
        <f>Dean_AS!N92+Art!N33+Biochem!N35+Biology!N42+Chemistry!N37+'Comm Stud Th Dan - OLD'!N39+Economics!N37+English!N35+Geography!N39+Geology!N34+Hist!N37+JMC!N34+Kinesiology!N37+Math!N36+'Modern Language'!N41+'Music -OLD'!N37+Philosophy!N33+Physics!N35+'Political Science'!N37+Psych!N35+SASW!N39+Stats!N36</f>
        <v>51439837</v>
      </c>
      <c r="O36" s="258"/>
      <c r="P36" s="240">
        <f>Dean_AS!P92+Art!P33+Biochem!P35+Biology!P42+Chemistry!P37+'Comm Stud Th Dan - OLD'!P39+Economics!P37+English!P35+Geography!P39+Geology!P34+Hist!P37+JMC!P34+Kinesiology!P37+Math!P36+'Modern Language'!P41+'Music -OLD'!P37+Philosophy!P33+Physics!P35+'Political Science'!P37+Psych!P35+SASW!P39+Stats!P36</f>
        <v>48173700</v>
      </c>
      <c r="Q36" s="258"/>
      <c r="R36" s="240">
        <f>Dean_AS!R92+Art!R33+Biochem!R35+Biology!R42+Chemistry!R37+'Comm Stud Th Dan - OLD'!R39+Economics!R37+English!R35+Geography!R39+Geology!R34+Hist!R37+JMC!R34+Kinesiology!R37+Math!R36+'Modern Language'!R41+'Music -OLD'!R37+Philosophy!R33+Physics!R35+'Political Science'!R37+Psych!R35+SASW!R39+Stats!R36</f>
        <v>51640505</v>
      </c>
      <c r="S36" s="258"/>
      <c r="T36" s="240">
        <f>Dean_AS!T92+Art!T33+Biochem!T35+Biology!T42+Chemistry!T37+'Comm Stud Th Dan - OLD'!T39+Economics!T37+English!T35+Geography!T39+Geology!T34+Hist!T37+JMC!T34+Kinesiology!T37+Math!T36+'Modern Language'!T41+'Music -OLD'!T37+Philosophy!T33+Physics!T35+'Political Science'!T37+Psych!T35+SASW!T39+Stats!T36+'Amer Ethnic Stud'!T34+'Women''s Studies'!T36</f>
        <v>54720285</v>
      </c>
      <c r="U36" s="241"/>
      <c r="V36" s="240">
        <f>Dean_AS!V92+'Amer Ethnic Stud'!V34+Art!V33+Biochem!V35+Biology!V42+Chemistry!V37+'Comm Studies '!V34+Economics!V37+English!V35+Geography!V39+Geology!V34+Hist!V37+JMC!V34+Kinesiology!V37+Math!V36+'Modern Language'!V41+'Music Theatre Dance'!V42+Philosophy!V33+Physics!V35+'Political Science'!V37+Psych!V35+SASW!V39+Stats!V36+'Women''s Studies'!V36</f>
        <v>57058986</v>
      </c>
      <c r="W36" s="241"/>
      <c r="X36" s="240">
        <f>Dean_AS!X92+'Amer Ethnic Stud'!X34+Art!X33+Biochem!X35+Biology!X42+Chemistry!X37+'Comm Studies '!X34+Economics!X37+English!X35+Geography!X39+Geology!X34+Hist!X37+JMC!X34+Math!X36+'Modern Language'!X41+'Music Theatre Dance'!X42+Philosophy!X33+Physics!X35+'Political Science'!X37+Psych!X35+SASW!X39+Stats!X36+'Women''s Studies'!X36</f>
        <v>57671178</v>
      </c>
      <c r="Y36" s="241"/>
      <c r="Z36" s="143">
        <f>Dean_AS!Z92+'Amer Ethnic Stud'!Z34+Art!Z33+Biochem!Z35+Biology!Z42+Chemistry!Z37+'Comm Studies '!Z34+Economics!Z37+English!Z35+Geography!Z39+Geology!Z34+Hist!Z37+JMC!Z34+Math!Z36+'Modern Language'!Z41+'Music Theatre Dance'!Z42+Philosophy!Z33+Physics!Z35+'Political Science'!Z37+Psych!Z35+SASW!Z39+Stats!Z36+'Women''s Studies'!Z36</f>
        <v>61949387</v>
      </c>
      <c r="AA36" s="1047"/>
      <c r="AB36" s="30"/>
      <c r="AC36" s="947">
        <f>AVERAGE(V36,T36,R36,Z36,X36)</f>
        <v>56608068.200000003</v>
      </c>
    </row>
    <row r="37" spans="1:29" s="117" customFormat="1" x14ac:dyDescent="0.2">
      <c r="A37" s="118"/>
      <c r="B37" s="849" t="s">
        <v>247</v>
      </c>
      <c r="C37" s="847"/>
      <c r="D37" s="240"/>
      <c r="E37" s="258"/>
      <c r="F37" s="240"/>
      <c r="G37" s="258"/>
      <c r="H37" s="1189">
        <f>Dean_AS!H93+'Amer Ethnic Stud'!H35+Art!H34+Biochem!H36+Biology!H43+Chemistry!H38+'Comm Stud Th Dan - OLD'!H40+Economics!H38+English!H36+Geography!H40+Geology!H35+Hist!H38+JMC!H35+Kinesiology!H38+Math!H37+'Modern Language'!H42+'Music -OLD'!H38+Philosophy!H34+Physics!H36+'Political Science'!H38+Psych!H36+SASW!H40+Stats!H37+'Women''s Studies'!H37</f>
        <v>0</v>
      </c>
      <c r="I37" s="258"/>
      <c r="J37" s="240">
        <f>Dean_AS!J93+Art!J34+Biochem!J36+Biology!J43+Chemistry!J38+'Comm Stud Th Dan - OLD'!J40+Economics!J38+English!J36+Geography!J40+Geology!J35+Hist!J38+JMC!J35+Kinesiology!J38+Math!J37+'Modern Language'!J42+'Music -OLD'!J38+Philosophy!J34+Physics!J36+'Political Science'!J38+Psych!J36+SASW!J40+Stats!J37</f>
        <v>1121859</v>
      </c>
      <c r="K37" s="258"/>
      <c r="L37" s="240">
        <f>Dean_AS!L93+Art!L34+Biochem!L36+Biology!L43+Chemistry!L38+'Comm Stud Th Dan - OLD'!L40+Economics!L38+English!L36+Geography!L40+Geology!L35+Hist!L38+JMC!L35+Kinesiology!L38+Math!L37+'Modern Language'!L42+'Music -OLD'!L38+Philosophy!L34+Physics!L36+'Political Science'!L38+Psych!L36+SASW!L40+Stats!L37</f>
        <v>1075082</v>
      </c>
      <c r="M37" s="258"/>
      <c r="N37" s="240">
        <f>Dean_AS!N93+Art!N34+Biochem!N36+Biology!N43+Chemistry!N38+'Comm Stud Th Dan - OLD'!N40+Economics!N38+English!N36+Geography!N40+Geology!N35+Hist!N38+JMC!N35+Kinesiology!N38+Math!N37+'Modern Language'!N42+'Music -OLD'!N38+Philosophy!N34+Physics!N36+'Political Science'!N38+Psych!N36+SASW!N40+Stats!N37</f>
        <v>933539</v>
      </c>
      <c r="O37" s="258"/>
      <c r="P37" s="240">
        <f>Dean_AS!P93+Art!P34+Biochem!P36+Biology!P43+Chemistry!P38+'Comm Stud Th Dan - OLD'!P40+Economics!P38+English!P36+Geography!P40+Geology!P35+Hist!P38+JMC!P35+Kinesiology!P38+Math!P37+'Modern Language'!P42+'Music -OLD'!P38+Philosophy!P34+Physics!P36+'Political Science'!P38+Psych!P36+SASW!P40+Stats!P37</f>
        <v>939579</v>
      </c>
      <c r="Q37" s="258"/>
      <c r="R37" s="240">
        <f>Dean_AS!R93+Art!R34+Biochem!R36+Biology!R43+Chemistry!R38+'Comm Stud Th Dan - OLD'!R40+Economics!R38+English!R36+Geography!R40+Geology!R35+Hist!R38+JMC!R35+Kinesiology!R38+Math!R37+'Modern Language'!R42+'Music -OLD'!R38+Philosophy!R34+Physics!R36+'Political Science'!R38+Psych!R36+SASW!R40+Stats!R37</f>
        <v>926470</v>
      </c>
      <c r="S37" s="258"/>
      <c r="T37" s="240">
        <f>Dean_AS!T93+Art!T34+Biochem!T36+Biology!T43+Chemistry!T38+'Comm Stud Th Dan - OLD'!T40+Economics!T38+English!T36+Geography!T40+Geology!T35+Hist!T38+JMC!T35+Kinesiology!T38+Math!T37+'Modern Language'!T42+'Music -OLD'!T38+Philosophy!T34+Physics!T36+'Political Science'!T38+Psych!T36+SASW!T40+Stats!T37</f>
        <v>900965</v>
      </c>
      <c r="U37" s="258"/>
      <c r="V37" s="240">
        <f>Dean_AS!V93+'Amer Ethnic Stud'!V35+Art!V34+Biochem!V36+Biology!V43+Chemistry!V38+'Comm Studies '!V35+Economics!V38+English!V36+Geography!V40+Geology!V35+Hist!V38+JMC!V35+Kinesiology!V38+Math!V37+'Modern Language'!V42+'Music Theatre Dance'!V43+Philosophy!V34+Physics!V36+'Political Science'!V38+Psych!V36+SASW!V40+Stats!V37+'Women''s Studies'!V37</f>
        <v>898754</v>
      </c>
      <c r="W37" s="258"/>
      <c r="X37" s="240">
        <f>Dean_AS!X93+'Amer Ethnic Stud'!X35+Art!X34+Biochem!X36+Biology!X43+Chemistry!X38+'Comm Studies '!X35+Economics!X38+English!X36+Geography!X40+Geology!X35+Hist!X38+JMC!X35+Math!X37+'Modern Language'!X42+'Music Theatre Dance'!X43+Philosophy!X34+Physics!X36+'Political Science'!X38+Psych!X36+SASW!X40+Stats!X37+'Women''s Studies'!X37</f>
        <v>1062372</v>
      </c>
      <c r="Y37" s="258"/>
      <c r="Z37" s="240">
        <f>Dean_AS!Z93+'Amer Ethnic Stud'!Z35+Art!Z34+Biochem!Z36+Biology!Z43+Chemistry!Z38+'Comm Studies '!Z35+Economics!Z38+English!Z36+Geography!Z40+Geology!Z35+Hist!Z38+JMC!Z35+Math!Z37+'Modern Language'!Z42+'Music Theatre Dance'!Z43+Philosophy!Z34+Physics!Z36+'Political Science'!Z38+Psych!Z36+SASW!Z40+Stats!Z37+'Women''s Studies'!Z37</f>
        <v>977613</v>
      </c>
      <c r="AA37" s="1047"/>
      <c r="AB37" s="30"/>
      <c r="AC37" s="947">
        <f t="shared" ref="AC37" si="7">AVERAGE(V37,T37,R37,Z37,X37)</f>
        <v>953234.8</v>
      </c>
    </row>
    <row r="38" spans="1:29" s="117" customFormat="1" ht="24" x14ac:dyDescent="0.2">
      <c r="A38" s="118"/>
      <c r="B38" s="850" t="s">
        <v>248</v>
      </c>
      <c r="C38" s="847"/>
      <c r="D38" s="240">
        <f>Dean_AS!D94+'Amer Ethnic Stud'!D36+Art!D35+Biochem!D37+Biology!D44+Chemistry!D39+'Comm Stud Th Dan - OLD'!D41+Economics!D39+English!D37+Geography!D41+Geology!D36+Hist!D39+JMC!D36+Kinesiology!D39+Math!D38+'Modern Language'!D43+'Music -OLD'!D39+Philosophy!D35+Physics!D37+'Political Science'!D39+Psych!D37+SASW!D41+Stats!D38+'Women''s Studies'!D38</f>
        <v>16429404</v>
      </c>
      <c r="E38" s="183"/>
      <c r="F38" s="240">
        <f>Dean_AS!F94+'Amer Ethnic Stud'!F36+Art!F35+Biochem!F37+Biology!F44+Chemistry!F39+'Comm Stud Th Dan - OLD'!F41+Economics!F39+English!F37+Geography!F41+Geology!F36+Hist!F39+JMC!F36+Kinesiology!F39+Math!F38+'Modern Language'!F43+'Music -OLD'!F39+Philosophy!F35+Physics!F37+'Political Science'!F39+Psych!F37+SASW!F41+Stats!F38+'Women''s Studies'!F38</f>
        <v>18394058</v>
      </c>
      <c r="G38" s="183"/>
      <c r="H38" s="240">
        <f>Dean_AS!H94+'Amer Ethnic Stud'!H36+Art!H35+Biochem!H37+Biology!H44+Chemistry!H39+'Comm Stud Th Dan - OLD'!H41+Economics!H39+English!H37+Geography!H41+Geology!H36+Hist!H39+JMC!H36+Kinesiology!H39+Math!H38+'Modern Language'!H43+'Music -OLD'!H39+Philosophy!H35+Physics!H37+'Political Science'!H39+Psych!H37+SASW!H41+Stats!H38+'Women''s Studies'!H38</f>
        <v>22094581</v>
      </c>
      <c r="I38" s="183"/>
      <c r="J38" s="240">
        <f>Dean_AS!J94+Art!J35+Biochem!J37+Biology!J44+Chemistry!J39+'Comm Stud Th Dan - OLD'!J41+Economics!J39+English!J37+Geography!J41+Geology!J36+Hist!J39+JMC!J36+Kinesiology!J39+Math!J38+'Modern Language'!J43+'Music -OLD'!J39+Philosophy!J35+Physics!J37+'Political Science'!J39+Psych!J37+SASW!J41+Stats!J38</f>
        <v>21493255</v>
      </c>
      <c r="K38" s="183"/>
      <c r="L38" s="240">
        <f>Dean_AS!L94+Art!L35+Biochem!L37+Biology!L44+Chemistry!L39+'Comm Stud Th Dan - OLD'!L41+Economics!L39+English!L37+Geography!L41+Geology!L36+Hist!L39+JMC!L36+Kinesiology!L39+Math!L38+'Modern Language'!L43+'Music -OLD'!L39+Philosophy!L35+Physics!L37+'Political Science'!L39+Psych!L37+SASW!L41+Stats!L38</f>
        <v>21356433</v>
      </c>
      <c r="M38" s="183"/>
      <c r="N38" s="240">
        <f>Dean_AS!N94+Art!N35+Biochem!N37+Biology!N44+Chemistry!N39+'Comm Stud Th Dan - OLD'!N41+Economics!N39+English!N37+Geography!N41+Geology!N36+Hist!N39+JMC!N36+Kinesiology!N39+Math!N38+'Modern Language'!N43+'Music -OLD'!N39+Philosophy!N35+Physics!N37+'Political Science'!N39+Psych!N37+SASW!N41+Stats!N38</f>
        <v>21334653</v>
      </c>
      <c r="O38" s="183"/>
      <c r="P38" s="240">
        <f>Dean_AS!P94+Art!P35+Biochem!P37+Biology!P44+Chemistry!P39+'Comm Stud Th Dan - OLD'!P41+Economics!P39+English!P37+Geography!P41+Geology!P36+Hist!P39+JMC!P36+Kinesiology!P39+Math!P38+'Modern Language'!P43+'Music -OLD'!P39+Philosophy!P35+Physics!P37+'Political Science'!P39+Psych!P37+SASW!P41+Stats!P38</f>
        <v>24767925</v>
      </c>
      <c r="Q38" s="183"/>
      <c r="R38" s="240">
        <f>Dean_AS!R94+Art!R35+Biochem!R37+Biology!R44+Chemistry!R39+'Comm Stud Th Dan - OLD'!R41+Economics!R39+English!R37+Geography!R41+Geology!R36+Hist!R39+JMC!R36+Kinesiology!R39+Math!R38+'Modern Language'!R43+'Music -OLD'!R39+Philosophy!R35+Physics!R37+'Political Science'!R39+Psych!R37+SASW!R41+Stats!R38</f>
        <v>24715449</v>
      </c>
      <c r="S38" s="183"/>
      <c r="T38" s="240">
        <f>Dean_AS!T94+Art!T35+Biochem!T37+Biology!T44+Chemistry!T39+'Comm Stud Th Dan - OLD'!T41+Economics!T39+English!T37+Geography!T41+Geology!T36+Hist!T39+JMC!T36+Kinesiology!T39+Math!T38+'Modern Language'!T43+'Music -OLD'!T39+Philosophy!T35+Physics!T37+'Political Science'!T39+Psych!T37+SASW!T41+Stats!T38+'Women''s Studies'!T38</f>
        <v>23058534</v>
      </c>
      <c r="U38" s="183"/>
      <c r="V38" s="240">
        <f>Dean_AS!V94+'Amer Ethnic Stud'!V36+Art!V35+Biochem!V37+Biology!V44+Chemistry!V39+'Comm Studies '!V36+Economics!V39+English!V37+Geography!V41+Geology!V36+Hist!V39+JMC!V36+Kinesiology!V39+Math!V38+'Modern Language'!V43+'Music Theatre Dance'!V44+Philosophy!V35+Physics!V37+'Political Science'!V39+Psych!V37+SASW!V41+Stats!V38+'Women''s Studies'!V38</f>
        <v>23079088</v>
      </c>
      <c r="W38" s="183"/>
      <c r="X38" s="240">
        <f>Dean_AS!X94+'Amer Ethnic Stud'!X36+Art!X35+Biochem!X37+Biology!X44+Chemistry!X39+'Comm Studies '!X36+Economics!X39+English!X37+Geography!X41+Geology!X36+Hist!X39+JMC!X36+Math!X38+'Modern Language'!X43+'Music Theatre Dance'!X44+Philosophy!X35+Physics!X37+'Political Science'!X39+Psych!X37+SASW!X41+Stats!X38+'Women''s Studies'!X38</f>
        <v>24009737</v>
      </c>
      <c r="Y38" s="183"/>
      <c r="Z38" s="240">
        <f>Dean_AS!Z94+'Amer Ethnic Stud'!Z36+Art!Z35+Biochem!Z37+Biology!Z44+Chemistry!Z39+'Comm Studies '!Z36+Economics!Z39+English!Z37+Geography!Z41+Geology!Z36+Hist!Z39+JMC!Z36+Math!Z38+'Modern Language'!Z43+'Music Theatre Dance'!Z44+Philosophy!Z35+Physics!Z37+'Political Science'!Z39+Psych!Z37+SASW!Z41+Stats!Z38+'Women''s Studies'!Z38</f>
        <v>23166831</v>
      </c>
      <c r="AA38" s="1047"/>
      <c r="AB38" s="31"/>
      <c r="AC38" s="947">
        <f t="shared" ref="AC38:AC39" si="8">AVERAGE(V38,T38,R38,Z38,X38)</f>
        <v>23605927.800000001</v>
      </c>
    </row>
    <row r="39" spans="1:29" s="117" customFormat="1" x14ac:dyDescent="0.2">
      <c r="A39" s="118"/>
      <c r="B39" s="851" t="s">
        <v>72</v>
      </c>
      <c r="C39" s="848"/>
      <c r="D39" s="815">
        <f>SUM(D36:D38)</f>
        <v>55378004</v>
      </c>
      <c r="E39" s="259"/>
      <c r="F39" s="815">
        <f>SUM(F36:F38)</f>
        <v>60423449</v>
      </c>
      <c r="G39" s="259"/>
      <c r="H39" s="815">
        <f>SUM(H36:H38)</f>
        <v>65919851</v>
      </c>
      <c r="I39" s="259"/>
      <c r="J39" s="815">
        <f>SUM(J36:J38)</f>
        <v>68270144</v>
      </c>
      <c r="K39" s="259"/>
      <c r="L39" s="815">
        <f>SUM(L36:L38)</f>
        <v>71452472</v>
      </c>
      <c r="M39" s="259"/>
      <c r="N39" s="815">
        <f>SUM(N36:N38)</f>
        <v>73708029</v>
      </c>
      <c r="O39" s="259"/>
      <c r="P39" s="815">
        <f>SUM(P36:P38)</f>
        <v>73881204</v>
      </c>
      <c r="Q39" s="259"/>
      <c r="R39" s="815">
        <f>SUM(R36:R38)</f>
        <v>77282424</v>
      </c>
      <c r="S39" s="259"/>
      <c r="T39" s="815">
        <f>Dean_AS!T95+Art!T36+Biochem!T38+Biology!T45+Chemistry!T40+'Comm Stud Th Dan - OLD'!T42+Economics!T40+English!T38+Geography!T42+Geology!T37+Hist!T40+JMC!T37+Kinesiology!T40+Math!T39+'Modern Language'!T44+'Music -OLD'!T40+Philosophy!T36+Physics!T38+'Political Science'!T40+Psych!T38+SASW!T42+Stats!T39+'Amer Ethnic Stud'!T37+'Women''s Studies'!T39</f>
        <v>78679784</v>
      </c>
      <c r="U39" s="259"/>
      <c r="V39" s="1892">
        <f>Dean_AS!V95+'Amer Ethnic Stud'!V37+Art!V36+Biochem!V38+Biology!V45+Chemistry!V40+'Comm Studies '!V37+Economics!V40+English!V38+Geography!V42+Geology!V37+Hist!V40+JMC!V37+Kinesiology!V40+Math!V39+'Modern Language'!V44+'Music Theatre Dance'!V45+Philosophy!V36+Physics!V38+'Political Science'!V40+Psych!V38+SASW!V42+Stats!V39+'Women''s Studies'!V39</f>
        <v>81036828</v>
      </c>
      <c r="W39" s="259"/>
      <c r="X39" s="240">
        <f>Dean_AS!X95+'Amer Ethnic Stud'!X37+Art!X36+Biochem!X38+Biology!X45+Chemistry!X40+'Comm Studies '!X37+Economics!X40+English!X38+Geography!X42+Geology!X37+Hist!X40+JMC!X37+Math!X39+'Modern Language'!X44+'Music Theatre Dance'!X45+Philosophy!X36+Physics!X38+'Political Science'!X40+Psych!X38+SASW!X42+Stats!X39+'Women''s Studies'!X39</f>
        <v>82743287</v>
      </c>
      <c r="Y39" s="259"/>
      <c r="Z39" s="240">
        <f>Dean_AS!Z95+'Amer Ethnic Stud'!Z37+Art!Z36+Biochem!Z38+Biology!Z45+Chemistry!Z40+'Comm Studies '!Z37+Economics!Z40+English!Z38+Geography!Z42+Geology!Z37+Hist!Z40+JMC!Z37+Math!Z39+'Modern Language'!Z44+'Music Theatre Dance'!Z45+Philosophy!Z36+Physics!Z38+'Political Science'!Z40+Psych!Z38+SASW!Z42+Stats!Z39+'Women''s Studies'!Z39</f>
        <v>86093831</v>
      </c>
      <c r="AA39" s="1047"/>
      <c r="AB39" s="31"/>
      <c r="AC39" s="947">
        <f t="shared" si="8"/>
        <v>81167230.799999997</v>
      </c>
    </row>
    <row r="40" spans="1:29" s="117" customFormat="1" x14ac:dyDescent="0.2">
      <c r="A40" s="118"/>
      <c r="B40" s="852" t="s">
        <v>73</v>
      </c>
      <c r="C40" s="847"/>
      <c r="D40" s="261"/>
      <c r="E40" s="183"/>
      <c r="F40" s="261"/>
      <c r="G40" s="183"/>
      <c r="H40" s="261"/>
      <c r="I40" s="183"/>
      <c r="J40" s="261"/>
      <c r="K40" s="183"/>
      <c r="L40" s="261"/>
      <c r="M40" s="183"/>
      <c r="N40" s="261"/>
      <c r="O40" s="183"/>
      <c r="P40" s="261"/>
      <c r="Q40" s="183"/>
      <c r="R40" s="261"/>
      <c r="S40" s="183"/>
      <c r="T40" s="261"/>
      <c r="U40" s="183"/>
      <c r="V40" s="240"/>
      <c r="W40" s="183"/>
      <c r="X40" s="240"/>
      <c r="Y40" s="183"/>
      <c r="Z40" s="240"/>
      <c r="AA40" s="1047"/>
      <c r="AB40" s="31"/>
      <c r="AC40" s="947"/>
    </row>
    <row r="41" spans="1:29" s="117" customFormat="1" x14ac:dyDescent="0.2">
      <c r="A41" s="118"/>
      <c r="B41" s="849" t="s">
        <v>71</v>
      </c>
      <c r="C41" s="847"/>
      <c r="D41" s="261">
        <f>Dean_AS!D97+'Amer Ethnic Stud'!D39+Art!D38+Biochem!D40+Biology!D47+Chemistry!D42+'Comm Stud Th Dan - OLD'!D44+Economics!D42+English!D40+Geography!D44+Geology!D39+Hist!D42+JMC!D39+Kinesiology!D42+Math!D41+'Modern Language'!D46+'Music -OLD'!D42+Philosophy!D38+Physics!D40+'Political Science'!D42+Psych!D40+SASW!D44+Stats!D41+'Women''s Studies'!D41</f>
        <v>2315545</v>
      </c>
      <c r="E41" s="183"/>
      <c r="F41" s="261">
        <f>Dean_AS!F97+'Amer Ethnic Stud'!F39+Art!F38+Biochem!F40+Biology!F47+Chemistry!F42+'Comm Stud Th Dan - OLD'!F44+Economics!F42+English!F40+Geography!F44+Geology!F39+Hist!F42+JMC!F39+Kinesiology!F42+Math!F41+'Modern Language'!F46+'Music -OLD'!F42+Philosophy!F38+Physics!F40+'Political Science'!F42+Psych!F40+SASW!F44+Stats!F41+'Women''s Studies'!F41</f>
        <v>2441666</v>
      </c>
      <c r="G41" s="183"/>
      <c r="H41" s="261">
        <f>Dean_AS!H97+'Amer Ethnic Stud'!H39+Art!H38+Biochem!H40+Biology!H47+Chemistry!H42+'Comm Stud Th Dan - OLD'!H44+Economics!H42+English!H40+Geography!H44+Geology!H39+Hist!H42+JMC!H39+Kinesiology!H42+Math!H41+'Modern Language'!H46+'Music -OLD'!H42+Philosophy!H38+Physics!H40+'Political Science'!H42+Psych!H40+SASW!H44+Stats!H41+'Women''s Studies'!H41</f>
        <v>2668430</v>
      </c>
      <c r="I41" s="183"/>
      <c r="J41" s="261">
        <f>Dean_AS!J97+Art!J38+Biochem!J40+Biology!J47+Chemistry!J42+'Comm Stud Th Dan - OLD'!J44+Economics!J42+English!J40+Geography!J44+Geology!J39+Hist!J42+JMC!J39+Kinesiology!J42+Math!J41+'Modern Language'!J46+'Music -OLD'!J42+Philosophy!J38+Physics!J40+'Political Science'!J42+Psych!J40+SASW!J44+Stats!J41</f>
        <v>2771874</v>
      </c>
      <c r="K41" s="183"/>
      <c r="L41" s="261">
        <f>Dean_AS!L97+Art!L38+Biochem!L40+Biology!L47+Chemistry!L42+'Comm Stud Th Dan - OLD'!L44+Economics!L42+English!L40+Geography!L44+Geology!L39+Hist!L42+JMC!L39+Kinesiology!L42+Math!L41+'Modern Language'!L46+'Music -OLD'!L42+Philosophy!L38+Physics!L40+'Political Science'!L42+Psych!L40+SASW!L44+Stats!L41</f>
        <v>2845266</v>
      </c>
      <c r="M41" s="183"/>
      <c r="N41" s="261">
        <f>Dean_AS!N97+Art!N38+Biochem!N40+Biology!N47+Chemistry!N42+'Comm Stud Th Dan - OLD'!N44+Economics!N42+English!N40+Geography!N44+Geology!N39+Hist!N42+JMC!N39+Kinesiology!N42+Math!N41+'Modern Language'!N46+'Music -OLD'!N42+Philosophy!N38+Physics!N40+'Political Science'!N42+Psych!N40+SASW!N44+Stats!N41</f>
        <v>2952108</v>
      </c>
      <c r="O41" s="183"/>
      <c r="P41" s="261">
        <f>Dean_AS!P97+Art!P38+Biochem!P40+Biology!P47+Chemistry!P42+'Comm Stud Th Dan - OLD'!P44+Economics!P42+English!P40+Geography!P44+Geology!P39+Hist!P42+JMC!P39+Kinesiology!P42+Math!P41+'Modern Language'!P46+'Music -OLD'!P42+Philosophy!P38+Physics!P40+'Political Science'!P42+Psych!P40+SASW!P44+Stats!P41</f>
        <v>2634799</v>
      </c>
      <c r="Q41" s="183"/>
      <c r="R41" s="261">
        <f>Dean_AS!R97+Art!R38+Biochem!R40+Biology!R47+Chemistry!R42+'Comm Stud Th Dan - OLD'!R44+Economics!R42+English!R40+Geography!R44+Geology!R39+Hist!R42+JMC!R39+Kinesiology!R42+Math!R41+'Modern Language'!R46+'Music -OLD'!R42+Philosophy!R38+Physics!R40+'Political Science'!R42+Psych!R40+SASW!R44+Stats!R41</f>
        <v>2668732</v>
      </c>
      <c r="S41" s="183"/>
      <c r="T41" s="261">
        <f>Dean_AS!T97+Art!T38+Biochem!T40+Biology!T47+Chemistry!T42+'Comm Stud Th Dan - OLD'!T44+Economics!T42+English!T40+Geography!T44+Geology!T39+Hist!T42+JMC!T39+Kinesiology!T42+Math!T41+'Modern Language'!T46+'Music -OLD'!T42+Philosophy!T38+Physics!T40+'Political Science'!T42+Psych!T40+SASW!T44+Stats!T41</f>
        <v>2668978</v>
      </c>
      <c r="U41" s="183"/>
      <c r="V41" s="240">
        <f>Dean_AS!V97+'Amer Ethnic Stud'!V39+Art!V38+Biochem!V40+Biology!V47+Chemistry!V42+'Comm Studies '!V39+Economics!V42+English!V40+Geography!V44+Geology!V39+Hist!V42+JMC!V39+Kinesiology!V42+Math!V41+'Modern Language'!V46+'Music Theatre Dance'!V47+Philosophy!V38+Physics!V40+'Political Science'!V42+Psych!V40+SASW!V44+Stats!V41+'Women''s Studies'!V41</f>
        <v>2791548</v>
      </c>
      <c r="W41" s="183"/>
      <c r="X41" s="240">
        <f>Dean_AS!X97+'Amer Ethnic Stud'!X39+Art!X38+Biochem!X40+Biology!X47+Chemistry!X42+'Comm Studies '!X39+Economics!X42+English!X40+Geography!X44+Geology!X39+Hist!X42+JMC!X39+Math!X41+'Modern Language'!X46+'Music Theatre Dance'!X47+Philosophy!X38+Physics!X40+'Political Science'!X42+Psych!X40+SASW!X44+Stats!X41+'Women''s Studies'!X41</f>
        <v>2779647</v>
      </c>
      <c r="Y41" s="183"/>
      <c r="Z41" s="240">
        <f>Dean_AS!Z97+'Amer Ethnic Stud'!Z39+Art!Z38+Biochem!Z40+Biology!Z47+Chemistry!Z42+'Comm Studies '!Z39+Economics!Z42+English!Z40+Geography!Z44+Geology!Z39+Hist!Z42+JMC!Z39+Math!Z41+'Modern Language'!Z46+'Music Theatre Dance'!Z47+Philosophy!Z38+Physics!Z40+'Political Science'!Z42+Psych!Z40+SASW!Z44+Stats!Z41+'Women''s Studies'!Z41</f>
        <v>2783822</v>
      </c>
      <c r="AA41" s="1047"/>
      <c r="AB41" s="31"/>
      <c r="AC41" s="947">
        <f t="shared" ref="AC41:AC42" si="9">AVERAGE(V41,T41,R41,Z41,X41)</f>
        <v>2738545.4</v>
      </c>
    </row>
    <row r="42" spans="1:29" s="117" customFormat="1" x14ac:dyDescent="0.2">
      <c r="A42" s="118"/>
      <c r="B42" s="849" t="s">
        <v>247</v>
      </c>
      <c r="C42" s="847"/>
      <c r="D42" s="261"/>
      <c r="E42" s="183"/>
      <c r="F42" s="261"/>
      <c r="G42" s="183"/>
      <c r="H42" s="1438">
        <f>Dean_AS!H98+'Amer Ethnic Stud'!H40+Art!H39+Biochem!H41+Biology!H48+Chemistry!H43+'Comm Stud Th Dan - OLD'!H45+Economics!H43+English!H41+Geography!H45+Geology!H40+Hist!H43+JMC!H40+Kinesiology!H43+Math!H42+'Modern Language'!H47+'Music -OLD'!H43+Philosophy!H39+Physics!H41+'Political Science'!H43+Psych!H41+SASW!H45+Stats!H42+'Women''s Studies'!H43</f>
        <v>0</v>
      </c>
      <c r="I42" s="183"/>
      <c r="J42" s="261">
        <f>Dean_AS!J98+Art!J39+Biochem!J41+Biology!J48+Chemistry!J43+'Comm Stud Th Dan - OLD'!J45+Economics!J43+English!J41+Geography!J45+Geology!J40+Hist!J43+JMC!J40+Kinesiology!J43+Math!J42+'Modern Language'!J47+'Music -OLD'!J43+Philosophy!J39+Physics!J41+'Political Science'!J43+Psych!J41+SASW!J45+Stats!J42</f>
        <v>1156090</v>
      </c>
      <c r="K42" s="183"/>
      <c r="L42" s="261">
        <f>Dean_AS!L98+Art!L39+Biochem!L41+Biology!L48+Chemistry!L43+'Comm Stud Th Dan - OLD'!L45+Economics!L43+English!L41+Geography!L45+Geology!L40+Hist!L43+JMC!L40+Kinesiology!L43+Math!L42+'Modern Language'!L47+'Music -OLD'!L43+Philosophy!L39+Physics!L41+'Political Science'!L43+Psych!L41+SASW!L45+Stats!L42</f>
        <v>1162082</v>
      </c>
      <c r="M42" s="183"/>
      <c r="N42" s="261">
        <f>Dean_AS!N98+Art!N39+Biochem!N41+Biology!N48+Chemistry!N43+'Comm Stud Th Dan - OLD'!N45+Economics!N43+English!N41+Geography!N45+Geology!N40+Hist!N43+JMC!N40+Kinesiology!N43+Math!N42+'Modern Language'!N47+'Music -OLD'!N43+Philosophy!N39+Physics!N41+'Political Science'!N43+Psych!N41+SASW!N45+Stats!N42</f>
        <v>868309</v>
      </c>
      <c r="O42" s="183"/>
      <c r="P42" s="261">
        <f>Dean_AS!P98+Art!P39+Biochem!P41+Biology!P48+Chemistry!P43+'Comm Stud Th Dan - OLD'!P45+Economics!P43+English!P41+Geography!P45+Geology!P40+Hist!P43+JMC!P40+Kinesiology!P43+Math!P42+'Modern Language'!P47+'Music -OLD'!P43+Philosophy!P39+Physics!P41+'Political Science'!P43+Psych!P41+SASW!P45+Stats!P42</f>
        <v>869707</v>
      </c>
      <c r="Q42" s="183"/>
      <c r="R42" s="261">
        <f>Dean_AS!R98+Art!R39+Biochem!R41+Biology!R48+Chemistry!R43+'Comm Stud Th Dan - OLD'!R45+Economics!R43+English!R41+Geography!R45+Geology!R40+Hist!R43+JMC!R40+Kinesiology!R43+Math!R42+'Modern Language'!R47+'Music -OLD'!R43+Philosophy!R39+Physics!R41+'Political Science'!R43+Psych!R41+SASW!R45+Stats!R42</f>
        <v>873219</v>
      </c>
      <c r="S42" s="183"/>
      <c r="T42" s="261">
        <f>Dean_AS!T98+Art!T39+Biochem!T41+Biology!T48+Chemistry!T43+'Comm Stud Th Dan - OLD'!T45+Economics!T43+English!T41+Geography!T45+Geology!T40+Hist!T43+JMC!T40+Kinesiology!T43+Math!T42+'Modern Language'!T47+'Music -OLD'!T43+Philosophy!T39+Physics!T41+'Political Science'!T43+Psych!T41+SASW!T45+Stats!T42</f>
        <v>877324</v>
      </c>
      <c r="U42" s="183"/>
      <c r="V42" s="240">
        <f>Dean_AS!V98+'Amer Ethnic Stud'!V40+Art!V39+Biochem!V41+Biology!V48+Chemistry!V43+'Comm Studies '!V40+Economics!V43+English!V41+Geography!V45+Geology!V40+Hist!V43+JMC!V40+Kinesiology!V43+Math!V42+'Modern Language'!V47+'Music Theatre Dance'!V48+Philosophy!V39+Physics!V41+'Political Science'!V43+Psych!V41+SASW!V45+Stats!V42+'Women''s Studies'!V42</f>
        <v>848621</v>
      </c>
      <c r="W42" s="183"/>
      <c r="X42" s="240">
        <f>Dean_AS!X98+'Amer Ethnic Stud'!X40+Art!X39+Biochem!X41+Biology!X48+Chemistry!X43+'Comm Studies '!X40+Economics!X43+English!X41+Geography!X45+Geology!X40+Hist!X43+JMC!X40+Math!X42+'Modern Language'!X47+'Music Theatre Dance'!X48+Philosophy!X39+Physics!X41+'Political Science'!X43+Psych!X41+SASW!X45+Stats!X42+'Women''s Studies'!X42</f>
        <v>802003</v>
      </c>
      <c r="Y42" s="183"/>
      <c r="Z42" s="240">
        <f>Dean_AS!Z98+'Amer Ethnic Stud'!Z40+Art!Z39+Biochem!Z41+Biology!Z48+Chemistry!Z43+'Comm Studies '!Z40+Economics!Z43+English!Z41+Geography!Z45+Geology!Z40+Hist!Z43+JMC!Z40+Math!Z42+'Modern Language'!Z47+'Music Theatre Dance'!Z48+Philosophy!Z39+Physics!Z41+'Political Science'!Z43+Psych!Z41+SASW!Z45+Stats!Z42+'Women''s Studies'!Z42</f>
        <v>801810</v>
      </c>
      <c r="AA42" s="1047"/>
      <c r="AB42" s="31"/>
      <c r="AC42" s="947">
        <f t="shared" si="9"/>
        <v>840595.4</v>
      </c>
    </row>
    <row r="43" spans="1:29" s="117" customFormat="1" ht="24" x14ac:dyDescent="0.2">
      <c r="A43" s="118"/>
      <c r="B43" s="850" t="s">
        <v>248</v>
      </c>
      <c r="C43" s="847"/>
      <c r="D43" s="261">
        <f>Dean_AS!D99+'Amer Ethnic Stud'!D41+Art!D40+Biochem!D42+Biology!D49+Chemistry!D44+'Comm Stud Th Dan - OLD'!D46+Economics!D44+English!D42+Geography!D46+Geology!D41+Hist!D44+JMC!D41+Kinesiology!D44+Math!D43+'Modern Language'!D48+'Music -OLD'!D44+Philosophy!D40+Physics!D42+'Political Science'!D44+Psych!D42+SASW!D46+Stats!D43+'Women''s Studies'!D43</f>
        <v>3106324</v>
      </c>
      <c r="E43" s="183"/>
      <c r="F43" s="261">
        <f>Dean_AS!F99+'Amer Ethnic Stud'!F41+Art!F40+Biochem!F42+Biology!F49+Chemistry!F44+'Comm Stud Th Dan - OLD'!F46+Economics!F44+English!F42+Geography!F46+Geology!F41+Hist!F44+JMC!F41+Kinesiology!F44+Math!F43+'Modern Language'!F48+'Music -OLD'!F44+Philosophy!F40+Physics!F42+'Political Science'!F44+Psych!F42+SASW!F46+Stats!F43+'Women''s Studies'!F43</f>
        <v>6750551</v>
      </c>
      <c r="G43" s="183"/>
      <c r="H43" s="261">
        <f>Dean_AS!H99+'Amer Ethnic Stud'!H41+Art!H40+Biochem!H42+Biology!H49+Chemistry!H44+'Comm Stud Th Dan - OLD'!H46+Economics!H44+English!H42+Geography!H46+Geology!H41+Hist!H44+JMC!H41+Kinesiology!H44+Math!H43+'Modern Language'!H48+'Music -OLD'!H44+Philosophy!H40+Physics!H42+'Political Science'!H44+Psych!H42+SASW!H46+Stats!H43+'Women''s Studies'!H43</f>
        <v>8819186</v>
      </c>
      <c r="I43" s="183"/>
      <c r="J43" s="261">
        <f>Dean_AS!J99+Art!J40+Biochem!J42+Biology!J49+Chemistry!J44+'Comm Stud Th Dan - OLD'!J46+Economics!J44+English!J42+Geography!J46+Geology!J41+Hist!J44+JMC!J41+Kinesiology!J44+Math!J43+'Modern Language'!J48+'Music -OLD'!J44+Philosophy!J40+Physics!J42+'Political Science'!J44+Psych!J42+SASW!J46+Stats!J43</f>
        <v>7790261</v>
      </c>
      <c r="K43" s="183"/>
      <c r="L43" s="261">
        <f>Dean_AS!L99+Art!L40+Biochem!L42+Biology!L49+Chemistry!L44+'Comm Stud Th Dan - OLD'!L46+Economics!L44+English!L42+Geography!L46+Geology!L41+Hist!L44+JMC!L41+Kinesiology!L44+Math!L43+'Modern Language'!L48+'Music -OLD'!L44+Philosophy!L40+Physics!L42+'Political Science'!L44+Psych!L42+SASW!L46+Stats!L43</f>
        <v>7792611</v>
      </c>
      <c r="M43" s="183"/>
      <c r="N43" s="261">
        <f>Dean_AS!N99+Art!N40+Biochem!N42+Biology!N49+Chemistry!N44+'Comm Stud Th Dan - OLD'!N46+Economics!N44+English!N42+Geography!N46+Geology!N41+Hist!N44+JMC!N41+Kinesiology!N44+Math!N43+'Modern Language'!N48+'Music -OLD'!N44+Philosophy!N40+Physics!N42+'Political Science'!N44+Psych!N42+SASW!N46+Stats!N43</f>
        <v>7612849</v>
      </c>
      <c r="O43" s="183"/>
      <c r="P43" s="261">
        <f>Dean_AS!P99+Art!P40+Biochem!P42+Biology!P49+Chemistry!P44+'Comm Stud Th Dan - OLD'!P46+Economics!P44+English!P42+Geography!P46+Geology!P41+Hist!P44+JMC!P41+Kinesiology!P44+Math!P43+'Modern Language'!P48+'Music -OLD'!P44+Philosophy!P40+Physics!P42+'Political Science'!P44+Psych!P42+SASW!P46+Stats!P43</f>
        <v>7529335</v>
      </c>
      <c r="Q43" s="183"/>
      <c r="R43" s="261">
        <f>Dean_AS!R99+Art!R40+Biochem!R42+Biology!R49+Chemistry!R44+'Comm Stud Th Dan - OLD'!R46+Economics!R44+English!R42+Geography!R46+Geology!R41+Hist!R44+JMC!R41+Kinesiology!R44+Math!R43+'Modern Language'!R48+'Music -OLD'!R44+Philosophy!R40+Physics!R42+'Political Science'!R44+Psych!R42+SASW!R46+Stats!R43</f>
        <v>7540071</v>
      </c>
      <c r="S43" s="183"/>
      <c r="T43" s="261">
        <f>Dean_AS!T99+Art!T40+Biochem!T42+Biology!T49+Chemistry!T44+'Comm Stud Th Dan - OLD'!T46+Economics!T44+English!T42+Geography!T46+Geology!T41+Hist!T44+JMC!T41+Kinesiology!T44+Math!T43+'Modern Language'!T48+'Music -OLD'!T44+Philosophy!T40+Physics!T42+'Political Science'!T44+Psych!T42+SASW!T46+Stats!T43</f>
        <v>7537506</v>
      </c>
      <c r="U43" s="183"/>
      <c r="V43" s="240">
        <f>Dean_AS!V99+'Amer Ethnic Stud'!V41+Art!V40+Biochem!V42+Biology!V49+Chemistry!V44+'Comm Studies '!V41+Economics!V44+English!V42+Geography!V46+Geology!V41+Hist!V44+JMC!V41+Kinesiology!V44+Math!V43+'Modern Language'!V48+'Music Theatre Dance'!V49+Philosophy!V40+Physics!V42+'Political Science'!V44+Psych!V42+SASW!V46+Stats!V43+'Women''s Studies'!V43</f>
        <v>7535509</v>
      </c>
      <c r="W43" s="183"/>
      <c r="X43" s="240">
        <f>Dean_AS!X99+'Amer Ethnic Stud'!X41+Art!X40+Biochem!X42+Biology!X49+Chemistry!X44+'Comm Studies '!X41+Economics!X44+English!X42+Geography!X46+Geology!X41+Hist!X44+JMC!X41+Math!X43+'Modern Language'!X48+'Music Theatre Dance'!X49+Philosophy!X40+Physics!X42+'Political Science'!X44+Psych!X42+SASW!X46+Stats!X43+'Women''s Studies'!X43</f>
        <v>7594117</v>
      </c>
      <c r="Y43" s="183"/>
      <c r="Z43" s="240">
        <f>Dean_AS!Z99+'Amer Ethnic Stud'!Z41+Art!Z40+Biochem!Z42+Biology!Z49+Chemistry!Z44+'Comm Studies '!Z41+Economics!Z44+English!Z42+Geography!Z46+Geology!Z41+Hist!Z44+JMC!Z41+Math!Z43+'Modern Language'!Z48+'Music Theatre Dance'!Z49+Philosophy!Z40+Physics!Z42+'Political Science'!Z44+Psych!Z42+SASW!Z46+Stats!Z43+'Women''s Studies'!Z43</f>
        <v>7670169</v>
      </c>
      <c r="AA43" s="1047"/>
      <c r="AB43" s="31"/>
      <c r="AC43" s="947">
        <f t="shared" ref="AC43:AC45" si="10">AVERAGE(V43,T43,R43,Z43,X43)</f>
        <v>7575474.4000000004</v>
      </c>
    </row>
    <row r="44" spans="1:29" s="117" customFormat="1" x14ac:dyDescent="0.2">
      <c r="A44" s="118"/>
      <c r="B44" s="849" t="s">
        <v>74</v>
      </c>
      <c r="C44" s="129"/>
      <c r="D44" s="369">
        <f>SUM(D41:D43)</f>
        <v>5421869</v>
      </c>
      <c r="E44" s="139"/>
      <c r="F44" s="369">
        <f>SUM(F41:F43)</f>
        <v>9192217</v>
      </c>
      <c r="G44" s="139"/>
      <c r="H44" s="369">
        <f>SUM(H41:H43)</f>
        <v>11487616</v>
      </c>
      <c r="I44" s="139"/>
      <c r="J44" s="369">
        <f>SUM(J41:J43)</f>
        <v>11718225</v>
      </c>
      <c r="K44" s="139"/>
      <c r="L44" s="369">
        <f>SUM(L41:L43)</f>
        <v>11799959</v>
      </c>
      <c r="M44" s="139"/>
      <c r="N44" s="369">
        <f>SUM(N41:N43)</f>
        <v>11433266</v>
      </c>
      <c r="O44" s="139"/>
      <c r="P44" s="369">
        <f>SUM(P41:P43)</f>
        <v>11033841</v>
      </c>
      <c r="Q44" s="139"/>
      <c r="R44" s="369">
        <f>SUM(R41:R43)</f>
        <v>11082022</v>
      </c>
      <c r="S44" s="139"/>
      <c r="T44" s="369">
        <f>Dean_AS!T100+Art!T41+Biochem!T43+Biology!T50+Chemistry!T45+'Comm Stud Th Dan - OLD'!T47+Economics!T45+English!T43+Geography!T47+Geology!T42+Hist!T45+JMC!T42+Kinesiology!T45+Math!T44+'Modern Language'!T49+'Music -OLD'!T45+Philosophy!T41+Physics!T43+'Political Science'!T45+Psych!T43+SASW!T47+Stats!T44</f>
        <v>11083808</v>
      </c>
      <c r="U44" s="139"/>
      <c r="V44" s="240">
        <f>Dean_AS!V100+'Amer Ethnic Stud'!V42+Art!V41+Biochem!V43+Biology!V50+Chemistry!V45+'Comm Studies '!V42+Economics!V45+English!V43+Geography!V47+Geology!V42+Hist!V45+JMC!V42+Kinesiology!V45+Math!V44+'Modern Language'!V49+'Music Theatre Dance'!V50+Philosophy!V41+Physics!V43+'Political Science'!V45+Psych!V43+SASW!V47+Stats!V44+'Women''s Studies'!V44</f>
        <v>11175678</v>
      </c>
      <c r="W44" s="139"/>
      <c r="X44" s="240">
        <f>Dean_AS!X100+'Amer Ethnic Stud'!X42+Art!X41+Biochem!X43+Biology!X50+Chemistry!X45+'Comm Studies '!X42+Economics!X45+English!X43+Geography!X47+Geology!X42+Hist!X45+JMC!X42+Math!X44+'Modern Language'!X49+'Music Theatre Dance'!X50+Philosophy!X41+Physics!X43+'Political Science'!X45+Psych!X43+SASW!X47+Stats!X44+'Women''s Studies'!X44</f>
        <v>11175767</v>
      </c>
      <c r="Y44" s="139"/>
      <c r="Z44" s="240">
        <f>Dean_AS!Z100+'Amer Ethnic Stud'!Z42+Art!Z41+Biochem!Z43+Biology!Z50+Chemistry!Z45+'Comm Studies '!Z42+Economics!Z45+English!Z43+Geography!Z47+Geology!Z42+Hist!Z45+JMC!Z42+Math!Z44+'Modern Language'!Z49+'Music Theatre Dance'!Z50+Philosophy!Z41+Physics!Z43+'Political Science'!Z45+Psych!Z43+SASW!Z47+Stats!Z44+'Women''s Studies'!Z44</f>
        <v>11255801</v>
      </c>
      <c r="AA44" s="1047"/>
      <c r="AB44" s="31"/>
      <c r="AC44" s="947">
        <f t="shared" si="10"/>
        <v>11154615.199999999</v>
      </c>
    </row>
    <row r="45" spans="1:29" s="117" customFormat="1" x14ac:dyDescent="0.2">
      <c r="A45" s="118"/>
      <c r="B45" s="853" t="s">
        <v>172</v>
      </c>
      <c r="C45" s="129"/>
      <c r="D45" s="816">
        <f>D39+D44</f>
        <v>60799873</v>
      </c>
      <c r="E45" s="139"/>
      <c r="F45" s="816">
        <f>F39+F44</f>
        <v>69615666</v>
      </c>
      <c r="G45" s="251"/>
      <c r="H45" s="816">
        <f>H39+H44</f>
        <v>77407467</v>
      </c>
      <c r="I45" s="251"/>
      <c r="J45" s="816">
        <f>J39+J44</f>
        <v>79988369</v>
      </c>
      <c r="K45" s="251"/>
      <c r="L45" s="816">
        <f>L39+L44</f>
        <v>83252431</v>
      </c>
      <c r="M45" s="251"/>
      <c r="N45" s="816">
        <f>N39+N44</f>
        <v>85141295</v>
      </c>
      <c r="O45" s="251"/>
      <c r="P45" s="816">
        <f>P39+P44</f>
        <v>84915045</v>
      </c>
      <c r="Q45" s="251"/>
      <c r="R45" s="816">
        <f>R39+R44</f>
        <v>88364446</v>
      </c>
      <c r="S45" s="251"/>
      <c r="T45" s="816">
        <f>Dean_AS!T101+Art!T42+Biochem!T44+Biology!T51+Chemistry!T46+'Comm Stud Th Dan - OLD'!T48+Economics!T46+English!T44+Geography!T48+Geology!T43+Hist!T46+JMC!T43+Kinesiology!T46+Math!T45+'Modern Language'!T50+'Music -OLD'!T46+Philosophy!T42+Physics!T44+'Political Science'!T46+Psych!T44+SASW!T48+Stats!T45+'Amer Ethnic Stud'!T43+'Women''s Studies'!T45</f>
        <v>89763592</v>
      </c>
      <c r="U45" s="251"/>
      <c r="V45" s="240">
        <f>Dean_AS!V101+'Amer Ethnic Stud'!V43+Art!V42+Biochem!V44+Biology!V51+Chemistry!V46+'Comm Studies '!V43+Economics!V46+English!V44+Geography!V48+Geology!V43+Hist!V46+JMC!V43+Kinesiology!V46+Math!V45+'Modern Language'!V50+'Music Theatre Dance'!V51+Philosophy!V42+Physics!V44+'Political Science'!V46+Psych!V44+SASW!V48+Stats!V45+'Women''s Studies'!V45</f>
        <v>92212506</v>
      </c>
      <c r="W45" s="251"/>
      <c r="X45" s="240">
        <f>Dean_AS!X101+'Amer Ethnic Stud'!X43+Art!X42+Biochem!X44+Biology!X51+Chemistry!X46+'Comm Studies '!X43+Economics!X46+English!X44+Geography!X48+Geology!X43+Hist!X46+JMC!X43+Math!X45+'Modern Language'!X50+'Music Theatre Dance'!X51+Philosophy!X42+Physics!X44+'Political Science'!X46+Psych!X44+SASW!X48+Stats!X45+'Women''s Studies'!X45</f>
        <v>93919054</v>
      </c>
      <c r="Y45" s="251"/>
      <c r="Z45" s="240">
        <f>Dean_AS!Z101+'Amer Ethnic Stud'!Z43+Art!Z42+Biochem!Z44+Biology!Z51+Chemistry!Z46+'Comm Studies '!Z43+Economics!Z46+English!Z44+Geography!Z48+Geology!Z43+Hist!Z46+JMC!Z43+Math!Z45+'Modern Language'!Z50+'Music Theatre Dance'!Z51+Philosophy!Z42+Physics!Z44+'Political Science'!Z46+Psych!Z44+SASW!Z48+Stats!Z45+'Women''s Studies'!Z45</f>
        <v>97349632</v>
      </c>
      <c r="AA45" s="1047"/>
      <c r="AB45" s="113"/>
      <c r="AC45" s="947">
        <f t="shared" si="10"/>
        <v>92321846</v>
      </c>
    </row>
    <row r="46" spans="1:29" s="117" customFormat="1" x14ac:dyDescent="0.2">
      <c r="A46" s="118"/>
      <c r="B46" s="853"/>
      <c r="C46" s="129"/>
      <c r="D46" s="816"/>
      <c r="E46" s="139"/>
      <c r="F46" s="816"/>
      <c r="G46" s="251"/>
      <c r="H46" s="816"/>
      <c r="I46" s="251"/>
      <c r="J46" s="816"/>
      <c r="K46" s="251"/>
      <c r="L46" s="816"/>
      <c r="M46" s="251"/>
      <c r="N46" s="816"/>
      <c r="O46" s="251"/>
      <c r="P46" s="816"/>
      <c r="Q46" s="251"/>
      <c r="R46" s="816"/>
      <c r="S46" s="251"/>
      <c r="T46" s="816"/>
      <c r="U46" s="251"/>
      <c r="V46" s="240"/>
      <c r="W46" s="251"/>
      <c r="X46" s="240"/>
      <c r="Y46" s="251"/>
      <c r="Z46" s="240"/>
      <c r="AA46" s="1047"/>
      <c r="AB46" s="31"/>
      <c r="AC46" s="947"/>
    </row>
    <row r="47" spans="1:29" s="117" customFormat="1" ht="12.75" customHeight="1" x14ac:dyDescent="0.2">
      <c r="A47" s="118"/>
      <c r="B47" s="851" t="s">
        <v>145</v>
      </c>
      <c r="C47" s="129"/>
      <c r="D47" s="263">
        <f>D45+D46</f>
        <v>60799873</v>
      </c>
      <c r="E47" s="139"/>
      <c r="F47" s="263">
        <f>F45+F46</f>
        <v>69615666</v>
      </c>
      <c r="G47" s="139"/>
      <c r="H47" s="263">
        <f>H45+H46</f>
        <v>77407467</v>
      </c>
      <c r="I47" s="139"/>
      <c r="J47" s="263">
        <f>J45+J46</f>
        <v>79988369</v>
      </c>
      <c r="K47" s="139"/>
      <c r="L47" s="263">
        <f>L45+L46</f>
        <v>83252431</v>
      </c>
      <c r="M47" s="139"/>
      <c r="N47" s="263">
        <f>N45+N46</f>
        <v>85141295</v>
      </c>
      <c r="O47" s="139"/>
      <c r="P47" s="263">
        <f>P45+P46</f>
        <v>84915045</v>
      </c>
      <c r="Q47" s="139"/>
      <c r="R47" s="263">
        <f>R45+R46</f>
        <v>88364446</v>
      </c>
      <c r="S47" s="139"/>
      <c r="T47" s="263">
        <f>T45+T46</f>
        <v>89763592</v>
      </c>
      <c r="U47" s="249"/>
      <c r="V47" s="263">
        <f>V45+V46</f>
        <v>92212506</v>
      </c>
      <c r="W47" s="249"/>
      <c r="X47" s="263">
        <f>X45+X46</f>
        <v>93919054</v>
      </c>
      <c r="Y47" s="249"/>
      <c r="Z47" s="263">
        <f>Z45+Z46</f>
        <v>97349632</v>
      </c>
      <c r="AA47" s="1047"/>
      <c r="AB47" s="30"/>
      <c r="AC47" s="947">
        <f>AVERAGE(V47,T47,R47,Z47,X47)</f>
        <v>92321846</v>
      </c>
    </row>
    <row r="48" spans="1:29" s="117" customFormat="1" ht="12.75" customHeight="1" thickBot="1" x14ac:dyDescent="0.25">
      <c r="A48" s="118"/>
      <c r="B48" s="486" t="s">
        <v>173</v>
      </c>
      <c r="C48" s="243"/>
      <c r="D48" s="368"/>
      <c r="E48" s="138"/>
      <c r="F48" s="368"/>
      <c r="G48" s="136"/>
      <c r="H48" s="422"/>
      <c r="I48" s="136"/>
      <c r="J48" s="422"/>
      <c r="K48" s="367"/>
      <c r="L48" s="818"/>
      <c r="M48" s="367"/>
      <c r="N48" s="422"/>
      <c r="O48" s="136"/>
      <c r="P48" s="422"/>
      <c r="Q48" s="136"/>
      <c r="R48" s="422"/>
      <c r="S48" s="136" t="s">
        <v>29</v>
      </c>
      <c r="T48" s="422"/>
      <c r="U48" s="136" t="s">
        <v>29</v>
      </c>
      <c r="V48" s="240"/>
      <c r="W48" s="136" t="s">
        <v>29</v>
      </c>
      <c r="X48" s="240"/>
      <c r="Y48" s="136" t="s">
        <v>29</v>
      </c>
      <c r="Z48" s="240"/>
      <c r="AA48" s="1047" t="s">
        <v>29</v>
      </c>
      <c r="AB48" s="31"/>
      <c r="AC48" s="1041"/>
    </row>
    <row r="49" spans="1:31" s="117" customFormat="1" ht="12" x14ac:dyDescent="0.2">
      <c r="B49" s="586" t="s">
        <v>259</v>
      </c>
      <c r="C49" s="151"/>
      <c r="D49" s="248"/>
      <c r="E49" s="151"/>
      <c r="F49" s="248"/>
      <c r="G49" s="151"/>
      <c r="H49" s="248"/>
      <c r="I49" s="151"/>
      <c r="J49" s="814"/>
      <c r="K49" s="265"/>
      <c r="L49" s="814"/>
      <c r="M49" s="265"/>
      <c r="N49" s="248"/>
      <c r="O49" s="151"/>
      <c r="P49" s="248"/>
      <c r="Q49" s="151"/>
      <c r="R49" s="248"/>
      <c r="S49" s="151"/>
      <c r="T49" s="248"/>
      <c r="U49" s="151"/>
      <c r="V49" s="1916"/>
      <c r="W49" s="151"/>
      <c r="X49" s="248"/>
      <c r="Y49" s="151"/>
      <c r="Z49" s="152"/>
      <c r="AA49" s="1047"/>
      <c r="AB49" s="323"/>
      <c r="AC49" s="295"/>
    </row>
    <row r="50" spans="1:31" ht="24.95" customHeight="1" x14ac:dyDescent="0.2">
      <c r="A50" s="116"/>
      <c r="B50" s="1264" t="s">
        <v>44</v>
      </c>
      <c r="C50" s="153"/>
      <c r="D50" s="267">
        <f>Dean_AS!D103+Art!D44+Biochem!D46+Biology!D53+Chemistry!D48+Economics!D48+English!D46+Geography!D50+Geology!D45+Hist!D48+JMC!D45+Kinesiology!D48+Math!D47+'Modern Language'!D52+'Music -OLD'!D48+Philosophy!D44+Physics!D46+'Political Science'!D48+Psych!D46+SASW!D50+'Comm Stud Th Dan - OLD'!D50+Stats!D47</f>
        <v>37460326</v>
      </c>
      <c r="E50" s="153"/>
      <c r="F50" s="433">
        <f>Dean_AS!F103+Art!F44+Biochem!F46+Biology!F53+Chemistry!F48+Economics!F48+English!F46+Geography!F50+Geology!F45+Hist!F48+JMC!F45+Kinesiology!F48+Math!F47+'Modern Language'!F52+'Music -OLD'!F48+Philosophy!F44+Physics!F46+'Political Science'!F48+Psych!F46+SASW!F50+'Comm Stud Th Dan - OLD'!F50+Stats!F47</f>
        <v>40788231</v>
      </c>
      <c r="G50" s="153"/>
      <c r="H50" s="599">
        <f>Dean_AS!H103+Art!H44+Biochem!H46+Biology!H53+Chemistry!H48+Economics!H48+English!H46+Geography!H50+Geology!H45+Hist!H48+JMC!H45+Kinesiology!H48+Math!H47+'Modern Language'!H52+'Music -OLD'!H48+Philosophy!H44+Physics!H46+'Political Science'!H48+Psych!H46+SASW!H50+'Comm Stud Th Dan - OLD'!H50+Stats!H47</f>
        <v>45046622.32</v>
      </c>
      <c r="I50" s="600"/>
      <c r="J50" s="599">
        <f>Dean_AS!J103+Art!J44+Biochem!J46+Biology!J53+Chemistry!J48+Economics!J48+English!J46+Geography!J50+Geology!J45+Hist!J48+JMC!J45+Kinesiology!J48+Math!J47+'Modern Language'!J52+'Music -OLD'!J48+Philosophy!J44+Physics!J46+'Political Science'!J48+Psych!J46+SASW!J50+'Comm Stud Th Dan - OLD'!J50+Stats!J47+'Women''s Studies'!J47+Dean_AS!N103</f>
        <v>45964257.029999994</v>
      </c>
      <c r="K50" s="598"/>
      <c r="L50" s="1527">
        <f>Dean_AS!L103+Art!L44+Biochem!L46+Biology!L53+Chemistry!L48+Economics!L48+English!L46+Geography!L50+Geology!L45+Hist!L48+JMC!L45+Kinesiology!L48+Math!L47+'Modern Language'!L52+'Music -OLD'!L48+Philosophy!L44+Physics!L46+'Political Science'!L48+Psych!L46+SASW!L50+'Comm Stud Th Dan - OLD'!L50+Stats!L47</f>
        <v>45461778</v>
      </c>
      <c r="M50" s="598"/>
      <c r="N50" s="1520">
        <f>Dean_AS!N103+'Amer Ethnic Stud'!N45+Art!N44+Biochem!N46+Biology!N53+Chemistry!N48+'Comm Stud Th Dan - OLD'!N50+Economics!N48+English!N46+Geography!N50+Geology!N45+Hist!N48+JMC!N45+Kinesiology!N48+Math!N47+'Modern Language'!N52+'Music -OLD'!N48+Philosophy!N44+Physics!N46+'Political Science'!N48+Psych!N46+SASW!N50+Stats!N47+'Women''s Studies'!N47</f>
        <v>51407492</v>
      </c>
      <c r="O50" s="598"/>
      <c r="P50" s="1520">
        <f>Dean_AS!P103+'Amer Ethnic Stud'!P45+Art!P44+Biochem!P46+Biology!P53+Chemistry!P48+'Comm Stud Th Dan - OLD'!P50+Economics!P48+English!P46+Geography!P50+Geology!P45+Hist!P48+JMC!P45+Kinesiology!P48+Math!P47+'Modern Language'!P52+'Music -OLD'!P48+Philosophy!P44+Physics!P46+'Political Science'!P48+Psych!P46+SASW!P50+Stats!P47+'Women''s Studies'!P47</f>
        <v>49633600</v>
      </c>
      <c r="Q50" s="600"/>
      <c r="R50" s="599">
        <f>Dean_AS!R103+Art!R44+Biochem!R46+Biology!R53+Chemistry!R48+'Comm Stud Th Dan - OLD'!R50+Economics!R48+English!R46+Geography!R50+Geology!R45+Hist!R48+JMC!R45+Kinesiology!R48+Math!R47+'Modern Language'!R52+'Music -OLD'!R48+Philosophy!R44+Physics!R46+'Political Science'!R48+Psych!R46+SASW!R50+Stats!R47+'Amer Ethnic Stud'!R45+'Women''s Studies'!R47</f>
        <v>50050840.490000002</v>
      </c>
      <c r="S50" s="600"/>
      <c r="T50" s="599">
        <f>Dean_AS!T103+Art!T44+Biochem!T46+Biology!T53+Chemistry!T48+'Comm Studies '!T45+Economics!T48+English!T46+Geography!T50+Geology!T45+Hist!T48+JMC!T45+Kinesiology!T48+Math!T47+'Modern Language'!T52+'Music Theatre Dance'!T53+Philosophy!T44+Physics!T46+'Political Science'!T48+Psych!T46+SASW!T50+Stats!T47+'Amer Ethnic Stud'!T45+'Women''s Studies'!T47</f>
        <v>55744025</v>
      </c>
      <c r="U50" s="600"/>
      <c r="V50" s="599">
        <f>Dean_AS!V103+Art!V44+Biochem!V46+Biology!V53+Chemistry!V48+'Comm Studies '!V45+Economics!V48+English!V46+Geography!V50+Geology!V45+Hist!V48+JMC!V45++Math!V47+'Modern Language'!V52+'Music Theatre Dance'!V53+Philosophy!V44+Physics!V46+'Political Science'!V48+Psych!V46+SASW!V50+Stats!V47+'Amer Ethnic Stud'!V45+'Women''s Studies'!V47</f>
        <v>57164880</v>
      </c>
      <c r="W50" s="600"/>
      <c r="X50" s="599">
        <f>Dean_AS!X103+Art!X44+Biochem!X46+Biology!X53+Chemistry!X48+'Comm Studies '!X45+Economics!X48+English!X46+Geography!X50+Geology!X45+Hist!X48+JMC!X45++Math!X47+'Modern Language'!X52+'Music Theatre Dance'!X53+Philosophy!X44+Physics!X46+'Political Science'!X48+Psych!X46+SASW!X50+Stats!X47+'Amer Ethnic Stud'!X45+'Women''s Studies'!X47</f>
        <v>59335934.899999999</v>
      </c>
      <c r="Y50" s="600"/>
      <c r="Z50" s="1610"/>
      <c r="AA50" s="1045" t="s">
        <v>29</v>
      </c>
      <c r="AB50" s="108"/>
      <c r="AC50" s="949">
        <f>AVERAGE(V50,T50,R50,P50)</f>
        <v>53148336.372500002</v>
      </c>
    </row>
    <row r="51" spans="1:31" ht="12" customHeight="1" thickBot="1" x14ac:dyDescent="0.25">
      <c r="A51" s="116"/>
      <c r="B51" s="1265" t="s">
        <v>15</v>
      </c>
      <c r="C51" s="154"/>
      <c r="D51" s="267">
        <f>Dean_AS!D104+Art!D45+Biochem!D47+Biology!D54+Chemistry!D49+Economics!D49+English!D47+Geography!D51+Geology!D46+Hist!D49+JMC!D46+Kinesiology!D49+Math!D48+'Modern Language'!D53+'Music -OLD'!D49+Philosophy!D45+Physics!D47+'Political Science'!D49+Psych!D47+SASW!D51+'Comm Stud Th Dan - OLD'!D51+Stats!D48</f>
        <v>4482793</v>
      </c>
      <c r="E51" s="154"/>
      <c r="F51" s="516">
        <f>Dean_AS!F104+Art!F45+Biochem!F47+Biology!F54+Chemistry!F49+Economics!F49+English!F47+Geography!F51+Geology!F46+Hist!F49+JMC!F46+Kinesiology!F49+Math!F48+'Modern Language'!F53+'Music -OLD'!F49+Philosophy!F45+Physics!F47+'Political Science'!F49+Psych!F47+SASW!F51+'Comm Stud Th Dan - OLD'!F51+Stats!F48</f>
        <v>5235923</v>
      </c>
      <c r="G51" s="268"/>
      <c r="H51" s="603">
        <v>6916415</v>
      </c>
      <c r="I51" s="604"/>
      <c r="J51" s="603">
        <f>Dean_AS!J104+Art!J45+Biochem!J47+Biology!J54+Chemistry!J49+Economics!J49+English!J47+Geography!J51+Geology!J46+Hist!J49+JMC!J46+Kinesiology!J49+Math!J48+'Modern Language'!J53+'Music -OLD'!J49+Philosophy!J45+Physics!J47+'Political Science'!J49+Psych!J47+SASW!J51+'Comm Stud Th Dan - OLD'!J51+Stats!J48</f>
        <v>7132806</v>
      </c>
      <c r="K51" s="602"/>
      <c r="L51" s="1528">
        <f>Dean_AS!L104+Art!L45+Biochem!L47+Biology!L54+Chemistry!L49+Economics!L49+English!L47+Geography!L51+Geology!L46+Hist!L49+JMC!L46+Kinesiology!L49+Math!L48+'Modern Language'!L53+'Music -OLD'!L49+Philosophy!L45+Physics!L47+'Political Science'!L49+Psych!L47+SASW!L51+'Comm Stud Th Dan - OLD'!L51+Stats!L48</f>
        <v>10933338</v>
      </c>
      <c r="M51" s="602"/>
      <c r="N51" s="1520">
        <f>Dean_AS!N104+'Amer Ethnic Stud'!N46+Art!N45+Biochem!N47+Biology!N54+Chemistry!N49+'Comm Stud Th Dan - OLD'!N51+Economics!N49+English!N47+Geography!N51+Geology!N46+Hist!N49+JMC!N46+Kinesiology!N49+Math!N48+'Modern Language'!N53+'Music -OLD'!N49+Philosophy!N45+Physics!N47+'Political Science'!N49+Psych!N47+SASW!N51+Stats!N48+'Women''s Studies'!N48</f>
        <v>7460029</v>
      </c>
      <c r="O51" s="602"/>
      <c r="P51" s="1520">
        <f>Dean_AS!P104+'Amer Ethnic Stud'!P46+Art!P45+Biochem!P47+Biology!P54+Chemistry!P49+'Comm Stud Th Dan - OLD'!P51+Economics!P49+English!P47+Geography!P51+Geology!P46+Hist!P49+JMC!P46+Kinesiology!P49+Math!P48+'Modern Language'!P53+'Music -OLD'!P49+Philosophy!P45+Physics!P47+'Political Science'!P49+Psych!P47+SASW!P51+Stats!P48+'Women''s Studies'!P48</f>
        <v>6773661</v>
      </c>
      <c r="Q51" s="604"/>
      <c r="R51" s="603">
        <f>Dean_AS!R104+Art!R45+Biochem!R47+Biology!R54+Chemistry!R49+'Comm Stud Th Dan - OLD'!R51+Economics!R49+English!R47+Geography!R51+Geology!R46+Hist!R49+JMC!R46+Kinesiology!R49+Math!R48+'Modern Language'!R53+'Music -OLD'!R49+Philosophy!R45+Physics!R47+'Political Science'!R49+Psych!R47+SASW!R51+Stats!R48+'Women''s Studies'!R48</f>
        <v>6347263.0099999998</v>
      </c>
      <c r="S51" s="604"/>
      <c r="T51" s="603">
        <f>Dean_AS!T104+Art!T45+Biochem!T47+Biology!T54+Chemistry!T49+'Comm Studies '!T46+Economics!T49+English!T47+Geography!T51+Geology!T46+Hist!T49+JMC!T46+Kinesiology!T49+Math!T48+'Modern Language'!T53+'Music Theatre Dance'!T54+Philosophy!T45+Physics!T47+'Political Science'!T49+Psych!T47+SASW!T51+Stats!T48+'Amer Ethnic Stud'!T46+'Women''s Studies'!T48</f>
        <v>5968196.5999999987</v>
      </c>
      <c r="U51" s="604"/>
      <c r="V51" s="603">
        <f>Dean_AS!V104+Art!V45+Biochem!V47+Biology!V54+Chemistry!V49+'Comm Studies '!V46+Economics!V49+English!V47+Geography!V51+Geology!V46+Hist!V49+JMC!V46+Kinesiology!V49+Math!V48+'Modern Language'!V53+'Music Theatre Dance'!V54+Philosophy!V45+Physics!V47+'Political Science'!V49+Psych!V47+SASW!V51+Stats!V48+'Amer Ethnic Stud'!V46+'Women''s Studies'!V48</f>
        <v>5617744</v>
      </c>
      <c r="W51" s="604"/>
      <c r="X51" s="603">
        <f>Dean_AS!X104+Art!X45+Biochem!X47+Biology!X54+Chemistry!X49+'Comm Studies '!X46+Economics!X49+English!X47+Geography!X51+Geology!X46+Hist!X49+JMC!X46+Kinesiology!X49+Math!X48+'Modern Language'!X53+'Music Theatre Dance'!X54+Philosophy!X45+Physics!X47+'Political Science'!X49+Psych!X47+SASW!X51+Stats!X48+'Amer Ethnic Stud'!X46+'Women''s Studies'!X48</f>
        <v>6432964.7199999997</v>
      </c>
      <c r="Y51" s="604"/>
      <c r="Z51" s="1611"/>
      <c r="AA51" s="1045"/>
      <c r="AB51" s="1013"/>
      <c r="AC51" s="949">
        <f>AVERAGE(V51,T51,R51,P51)</f>
        <v>6176716.1524999999</v>
      </c>
    </row>
    <row r="52" spans="1:31" ht="12" customHeight="1" x14ac:dyDescent="0.2">
      <c r="A52" s="116"/>
      <c r="B52" s="80" t="s">
        <v>67</v>
      </c>
      <c r="C52" s="382" t="s">
        <v>133</v>
      </c>
      <c r="D52" s="381" t="s">
        <v>139</v>
      </c>
      <c r="E52" s="382" t="s">
        <v>133</v>
      </c>
      <c r="F52" s="382" t="s">
        <v>139</v>
      </c>
      <c r="G52" s="308" t="s">
        <v>133</v>
      </c>
      <c r="H52" s="417" t="s">
        <v>139</v>
      </c>
      <c r="I52" s="414" t="s">
        <v>133</v>
      </c>
      <c r="J52" s="417" t="s">
        <v>139</v>
      </c>
      <c r="K52" s="308" t="s">
        <v>133</v>
      </c>
      <c r="L52" s="352" t="s">
        <v>139</v>
      </c>
      <c r="M52" s="308" t="s">
        <v>133</v>
      </c>
      <c r="N52" s="417" t="s">
        <v>139</v>
      </c>
      <c r="O52" s="414" t="s">
        <v>133</v>
      </c>
      <c r="P52" s="417" t="s">
        <v>139</v>
      </c>
      <c r="Q52" s="414" t="s">
        <v>133</v>
      </c>
      <c r="R52" s="417" t="s">
        <v>139</v>
      </c>
      <c r="S52" s="414" t="s">
        <v>133</v>
      </c>
      <c r="T52" s="417" t="s">
        <v>139</v>
      </c>
      <c r="U52" s="414" t="s">
        <v>133</v>
      </c>
      <c r="V52" s="417" t="s">
        <v>139</v>
      </c>
      <c r="W52" s="414" t="s">
        <v>133</v>
      </c>
      <c r="X52" s="417" t="s">
        <v>139</v>
      </c>
      <c r="Y52" s="414" t="s">
        <v>133</v>
      </c>
      <c r="Z52" s="295" t="s">
        <v>139</v>
      </c>
      <c r="AA52" s="1045"/>
      <c r="AB52" s="323" t="s">
        <v>133</v>
      </c>
      <c r="AC52" s="295"/>
    </row>
    <row r="53" spans="1:31" ht="12" customHeight="1" x14ac:dyDescent="0.2">
      <c r="A53" s="116"/>
      <c r="B53" s="78" t="s">
        <v>147</v>
      </c>
      <c r="C53" s="108">
        <f t="shared" ref="C53:L53" si="11">C55-C54</f>
        <v>329</v>
      </c>
      <c r="D53" s="514">
        <f t="shared" si="11"/>
        <v>56969353</v>
      </c>
      <c r="E53" s="383">
        <f t="shared" si="11"/>
        <v>358</v>
      </c>
      <c r="F53" s="514">
        <f t="shared" si="11"/>
        <v>43150750</v>
      </c>
      <c r="G53" s="383">
        <f t="shared" si="11"/>
        <v>344</v>
      </c>
      <c r="H53" s="203">
        <f t="shared" si="11"/>
        <v>43208560</v>
      </c>
      <c r="I53" s="383">
        <f>I55-I54</f>
        <v>361</v>
      </c>
      <c r="J53" s="203">
        <f t="shared" si="11"/>
        <v>110747563</v>
      </c>
      <c r="K53" s="383">
        <f>K55-K54</f>
        <v>333</v>
      </c>
      <c r="L53" s="519">
        <f t="shared" si="11"/>
        <v>36245395</v>
      </c>
      <c r="M53" s="383">
        <f t="shared" ref="M53:R53" si="12">M55-M54</f>
        <v>371</v>
      </c>
      <c r="N53" s="203">
        <f t="shared" si="12"/>
        <v>61725870</v>
      </c>
      <c r="O53" s="383">
        <f t="shared" si="12"/>
        <v>348</v>
      </c>
      <c r="P53" s="203">
        <f t="shared" si="12"/>
        <v>50552181</v>
      </c>
      <c r="Q53" s="383">
        <f>Q55-Q54</f>
        <v>315</v>
      </c>
      <c r="R53" s="203">
        <f t="shared" si="12"/>
        <v>44079944</v>
      </c>
      <c r="S53" s="383">
        <f>Dean_AS!S106+'Amer Ethnic Stud'!S48+Art!S47+Biochem!S50+Biology!S57+Chemistry!S51+'Comm Studies '!S48+Economics!S51+English!S49+Geography!S53+Geology!S48+Hist!S51+JMC!S48+Kinesiology!S51+Math!S50+'Modern Language'!S55+'Music Theatre Dance'!S56+Philosophy!S47+Physics!S50+'Political Science'!S51+Psych!S49+SASW!S54+Stats!S51+'Women''s Studies'!S50+'Music -OLD'!S51+'Comm Stud Th Dan - OLD'!S53</f>
        <v>307</v>
      </c>
      <c r="T53" s="203">
        <f>Dean_AS!T106+'Amer Ethnic Stud'!T48+Art!T47+Biochem!T50+Biology!T57+Chemistry!T51+'Comm Studies '!T48+Economics!T51+English!T49+Geography!T53+Geology!T48+Hist!T51+JMC!T48+Kinesiology!T51+Math!T50+'Modern Language'!T55+'Music Theatre Dance'!T56+Philosophy!T47+Physics!T50+'Political Science'!T51+Psych!T49+SASW!T54+Stats!T51+'Women''s Studies'!T50+'Music -OLD'!T51+'Comm Stud Th Dan - OLD'!T53</f>
        <v>40789292</v>
      </c>
      <c r="U53" s="383">
        <f>Dean_AS!U106+'Amer Ethnic Stud'!U48+Art!U47+Biochem!U50+Biology!U57+Chemistry!U51+'Comm Studies '!U48+Economics!U51+English!U49+Geography!U53+Geology!U48+Hist!U51+JMC!U48+Math!U50+'Modern Language'!U55+'Music Theatre Dance'!U56+Philosophy!U47+Physics!U50+'Political Science'!U51+Psych!U49+SASW!U54+Stats!U51+'Women''s Studies'!U50</f>
        <v>286</v>
      </c>
      <c r="V53" s="203">
        <f>Dean_AS!V106+'Amer Ethnic Stud'!V48+Art!V47+Biochem!V50+Biology!V57+Chemistry!V51+'Comm Studies '!V48+Economics!V51+English!V49+Geography!V53+Geology!V48+Hist!V51+JMC!V48+Math!V50+'Modern Language'!V55+'Music Theatre Dance'!V56+Philosophy!V47+Physics!V50+'Political Science'!V51+Psych!V49+SASW!V54+Stats!V51+'Women''s Studies'!V50</f>
        <v>45435040</v>
      </c>
      <c r="W53" s="383">
        <f>Dean_AS!W106+'Amer Ethnic Stud'!W48+Art!W47+Biochem!W50+Biology!W57+Chemistry!W51+'Comm Studies '!W48+Economics!W51+English!W49+Geography!W53+Geology!W48+Hist!W51+JMC!W48+Math!W50+'Modern Language'!W55+'Music Theatre Dance'!W56+Philosophy!W47+Physics!W50+'Political Science'!W51+Psych!W49+SASW!W54+Stats!W51+'Women''s Studies'!W50</f>
        <v>311</v>
      </c>
      <c r="X53" s="203">
        <f>Dean_AS!X106+'Amer Ethnic Stud'!X48+Art!X47+Biochem!X50+Biology!X57+Chemistry!X51+'Comm Studies '!X48+Economics!X51+English!X49+Geography!X53+Geology!X48+Hist!X51+JMC!X48+Math!X50+'Modern Language'!X55+'Music Theatre Dance'!X56+Philosophy!X47+Physics!X50+'Political Science'!X51+Psych!X49+SASW!X54+Stats!X51+'Women''s Studies'!X50</f>
        <v>42748382</v>
      </c>
      <c r="Y53" s="1603"/>
      <c r="Z53" s="1604"/>
      <c r="AA53" s="1045"/>
      <c r="AB53" s="108">
        <f>AVERAGE(U53,S53,Q53,O53,W53)</f>
        <v>313.39999999999998</v>
      </c>
      <c r="AC53" s="951">
        <f>AVERAGE(V53,T53,R53,P53,X53)</f>
        <v>44720967.799999997</v>
      </c>
    </row>
    <row r="54" spans="1:31" ht="12" customHeight="1" x14ac:dyDescent="0.2">
      <c r="A54" s="116"/>
      <c r="B54" s="78" t="s">
        <v>146</v>
      </c>
      <c r="C54" s="108">
        <v>1</v>
      </c>
      <c r="D54" s="1131">
        <v>0</v>
      </c>
      <c r="E54" s="384">
        <v>2</v>
      </c>
      <c r="F54" s="1131">
        <v>0</v>
      </c>
      <c r="G54" s="532">
        <v>2</v>
      </c>
      <c r="H54" s="1131">
        <v>0</v>
      </c>
      <c r="I54" s="473">
        <v>0</v>
      </c>
      <c r="J54" s="1132">
        <v>0</v>
      </c>
      <c r="K54" s="532">
        <v>0</v>
      </c>
      <c r="L54" s="1133">
        <v>0</v>
      </c>
      <c r="M54" s="532">
        <v>0</v>
      </c>
      <c r="N54" s="1140">
        <v>0</v>
      </c>
      <c r="O54" s="532">
        <v>0</v>
      </c>
      <c r="P54" s="1140">
        <v>0</v>
      </c>
      <c r="Q54" s="532">
        <v>0</v>
      </c>
      <c r="R54" s="1140">
        <v>0</v>
      </c>
      <c r="S54" s="532">
        <v>1</v>
      </c>
      <c r="T54" s="1140">
        <v>90000</v>
      </c>
      <c r="U54" s="532">
        <f>Dean_AS!U107+'Amer Ethnic Stud'!U49+Art!U48+Biochem!U51+Biology!U58+Chemistry!U52+'Comm Studies '!U49+Economics!U52+English!U50+Geography!U54+Geology!U49+Hist!U52+JMC!U49+Math!U51+'Modern Language'!U56+'Music Theatre Dance'!U57+Philosophy!U48+Physics!U51+'Political Science'!U52+Psych!U50+SASW!U55+Stats!U52+'Women''s Studies'!U51</f>
        <v>0</v>
      </c>
      <c r="V54" s="1140">
        <f>Dean_AS!V107+'Amer Ethnic Stud'!V49+Art!V48+Biochem!V51+Biology!V58+Chemistry!V52+'Comm Studies '!V49+Economics!V52+English!V50+Geography!V54+Geology!V49+Hist!V52+JMC!V49+Math!V51+'Modern Language'!V56+'Music Theatre Dance'!V57+Philosophy!V48+Physics!V51+'Political Science'!V52+Psych!V50+SASW!V55+Stats!V52+'Women''s Studies'!V51</f>
        <v>0</v>
      </c>
      <c r="W54" s="532">
        <v>2</v>
      </c>
      <c r="X54" s="1140">
        <f>766187+210000</f>
        <v>976187</v>
      </c>
      <c r="Y54" s="1603"/>
      <c r="Z54" s="1605"/>
      <c r="AA54" s="1134"/>
      <c r="AB54" s="108">
        <f t="shared" ref="AB54:AB55" si="13">AVERAGE(U54,S54,Q54,O54,W54)</f>
        <v>0.6</v>
      </c>
      <c r="AC54" s="1125">
        <f t="shared" ref="AC54:AC55" si="14">AVERAGE(V54,T54,R54,P54,X54)</f>
        <v>213237.4</v>
      </c>
    </row>
    <row r="55" spans="1:31" ht="12" customHeight="1" thickBot="1" x14ac:dyDescent="0.25">
      <c r="A55" s="116"/>
      <c r="B55" s="336" t="s">
        <v>148</v>
      </c>
      <c r="C55" s="512">
        <f>Dean_AS!C106+Art!C47+Biochem!C50+Biology!C57+Chemistry!C51+Economics!C51+English!C49+Geography!C53+Geology!C48+Hist!C51+JMC!C48+Kinesiology!C51+Math!C50+'Modern Language'!C55+'Music -OLD'!C51+Philosophy!C47+Physics!C50+'Political Science'!C51+Psych!C49+SASW!C54+'Comm Stud Th Dan - OLD'!C53+Stats!C51</f>
        <v>330</v>
      </c>
      <c r="D55" s="533">
        <f>Dean_AS!D106+Art!D47+Biochem!D50+Biology!D57+Chemistry!D51+Economics!D51+English!D49+Geography!D53+Geology!D48+Hist!D51+JMC!D48+Kinesiology!D51+Math!D50+'Modern Language'!D55+'Music -OLD'!D51+Philosophy!D47+Physics!D50+'Political Science'!D51+Psych!D49+SASW!D54+'Comm Stud Th Dan - OLD'!D53+Stats!D51</f>
        <v>56969353</v>
      </c>
      <c r="E55" s="512">
        <f>Dean_AS!E106+Art!E47+Biochem!E50+Biology!E57+Chemistry!E51+Economics!E51+English!E49+Geography!E53+Geology!E48+Hist!E51+JMC!E48+Kinesiology!E51+Math!E50+'Modern Language'!E55+'Music -OLD'!E51+Philosophy!E47+Physics!E50+'Political Science'!E51+Psych!E49+SASW!E54+'Comm Stud Th Dan - OLD'!E53+Stats!E51</f>
        <v>360</v>
      </c>
      <c r="F55" s="513">
        <f>Dean_AS!F106+Art!F47+Biochem!F50+Biology!F57+Chemistry!F51+Economics!F51+English!F49+Geography!F53+Geology!F48+Hist!F51+JMC!F48+Kinesiology!F51+Math!F50+'Modern Language'!F55+'Music -OLD'!F51+Philosophy!F47+Physics!F50+'Political Science'!F51+Psych!F49+SASW!F54+'Comm Stud Th Dan - OLD'!F53+Stats!F51</f>
        <v>43150750</v>
      </c>
      <c r="G55" s="474">
        <f>Dean_AS!G106+Art!G47+Biochem!G50+Biology!G57+Chemistry!G51+Economics!G51+English!G49+Geography!G53+Geology!G48+Hist!G51+JMC!G48+Kinesiology!G51+Math!G50+'Modern Language'!G55+'Music -OLD'!G51+Philosophy!G47+Physics!G50+'Political Science'!G51+Psych!G49+SASW!G54+'Comm Stud Th Dan - OLD'!G53+Stats!G51</f>
        <v>346</v>
      </c>
      <c r="H55" s="513">
        <f>Dean_AS!H106+Art!H47+Biochem!H50+Biology!H57+Chemistry!H51+Economics!H51+English!H49+Geography!H53+Geology!H48+Hist!H51+JMC!H48+Kinesiology!H51+Math!H50+'Modern Language'!H55+'Music -OLD'!H51+Philosophy!H47+Physics!H50+'Political Science'!H51+Psych!H49+SASW!H54+'Comm Stud Th Dan - OLD'!H53+Stats!H51</f>
        <v>43208560</v>
      </c>
      <c r="I55" s="474">
        <f>Dean_AS!I106+Art!I47+Biochem!I50+Biology!I57+Chemistry!I51+Economics!I51+English!I49+Geography!I53+Geology!I48+Hist!I51+JMC!I48+Kinesiology!I51+Math!I50+'Modern Language'!I55+'Music -OLD'!I51+Philosophy!I47+Physics!I50+'Political Science'!I51+Psych!I49+SASW!I54+'Comm Stud Th Dan - OLD'!I53+Stats!I51</f>
        <v>361</v>
      </c>
      <c r="J55" s="533">
        <f>Dean_AS!J106+Art!J47+Biochem!J50+Biology!J57+Chemistry!J51+Economics!J51+English!J49+Geography!J53+Geology!J48+Hist!J51+JMC!J48+Kinesiology!J51+Math!J50+'Modern Language'!J55+'Music -OLD'!J51+Philosophy!J47+Physics!J50+'Political Science'!J51+Psych!J49+SASW!J54+'Comm Stud Th Dan - OLD'!J53+Stats!J51</f>
        <v>110747563</v>
      </c>
      <c r="K55" s="855">
        <f>Dean_AS!K106+Art!K47+Biochem!K50+Biology!K57+Chemistry!K51+Economics!K51+English!K49+Geography!K53+Geology!K48+Hist!K51+JMC!K48+Kinesiology!K51+Math!K50+'Modern Language'!K55+'Music -OLD'!K51+Philosophy!K47+Physics!K50+'Political Science'!K51+Psych!K49+SASW!K54+'Comm Stud Th Dan - OLD'!K53+Stats!K51</f>
        <v>333</v>
      </c>
      <c r="L55" s="1261">
        <f>Dean_AS!L106+Art!L47+Biochem!L50+Biology!L57+Chemistry!L51+Economics!L51+English!L49+Geography!L53+Geology!L48+Hist!L51+JMC!L48+Kinesiology!L51+Math!L50+'Modern Language'!L55+'Music -OLD'!L51+Philosophy!L47+Physics!L50+'Political Science'!L51+Psych!L49+SASW!L54+'Comm Stud Th Dan - OLD'!L53+Stats!L51</f>
        <v>36245395</v>
      </c>
      <c r="M55" s="855">
        <f>Dean_AS!M106+Art!M47+Biochem!M50+Biology!M57+Chemistry!M51+Economics!M51+English!M49+Geography!M53+Geology!M48+Hist!M51+JMC!M48+Kinesiology!M51+Math!M50+'Modern Language'!M55+'Music -OLD'!M51+Philosophy!M47+Physics!M50+'Political Science'!M51+Psych!M49+SASW!M54+'Comm Stud Th Dan - OLD'!M53+Stats!M51+1</f>
        <v>371</v>
      </c>
      <c r="N55" s="1261">
        <f>Dean_AS!N106+Art!N47+Biochem!N50+Biology!N57+Chemistry!N51+Economics!N51+English!N49+Geography!N53+Geology!N48+Hist!N51+JMC!N48+Kinesiology!N51+Math!N50+'Modern Language'!N55+'Music -OLD'!N51+Philosophy!N47+Physics!N50+'Political Science'!N51+Psych!N49+SASW!N54+'Comm Stud Th Dan - OLD'!N53+Stats!N51+19982</f>
        <v>61725870</v>
      </c>
      <c r="O55" s="855">
        <f>Dean_AS!O106+Art!O47+Biochem!O50+Biology!O57+Chemistry!O51+Economics!O51+English!O49+Geography!O53+Geology!O48+Hist!O51+JMC!O48+Kinesiology!O51+Math!O50+'Modern Language'!O55+'Music -OLD'!O51+Philosophy!O47+Physics!O50+'Political Science'!O51+Psych!O49+SASW!O54+'Comm Stud Th Dan - OLD'!O53+Stats!O51</f>
        <v>348</v>
      </c>
      <c r="P55" s="1261">
        <f>Dean_AS!P106+Art!P47+Biochem!P50+Biology!P57+Chemistry!P51+Economics!P51+English!P49+Geography!P53+Geology!P48+Hist!P51+JMC!P48+Kinesiology!P51+Math!P50+'Modern Language'!P55+'Music -OLD'!P51+Philosophy!P47+Physics!P50+'Political Science'!P51+Psych!P49+SASW!P54+'Comm Stud Th Dan - OLD'!P53+Stats!P51</f>
        <v>50552181</v>
      </c>
      <c r="Q55" s="855">
        <f>Dean_AS!Q106+Art!Q47+Biochem!Q50+Biology!Q57+Chemistry!Q51+Economics!Q51+English!Q49+Geography!Q53+Geology!Q48+Hist!Q51+JMC!Q48+Kinesiology!Q51+Math!Q50+'Modern Language'!Q55+'Music -OLD'!Q51+Philosophy!Q47+Physics!Q50+'Political Science'!Q51+Psych!Q49+SASW!Q54+'Comm Stud Th Dan - OLD'!Q53+Stats!Q51+'Women''s Studies'!Q50</f>
        <v>315</v>
      </c>
      <c r="R55" s="1261">
        <f>Dean_AS!R106+Art!R47+Biochem!R50+Biology!R57+Chemistry!R51+Economics!R51+English!R49+Geography!R53+Geology!R48+Hist!R51+JMC!R48+Kinesiology!R51+Math!R50+'Modern Language'!R55+'Music -OLD'!R51+Philosophy!R47+Physics!R50+'Political Science'!R51+Psych!R49+SASW!R54+'Comm Stud Th Dan - OLD'!R53+Stats!R51+'Women''s Studies'!R50</f>
        <v>44079944</v>
      </c>
      <c r="S55" s="855">
        <f>S53+S54</f>
        <v>308</v>
      </c>
      <c r="T55" s="1261">
        <f>Dean_AS!T106+Art!T47+Biochem!T50+Biology!T57+Chemistry!T51+Economics!T51+English!T49+Geography!T53+Geology!T48+Hist!T51+JMC!T48+Kinesiology!T51+Math!T50+'Modern Language'!T55+'Music -OLD'!T51+Philosophy!T47+Physics!T50+'Political Science'!T51+Psych!T49+SASW!T54+'Comm Stud Th Dan - OLD'!T53+Stats!T51+'Women''s Studies'!T50</f>
        <v>40789292</v>
      </c>
      <c r="U55" s="855">
        <f>U53+U54</f>
        <v>286</v>
      </c>
      <c r="V55" s="855">
        <f>V53+V54</f>
        <v>45435040</v>
      </c>
      <c r="W55" s="1943">
        <f>W53+W54</f>
        <v>313</v>
      </c>
      <c r="X55" s="1261">
        <f>X53+X54</f>
        <v>43724569</v>
      </c>
      <c r="Y55" s="1606"/>
      <c r="Z55" s="1607"/>
      <c r="AA55" s="1045"/>
      <c r="AB55" s="839">
        <f t="shared" si="13"/>
        <v>314</v>
      </c>
      <c r="AC55" s="1009">
        <f t="shared" si="14"/>
        <v>44916205.200000003</v>
      </c>
    </row>
    <row r="56" spans="1:31" ht="12" customHeight="1" thickTop="1" x14ac:dyDescent="0.2">
      <c r="A56" s="116"/>
      <c r="B56" s="1559" t="s">
        <v>16</v>
      </c>
      <c r="C56" s="380"/>
      <c r="D56" s="67"/>
      <c r="E56" s="380"/>
      <c r="F56" s="200"/>
      <c r="G56" s="386"/>
      <c r="H56" s="270"/>
      <c r="I56" s="352"/>
      <c r="J56" s="270"/>
      <c r="K56" s="386"/>
      <c r="L56" s="808"/>
      <c r="M56" s="386"/>
      <c r="N56" s="1260"/>
      <c r="O56" s="386"/>
      <c r="P56" s="1260"/>
      <c r="Q56" s="386"/>
      <c r="R56" s="1260"/>
      <c r="S56" s="386"/>
      <c r="T56" s="1260"/>
      <c r="U56" s="352"/>
      <c r="V56" s="1260"/>
      <c r="W56" s="352"/>
      <c r="X56" s="1260"/>
      <c r="Y56" s="352"/>
      <c r="Z56" s="801"/>
      <c r="AA56" s="1045"/>
      <c r="AB56" s="109"/>
      <c r="AC56" s="1030"/>
      <c r="AE56" s="116" t="s">
        <v>29</v>
      </c>
    </row>
    <row r="57" spans="1:31" s="117" customFormat="1" ht="11.45" customHeight="1" x14ac:dyDescent="0.2">
      <c r="B57" s="77" t="s">
        <v>147</v>
      </c>
      <c r="C57" s="518">
        <f t="shared" ref="C57:L57" si="15">C59-C58</f>
        <v>179</v>
      </c>
      <c r="D57" s="519">
        <f t="shared" si="15"/>
        <v>25075194</v>
      </c>
      <c r="E57" s="518">
        <f t="shared" si="15"/>
        <v>183</v>
      </c>
      <c r="F57" s="203">
        <f t="shared" si="15"/>
        <v>26874852.050000004</v>
      </c>
      <c r="G57" s="518">
        <f t="shared" si="15"/>
        <v>211</v>
      </c>
      <c r="H57" s="519">
        <f t="shared" si="15"/>
        <v>29580755</v>
      </c>
      <c r="I57" s="518">
        <f t="shared" si="15"/>
        <v>194</v>
      </c>
      <c r="J57" s="203">
        <f t="shared" si="15"/>
        <v>24228930</v>
      </c>
      <c r="K57" s="856">
        <f t="shared" si="15"/>
        <v>169</v>
      </c>
      <c r="L57" s="854">
        <f t="shared" si="15"/>
        <v>25501250</v>
      </c>
      <c r="M57" s="856">
        <f t="shared" ref="M57:R57" si="16">M59-M58</f>
        <v>155</v>
      </c>
      <c r="N57" s="1204">
        <f t="shared" si="16"/>
        <v>21583117</v>
      </c>
      <c r="O57" s="856">
        <f t="shared" si="16"/>
        <v>166</v>
      </c>
      <c r="P57" s="1204">
        <f t="shared" si="16"/>
        <v>23617784</v>
      </c>
      <c r="Q57" s="856">
        <f t="shared" si="16"/>
        <v>161</v>
      </c>
      <c r="R57" s="1204">
        <f t="shared" si="16"/>
        <v>25496058</v>
      </c>
      <c r="S57" s="856">
        <f>'Comm Stud Th Dan - OLD'!S55+'Music -OLD'!S53+'Women''s Studies'!S52+Stats!S53+SASW!S56+Psych!S51+'Political Science'!S53+Physics!S52+Philosophy!S49+'Music Theatre Dance'!S58+'Modern Language'!S57+Math!S52+Kinesiology!S53+JMC!S50+Hist!S53+Geology!S50+Geography!S55+English!S51+Economics!S53+'Comm Studies '!S50+Chemistry!S53+Biology!S59+Biochem!S52+Art!S49+'Amer Ethnic Stud'!S50+Dean_AS!S108</f>
        <v>156</v>
      </c>
      <c r="T57" s="1204">
        <f>'Comm Stud Th Dan - OLD'!T55+'Music -OLD'!T53+'Women''s Studies'!T52+Stats!T53+SASW!T56+Psych!T51+'Political Science'!T53+Physics!T52+Philosophy!T49+'Music Theatre Dance'!T58+'Modern Language'!T57+Math!T52+Kinesiology!T53+JMC!T50+Hist!T53+Geology!T50+Geography!T55+English!T51+Economics!T53+'Comm Studies '!T50+Chemistry!T53+Biology!T59+Biochem!T52+Art!T49+'Amer Ethnic Stud'!T50+Dean_AS!T108</f>
        <v>23799683</v>
      </c>
      <c r="U57" s="856">
        <f>'Comm Stud Th Dan - OLD'!U55+'Music -OLD'!U53+'Women''s Studies'!U52+Stats!U53+SASW!U56+Psych!U51+'Political Science'!U53+Physics!U52+Philosophy!U49+'Music Theatre Dance'!U58+'Modern Language'!U57+Math!U52+Kinesiology!U53+JMC!U50+Hist!U53+Geology!U50+Geography!U55+English!U51+Economics!U53+'Comm Studies '!U50+Chemistry!U53+Biology!U59+Biochem!U52+Art!U49+'Amer Ethnic Stud'!U50+Dean_AS!U108</f>
        <v>131</v>
      </c>
      <c r="V57" s="1204">
        <f>'Comm Stud Th Dan - OLD'!V55+'Music -OLD'!V53+'Women''s Studies'!V52+Stats!V53+SASW!V56+Psych!V51+'Political Science'!V53+Physics!V52+Philosophy!V49+'Music Theatre Dance'!V58+'Modern Language'!V57+Math!V52+Kinesiology!V53+JMC!V50+Hist!V53+Geology!V50+Geography!V55+English!V51+Economics!V53+'Comm Studies '!V50+Chemistry!V53+Biology!V59+Biochem!V52+Art!V49+'Amer Ethnic Stud'!V50+Dean_AS!V108</f>
        <v>20152195</v>
      </c>
      <c r="W57" s="856">
        <f>'Comm Stud Th Dan - OLD'!W55+'Music -OLD'!W53+'Women''s Studies'!W52+Stats!W53+SASW!W56+Psych!W51+'Political Science'!W53+Physics!W52+Philosophy!W49+'Music Theatre Dance'!W58+'Modern Language'!W57+Math!W52+Kinesiology!W53+JMC!W50+Hist!W53+Geology!W50+Geography!W55+English!W51+Economics!W53+'Comm Studies '!W50+Chemistry!W53+Biology!W59+Biochem!W52+Art!W49+'Amer Ethnic Stud'!W50+Dean_AS!W108</f>
        <v>161</v>
      </c>
      <c r="X57" s="1204">
        <f>'Women''s Studies'!X52+Stats!X53+SASW!X56+Psych!X51+'Political Science'!X53+Physics!X52+Philosophy!X49+'Music Theatre Dance'!X58+'Modern Language'!X57+Math!X52+JMC!X50+Hist!X53+Geology!X50+Geography!X55+English!X51+Economics!X53+'Comm Studies '!X50+Chemistry!X53+Biology!X59+Biochem!X52+Art!X49+'Amer Ethnic Stud'!X50+Dean_AS!X108</f>
        <v>23341935</v>
      </c>
      <c r="Y57" s="1608"/>
      <c r="Z57" s="1604"/>
      <c r="AA57" s="1047"/>
      <c r="AB57" s="1013">
        <f t="shared" ref="AB57:AB59" si="17">AVERAGE(U57,S57,Q57,O57,W57)</f>
        <v>155</v>
      </c>
      <c r="AC57" s="951">
        <f t="shared" ref="AC57:AC58" si="18">AVERAGE(V57,T57,R57,P57,X57)</f>
        <v>23281531</v>
      </c>
    </row>
    <row r="58" spans="1:31" s="117" customFormat="1" ht="11.45" customHeight="1" x14ac:dyDescent="0.2">
      <c r="B58" s="78" t="s">
        <v>146</v>
      </c>
      <c r="C58" s="385">
        <v>5</v>
      </c>
      <c r="D58" s="520">
        <v>319947</v>
      </c>
      <c r="E58" s="383"/>
      <c r="F58" s="195"/>
      <c r="G58" s="530">
        <v>1</v>
      </c>
      <c r="H58" s="531">
        <v>60374</v>
      </c>
      <c r="I58" s="914">
        <v>0</v>
      </c>
      <c r="J58" s="545">
        <v>0</v>
      </c>
      <c r="K58" s="530">
        <v>0</v>
      </c>
      <c r="L58" s="252">
        <v>0</v>
      </c>
      <c r="M58" s="530">
        <v>0</v>
      </c>
      <c r="N58" s="510">
        <v>0</v>
      </c>
      <c r="O58" s="530">
        <v>0</v>
      </c>
      <c r="P58" s="510">
        <v>0</v>
      </c>
      <c r="Q58" s="530">
        <v>0</v>
      </c>
      <c r="R58" s="510">
        <v>0</v>
      </c>
      <c r="S58" s="530">
        <v>0</v>
      </c>
      <c r="T58" s="510">
        <v>0</v>
      </c>
      <c r="U58" s="530">
        <v>0</v>
      </c>
      <c r="V58" s="510">
        <v>0</v>
      </c>
      <c r="W58" s="530">
        <v>0</v>
      </c>
      <c r="X58" s="510">
        <v>0</v>
      </c>
      <c r="Y58" s="1594"/>
      <c r="Z58" s="1584"/>
      <c r="AA58" s="1047"/>
      <c r="AB58" s="1013">
        <f t="shared" si="17"/>
        <v>0</v>
      </c>
      <c r="AC58" s="949">
        <f t="shared" si="18"/>
        <v>0</v>
      </c>
    </row>
    <row r="59" spans="1:31" s="117" customFormat="1" ht="12" x14ac:dyDescent="0.2">
      <c r="B59" s="73" t="s">
        <v>149</v>
      </c>
      <c r="C59" s="475">
        <f>Dean_AS!C108+Art!C49+Biochem!C52+Biology!C59+Chemistry!C53+Economics!C53+English!C51+Geography!C55+Geology!C50+Hist!C53+JMC!C50+Kinesiology!C53+Math!C52+'Modern Language'!C57+'Music -OLD'!C53+Philosophy!C49+Physics!C52+'Political Science'!C53+Psych!C51+SASW!C56+'Comm Stud Th Dan - OLD'!C55+Stats!C53</f>
        <v>184</v>
      </c>
      <c r="D59" s="521">
        <f>Dean_AS!D108+Art!D49+Biochem!D52+Biology!D59+Chemistry!D53+Economics!D53+English!D51+Geography!D55+Geology!D50+Hist!D53+JMC!D50+Kinesiology!D53+Math!D52+'Modern Language'!D57+'Music -OLD'!D53+Philosophy!D49+Physics!D52+'Political Science'!D53+Psych!D51+SASW!D56+'Comm Stud Th Dan - OLD'!D55+Stats!D53</f>
        <v>25395141</v>
      </c>
      <c r="E59" s="383">
        <f>Dean_AS!E108+Art!E49+Biochem!E52+Biology!E59+Chemistry!E53+Economics!E53+English!E51+Geography!E55+Geology!E50+Hist!E53+JMC!E50+Kinesiology!E53+Math!E52+'Modern Language'!E57+'Music -OLD'!E53+Philosophy!E49+Physics!E52+'Political Science'!E53+Psych!E51+SASW!E56+'Comm Stud Th Dan - OLD'!E55+Stats!E53</f>
        <v>183</v>
      </c>
      <c r="F59" s="511">
        <f>Dean_AS!F108+Art!F49+Biochem!F52+Biology!F59+Chemistry!F53+Economics!F53+English!F51+Geography!F55+Geology!F50+Hist!F53+JMC!F50+Kinesiology!F53+Math!F52+'Modern Language'!F57+'Music -OLD'!F53+Philosophy!F49+Physics!F52+'Political Science'!F53+Psych!F51+SASW!F56+'Comm Stud Th Dan - OLD'!F55+Stats!F53</f>
        <v>26874852.050000004</v>
      </c>
      <c r="G59" s="476">
        <f>Dean_AS!G108+Art!G49+Biochem!G52+Biology!G59+Chemistry!G53+Economics!G53+English!G51+Geography!G55+Geology!G50+Hist!G53+JMC!G50+Kinesiology!G53+Math!G52+'Modern Language'!G57+'Music -OLD'!G53+Philosophy!G49+Physics!G52+'Political Science'!G53+Psych!G51+SASW!G56+'Comm Stud Th Dan - OLD'!G55+Stats!G53</f>
        <v>212</v>
      </c>
      <c r="H59" s="510">
        <v>29641129</v>
      </c>
      <c r="I59" s="477">
        <f>Dean_AS!I108+Art!I49+Biochem!I52+Biology!I59+Chemistry!I53+Economics!I53+English!I51+Geography!I55+Geology!I50+Hist!I53+JMC!I50+Kinesiology!I53+Math!I52+'Modern Language'!I57+'Music -OLD'!I53+Philosophy!I49+Physics!I52+'Political Science'!I53+Psych!I51+SASW!I56+'Comm Stud Th Dan - OLD'!I55+Stats!I53</f>
        <v>194</v>
      </c>
      <c r="J59" s="510">
        <f>Dean_AS!J108+Art!J49+Biochem!J52+Biology!J59+Chemistry!J53+Economics!J53+English!J51+Geography!J55+Geology!J50+Hist!J53+JMC!J50+Kinesiology!J53+Math!J52+'Modern Language'!J57+'Music -OLD'!J53+Philosophy!J49+Physics!J52+'Political Science'!J53+Psych!J51+SASW!J56+'Comm Stud Th Dan - OLD'!J55+Stats!J53</f>
        <v>24228930</v>
      </c>
      <c r="K59" s="476">
        <f>Dean_AS!K108+Art!K49+Biochem!K52+Biology!K59+Chemistry!K53+Economics!K53+English!K51+Geography!K55+Geology!K50+Hist!K53+JMC!K50+Kinesiology!K53+Math!K52+'Modern Language'!K57+'Music -OLD'!K53+Philosophy!K49+Physics!K52+'Political Science'!K53+Psych!K51+SASW!K56+'Comm Stud Th Dan - OLD'!K55+Stats!K53</f>
        <v>169</v>
      </c>
      <c r="L59" s="525">
        <f>Dean_AS!L108+Art!L49+Biochem!L52+Biology!L59+Chemistry!L53+Economics!L53+English!L51+Geography!L55+Geology!L50+Hist!L53+JMC!L50+Kinesiology!L53+Math!L52+'Modern Language'!L57+'Music -OLD'!L53+Philosophy!L49+Physics!L52+'Political Science'!L53+Psych!L51+SASW!L56+'Comm Stud Th Dan - OLD'!L55+Stats!L53</f>
        <v>25501250</v>
      </c>
      <c r="M59" s="532">
        <f>Dean_AS!M108+Art!M49+Biochem!M52+Biology!M59+Chemistry!M53+Economics!M53+English!M51+Geography!M55+Geology!M50+Hist!M53+JMC!M50+Kinesiology!M53+Math!M52+'Modern Language'!M57+'Music -OLD'!M53+Philosophy!M49+Physics!M52+'Political Science'!M53+Psych!M51+SASW!M56+'Comm Stud Th Dan - OLD'!M55+Stats!M53+1</f>
        <v>155</v>
      </c>
      <c r="N59" s="439">
        <f>Dean_AS!N108+Art!N49+Biochem!N52+Biology!N59+Chemistry!N53+Economics!N53+English!N51+Geography!N55+Geology!N50+Hist!N53+JMC!N50+Kinesiology!N53+Math!N52+'Modern Language'!N57+'Music -OLD'!N53+Philosophy!N49+Physics!N52+'Political Science'!N53+Psych!N51+SASW!N56+'Comm Stud Th Dan - OLD'!N55+Stats!N53+24118</f>
        <v>21583117</v>
      </c>
      <c r="O59" s="532">
        <f>Dean_AS!O108+Art!O49+Biochem!O52+Biology!O59+Chemistry!O53+Economics!O53+English!O51+Geography!O55+Geology!O50+Hist!O53+JMC!O50+Kinesiology!O53+Math!O52+'Modern Language'!O57+'Music -OLD'!O53+Philosophy!O49+Physics!O52+'Political Science'!O53+Psych!O51+SASW!O56+'Comm Stud Th Dan - OLD'!O55+Stats!O53</f>
        <v>166</v>
      </c>
      <c r="P59" s="439">
        <f>Dean_AS!P108+Art!P49+Biochem!P52+Biology!P59+Chemistry!P53+Economics!P53+English!P51+Geography!P55+Geology!P50+Hist!P53+JMC!P50+Kinesiology!P53+Math!P52+'Modern Language'!P57+'Music -OLD'!P53+Philosophy!P49+Physics!P52+'Political Science'!P53+Psych!P51+SASW!P56+'Comm Stud Th Dan - OLD'!P55+Stats!P53</f>
        <v>23617784</v>
      </c>
      <c r="Q59" s="532">
        <f>Dean_AS!Q108+Art!Q49+Biochem!Q52+Biology!Q59+Chemistry!Q53+Economics!Q53+English!Q51+Geography!Q55+Geology!Q50+Hist!Q53+JMC!Q50+Kinesiology!Q53+Math!Q52+'Modern Language'!Q57+'Music -OLD'!Q53+Philosophy!Q49+Physics!Q52+'Political Science'!Q53+Psych!Q51+SASW!Q56+'Comm Stud Th Dan - OLD'!Q55+Stats!Q53+'Women''s Studies'!Q52</f>
        <v>161</v>
      </c>
      <c r="R59" s="439">
        <f>Dean_AS!R108+Art!R49+Biochem!R52+Biology!R59+Chemistry!R53+Economics!R53+English!R51+Geography!R55+Geology!R50+Hist!R53+JMC!R50+Kinesiology!R53+Math!R52+'Modern Language'!R57+'Music -OLD'!R53+Philosophy!R49+Physics!R52+'Political Science'!R53+Psych!R51+SASW!R56+'Comm Stud Th Dan - OLD'!R55+Stats!R53+'Women''s Studies'!R52</f>
        <v>25496058</v>
      </c>
      <c r="S59" s="532">
        <f>S57-S58</f>
        <v>156</v>
      </c>
      <c r="T59" s="439">
        <f>T57-T58</f>
        <v>23799683</v>
      </c>
      <c r="U59" s="532">
        <f>U57+U58</f>
        <v>131</v>
      </c>
      <c r="V59" s="439">
        <f>V57+V58</f>
        <v>20152195</v>
      </c>
      <c r="W59" s="532">
        <f>W57+W58</f>
        <v>161</v>
      </c>
      <c r="X59" s="439">
        <f>X57+X58</f>
        <v>23341935</v>
      </c>
      <c r="Y59" s="1592"/>
      <c r="Z59" s="1586"/>
      <c r="AA59" s="1047"/>
      <c r="AB59" s="108">
        <f t="shared" si="17"/>
        <v>155</v>
      </c>
      <c r="AC59" s="1041">
        <f>AVERAGE(V59,T59,R59,P59,X59)</f>
        <v>23281531</v>
      </c>
      <c r="AE59" s="117" t="s">
        <v>29</v>
      </c>
    </row>
    <row r="60" spans="1:31" s="117" customFormat="1" thickBot="1" x14ac:dyDescent="0.25">
      <c r="B60" s="1560"/>
      <c r="C60" s="370"/>
      <c r="D60" s="371"/>
      <c r="E60" s="537"/>
      <c r="F60" s="372"/>
      <c r="G60" s="373"/>
      <c r="H60" s="423"/>
      <c r="I60" s="421"/>
      <c r="J60" s="423"/>
      <c r="K60" s="373"/>
      <c r="L60" s="421"/>
      <c r="M60" s="373"/>
      <c r="N60" s="423"/>
      <c r="O60" s="421"/>
      <c r="P60" s="423"/>
      <c r="Q60" s="421"/>
      <c r="R60" s="423"/>
      <c r="S60" s="421"/>
      <c r="T60" s="423"/>
      <c r="U60" s="421"/>
      <c r="V60" s="423"/>
      <c r="W60" s="421" t="s">
        <v>29</v>
      </c>
      <c r="X60" s="423"/>
      <c r="Y60" s="421"/>
      <c r="Z60" s="387"/>
      <c r="AA60" s="1047"/>
      <c r="AB60" s="1046"/>
      <c r="AC60" s="1046"/>
      <c r="AD60" s="857"/>
    </row>
    <row r="61" spans="1:31" s="117" customFormat="1" ht="12" x14ac:dyDescent="0.2">
      <c r="B61" s="586" t="s">
        <v>84</v>
      </c>
      <c r="C61" s="288"/>
      <c r="D61" s="276"/>
      <c r="E61" s="269"/>
      <c r="F61" s="307"/>
      <c r="G61" s="269"/>
      <c r="H61" s="419"/>
      <c r="I61" s="156"/>
      <c r="J61" s="419"/>
      <c r="K61" s="269"/>
      <c r="L61" s="307"/>
      <c r="M61" s="269"/>
      <c r="N61" s="419"/>
      <c r="O61" s="156"/>
      <c r="P61" s="419"/>
      <c r="Q61" s="156"/>
      <c r="R61" s="419"/>
      <c r="S61" s="156"/>
      <c r="T61" s="419"/>
      <c r="U61" s="156"/>
      <c r="V61" s="419"/>
      <c r="W61" s="156"/>
      <c r="X61" s="419"/>
      <c r="Y61" s="156"/>
      <c r="Z61" s="158"/>
      <c r="AA61" s="1047"/>
      <c r="AB61" s="21"/>
      <c r="AC61" s="922"/>
    </row>
    <row r="62" spans="1:31" s="117" customFormat="1" ht="12" x14ac:dyDescent="0.2">
      <c r="B62" s="1561" t="s">
        <v>35</v>
      </c>
      <c r="C62" s="271"/>
      <c r="D62" s="277"/>
      <c r="E62" s="271"/>
      <c r="F62" s="135"/>
      <c r="G62" s="271"/>
      <c r="H62" s="420"/>
      <c r="I62" s="157"/>
      <c r="J62" s="420"/>
      <c r="K62" s="271"/>
      <c r="L62" s="135"/>
      <c r="M62" s="271"/>
      <c r="N62" s="420"/>
      <c r="O62" s="157"/>
      <c r="P62" s="420"/>
      <c r="Q62" s="157"/>
      <c r="R62" s="420"/>
      <c r="S62" s="157"/>
      <c r="T62" s="420"/>
      <c r="U62" s="157"/>
      <c r="V62" s="420"/>
      <c r="W62" s="157"/>
      <c r="X62" s="420"/>
      <c r="Y62" s="157"/>
      <c r="Z62" s="287"/>
      <c r="AA62" s="1047"/>
      <c r="AB62" s="720"/>
      <c r="AC62" s="1011"/>
    </row>
    <row r="63" spans="1:31" s="117" customFormat="1" ht="12" x14ac:dyDescent="0.2">
      <c r="B63" s="1562" t="s">
        <v>142</v>
      </c>
      <c r="C63" s="272"/>
      <c r="D63" s="273">
        <f>SUM(Dean_AS!D111+Art!D52+Biochem!D55+Biology!D62+Chemistry!D56+Economics!D56+English!D54+Geography!D58+Geology!D53+Hist!D56+JMC!D53+Kinesiology!D56+Math!D55+'Modern Language'!D59+'Music -OLD'!D56+Philosophy!D52+Physics!D55+'Political Science'!D56+Psych!D54+SASW!D59+'Comm Stud Th Dan - OLD'!D58+Stats!D56+1405+100)</f>
        <v>2896597.86</v>
      </c>
      <c r="E63" s="272"/>
      <c r="F63" s="273">
        <f>SUM(Dean_AS!F111+Art!F52+Biochem!F55+Biology!F62+Chemistry!F56+Economics!F56+English!F54+Geography!F58+Geology!F53+Hist!F56+JMC!F53+Kinesiology!F56+Math!F55+'Modern Language'!F59+'Music -OLD'!F56+Philosophy!F52+Physics!F55+'Political Science'!F56+Psych!F54+SASW!F59+'Comm Stud Th Dan - OLD'!F58+Stats!F56+375+120)</f>
        <v>2191281.4700000002</v>
      </c>
      <c r="G63" s="272"/>
      <c r="H63" s="273">
        <f>SUM(Dean_AS!H111+Art!H52+Biochem!H55+Biology!H62+Chemistry!H56+Economics!H56+English!H54+Geography!H58+Geology!H53+Hist!H56+JMC!H53+Kinesiology!H56+Math!H55+'Modern Language'!H59+'Music -OLD'!H56+Philosophy!H52+Physics!H55+'Political Science'!H56+Psych!H54+SASW!H59+'Comm Stud Th Dan - OLD'!H58+Stats!H56+400+1200)</f>
        <v>2749901.28</v>
      </c>
      <c r="I63" s="508"/>
      <c r="J63" s="273">
        <f>SUM(Dean_AS!J111+Art!J52+Biochem!J55+Biology!J62+Chemistry!J56+Economics!J56+English!J54+Geography!J58+Geology!J53+Hist!J56+JMC!J53+Kinesiology!J56+Math!J55+'Modern Language'!J59+'Music -OLD'!J56+Philosophy!J52+Physics!J55+'Political Science'!J56+Psych!J54+SASW!J59+'Comm Stud Th Dan - OLD'!J58+Stats!J56)</f>
        <v>3838850.3499999996</v>
      </c>
      <c r="K63" s="272"/>
      <c r="L63" s="256">
        <f>SUM(Dean_AS!L111+Art!L52+Biochem!L55+Biology!L62+Chemistry!L56+Economics!L56+English!L54+Geography!L58+Geology!L53+Hist!L56+JMC!L53+Kinesiology!L56+Math!L55+'Modern Language'!L59+'Music -OLD'!L56+Philosophy!L52+Physics!L55+'Political Science'!L56+Psych!L54+SASW!L59+'Comm Stud Th Dan - OLD'!L58+Stats!L56)</f>
        <v>3576439.3100000005</v>
      </c>
      <c r="M63" s="272"/>
      <c r="N63" s="273">
        <f>SUM(Dean_AS!N111+Art!N52+Biochem!N55+Biology!N62+Chemistry!N56+Economics!N56+English!N54+Geography!N58+Geology!N53+Hist!N56+JMC!N53+Kinesiology!N56+Math!N55+'Modern Language'!N59+'Music -OLD'!N56+Philosophy!N52+Physics!N55+'Political Science'!N56+Psych!N54+SASW!N59+'Comm Stud Th Dan - OLD'!N58+Stats!N56)</f>
        <v>1803445</v>
      </c>
      <c r="O63" s="272"/>
      <c r="P63" s="273">
        <f>SUM(Dean_AS!P111+Art!P52+Biochem!P55+Biology!P62+Chemistry!P56+Economics!P56+English!P54+Geography!P58+Geology!P53+Hist!P56+JMC!P53+Kinesiology!P56+Math!P55+'Modern Language'!P59+'Music -OLD'!P56+Philosophy!P52+Physics!P55+'Political Science'!P56+Psych!P54+SASW!P59+'Comm Stud Th Dan - OLD'!P58+Stats!P56)</f>
        <v>2410133</v>
      </c>
      <c r="Q63" s="254"/>
      <c r="R63" s="273">
        <f>SUM(Dean_AS!R111+Art!R52+Biochem!R55+Biology!R62+Chemistry!R56+Economics!R56+English!R54+Geography!R58+Geology!R53+Hist!R56+JMC!R53+Kinesiology!R56+Math!R55+'Modern Language'!R59+'Music -OLD'!R56+Philosophy!R52+Physics!R55+'Political Science'!R56+Psych!R54+SASW!R59+'Comm Stud Th Dan - OLD'!R58+Stats!R56+'Amer Ethnic Stud'!R53+'Women''s Studies'!R55)</f>
        <v>3312900.4</v>
      </c>
      <c r="S63" s="254"/>
      <c r="T63" s="273">
        <f>Dean_AS!T111+'Amer Ethnic Stud'!T53+Art!T52+Biochem!T55+Biology!T62+Chemistry!T56+'Comm Studies '!T53+Economics!T56+English!T54+Geography!T58+Geology!T53+Hist!T56+JMC!T53+Kinesiology!T56+Math!T55+'Modern Language'!T59+'Music Theatre Dance'!T61+Philosophy!T52+Physics!T55+'Political Science'!T56+Psych!T54+SASW!T59+Stats!T56+'Women''s Studies'!T55</f>
        <v>2763972.3700000006</v>
      </c>
      <c r="U63" s="254"/>
      <c r="V63" s="273">
        <f>Dean_AS!V111+'Amer Ethnic Stud'!V53+Art!V52+Biochem!V55+Biology!V62+Chemistry!V56+'Comm Studies '!V53+Economics!V56+English!V54+Geography!V58+Geology!V53+Hist!V56+JMC!V53+Kinesiology!V56+Math!V55+'Modern Language'!V59+'Music Theatre Dance'!V61+Philosophy!V52+Physics!V55+'Political Science'!V56+Psych!V54+SASW!V59+Stats!V56+'Women''s Studies'!V55</f>
        <v>4681900.4800000004</v>
      </c>
      <c r="W63" s="254"/>
      <c r="X63" s="273">
        <f>Dean_AS!X111+'Amer Ethnic Stud'!X53+Art!X52+Biochem!X55+Biology!X62+Chemistry!X56+'Comm Studies '!X53+Economics!X56+English!X54+Geography!X58+Geology!X53+Hist!X56+JMC!X53+Kinesiology!X56+Math!X55+'Modern Language'!X59+'Music Theatre Dance'!X61+Philosophy!X52+Physics!X55+'Political Science'!X56+Psych!X54+SASW!X59+Stats!X56+'Women''s Studies'!X55</f>
        <v>7082091.8799999999</v>
      </c>
      <c r="Y63" s="254"/>
      <c r="Z63" s="1588"/>
      <c r="AB63" s="1038"/>
      <c r="AC63" s="949">
        <f>AVERAGE(V63,T63,R63,X63,P63)</f>
        <v>4050199.6260000006</v>
      </c>
      <c r="AE63" s="117" t="s">
        <v>29</v>
      </c>
    </row>
    <row r="64" spans="1:31" s="117" customFormat="1" thickBot="1" x14ac:dyDescent="0.25">
      <c r="B64" s="316" t="s">
        <v>156</v>
      </c>
      <c r="C64" s="274"/>
      <c r="D64" s="275">
        <f>SUM(Dean_AS!D112+Art!D53+Biochem!D56+Biology!D63+Chemistry!D57+Economics!D57+English!D55+Geography!D59+Geology!D54+Hist!D57+JMC!D54+Kinesiology!D57+Math!D56+'Modern Language'!D60+'Music -OLD'!D57+Philosophy!D53+Physics!D56+'Political Science'!D57+Psych!D55+SASW!D60+'Comm Stud Th Dan - OLD'!D59+Stats!D57)</f>
        <v>3417553.79</v>
      </c>
      <c r="E64" s="274"/>
      <c r="F64" s="275">
        <f>SUM(Dean_AS!F112+Art!F53+Biochem!F56+Biology!F63+Chemistry!F57+Economics!F57+English!F55+Geography!F59+Geology!F54+Hist!F57+JMC!F54+Kinesiology!F57+Math!F56+'Modern Language'!F60+'Music -OLD'!F57+Philosophy!F53+Physics!F56+'Political Science'!F57+Psych!F55+SASW!F60+'Comm Stud Th Dan - OLD'!F59+Stats!F57)</f>
        <v>4989179.5699999994</v>
      </c>
      <c r="G64" s="507"/>
      <c r="H64" s="275">
        <f>SUM(Dean_AS!H112+Art!H53+Biochem!H56+Biology!H63+Chemistry!H57+Economics!H57+English!H55+Geography!H59+Geology!H54+Hist!H57+JMC!H54+Kinesiology!H57+Math!H56+'Modern Language'!H60+'Music -OLD'!H57+Philosophy!H53+Physics!H56+'Political Science'!H57+Psych!H55+SASW!H60+'Comm Stud Th Dan - OLD'!H59+Stats!H57)</f>
        <v>5595225.96</v>
      </c>
      <c r="I64" s="506"/>
      <c r="J64" s="275">
        <f>SUM(Dean_AS!J112+Art!J53+Biochem!J56+Biology!J63+Chemistry!J57+Economics!J57+English!J55+Geography!J59+Geology!J54+Hist!J57+JMC!J54+Kinesiology!J57+Math!J56+'Modern Language'!J60+'Music -OLD'!J57+Philosophy!J53+Physics!J56+'Political Science'!J57+Psych!J55+SASW!J60+'Comm Stud Th Dan - OLD'!J59+Stats!J57)</f>
        <v>7988805.1200000001</v>
      </c>
      <c r="K64" s="274"/>
      <c r="L64" s="257">
        <f>SUM(Dean_AS!L112+Art!L53+Biochem!L56+Biology!L63+Chemistry!L57+Economics!L57+English!L55+Geography!L59+Geology!L54+Hist!L57+JMC!L54+Kinesiology!L57+Math!L56+'Modern Language'!L60+'Music -OLD'!L57+Philosophy!L53+Physics!L56+'Political Science'!L57+Psych!L55+SASW!L60+'Comm Stud Th Dan - OLD'!L59+Stats!L57)</f>
        <v>8581291.4799999986</v>
      </c>
      <c r="M64" s="274"/>
      <c r="N64" s="275">
        <f>SUM(Dean_AS!N112+Art!N53+Biochem!N56+Biology!N63+Chemistry!N57+Economics!N57+English!N55+Geography!N59+Geology!N54+Hist!N57+JMC!N54+Kinesiology!N57+Math!N56+'Modern Language'!N60+'Music -OLD'!N57+Philosophy!N53+Physics!N56+'Political Science'!N57+Psych!N55+SASW!N60+'Comm Stud Th Dan - OLD'!N59+Stats!N57)</f>
        <v>6599122.2699999986</v>
      </c>
      <c r="O64" s="274"/>
      <c r="P64" s="275">
        <f>SUM(Dean_AS!P112+Art!P53+Biochem!P56+Biology!P63+Chemistry!P57+Economics!P57+English!P55+Geography!P59+Geology!P54+Hist!P57+JMC!P54+Kinesiology!P57+Math!P56+'Modern Language'!P60+'Music -OLD'!P57+Philosophy!P53+Physics!P56+'Political Science'!P57+Psych!P55+SASW!P60+'Comm Stud Th Dan - OLD'!P59+Stats!P57)</f>
        <v>7081262.4699999997</v>
      </c>
      <c r="Q64" s="260"/>
      <c r="R64" s="275">
        <f>SUM(Dean_AS!R112+Art!R53+Biochem!R56+Biology!R63+Chemistry!R57+Economics!R57+English!R55+Geography!R59+Geology!R54+Hist!R57+JMC!R54+Kinesiology!R57+Math!R56+'Modern Language'!R60+'Music -OLD'!R57+Philosophy!R53+Physics!R56+'Political Science'!R57+Psych!R55+SASW!R60+'Comm Stud Th Dan - OLD'!R59+Stats!R57+'Women''s Studies'!R56+'Amer Ethnic Stud'!R54)</f>
        <v>8030677</v>
      </c>
      <c r="S64" s="260"/>
      <c r="T64" s="275">
        <f>Dean_AS!T112+'Amer Ethnic Stud'!T54+Art!T53+Biochem!T56+Biology!T63+Chemistry!T57+'Comm Studies '!T54+Economics!T57+English!T55+Geography!T59+Geology!T54+Hist!T57+JMC!T54+Kinesiology!T57+Math!T56+'Modern Language'!T60+'Music Theatre Dance'!T62+Philosophy!T53+Physics!T56+'Political Science'!T57+Psych!T55+SASW!T60+Stats!T57+'Women''s Studies'!T56</f>
        <v>7597024.3400000008</v>
      </c>
      <c r="U64" s="260"/>
      <c r="V64" s="275">
        <f>Dean_AS!V112+'Amer Ethnic Stud'!V54+Art!V53+Biochem!V56+Biology!V63+Chemistry!V57+'Comm Studies '!V54+Economics!V57+English!V55+Geography!V59+Geology!V54+Hist!V57+JMC!V54+Kinesiology!V57+Math!V56+'Modern Language'!V60+'Music Theatre Dance'!V62+Philosophy!V53+Physics!V56+'Political Science'!V57+Psych!V55+SASW!V60+Stats!V57+'Women''s Studies'!V56</f>
        <v>8069056.3200000012</v>
      </c>
      <c r="W64" s="260"/>
      <c r="X64" s="275">
        <f>Dean_AS!X112+'Amer Ethnic Stud'!X54+Art!X53+Biochem!X56+Biology!X63+Chemistry!X57+'Comm Studies '!X54+Economics!X57+English!X55+Geography!X59+Geology!X54+Hist!X57+JMC!X54+Kinesiology!X57+Math!X56+'Modern Language'!X60+'Music Theatre Dance'!X62+Philosophy!X53+Physics!X56+'Political Science'!X57+Psych!X55+SASW!X60+Stats!X57+'Women''s Studies'!X56</f>
        <v>9217889.5299999993</v>
      </c>
      <c r="Y64" s="260"/>
      <c r="Z64" s="1589"/>
      <c r="AB64" s="1015"/>
      <c r="AC64" s="1024">
        <f>AVERAGE(V64,T64,R64,X64,P64)</f>
        <v>7999181.932000001</v>
      </c>
    </row>
    <row r="65" spans="1:31" ht="12" customHeight="1" thickTop="1" x14ac:dyDescent="0.2">
      <c r="A65" s="116"/>
      <c r="B65" s="478" t="s">
        <v>144</v>
      </c>
      <c r="C65" s="157"/>
      <c r="D65" s="159"/>
      <c r="E65" s="157"/>
      <c r="F65" s="135"/>
      <c r="G65" s="157"/>
      <c r="H65" s="135"/>
      <c r="I65" s="157"/>
      <c r="J65" s="135"/>
      <c r="K65" s="157"/>
      <c r="L65" s="135"/>
      <c r="M65" s="157"/>
      <c r="N65" s="135"/>
      <c r="O65" s="157"/>
      <c r="P65" s="135"/>
      <c r="Q65" s="157"/>
      <c r="R65" s="135"/>
      <c r="S65" s="157"/>
      <c r="T65" s="135"/>
      <c r="U65" s="157"/>
      <c r="V65" s="135"/>
      <c r="W65" s="157"/>
      <c r="X65" s="135"/>
      <c r="Y65" s="157"/>
      <c r="Z65" s="135"/>
    </row>
    <row r="66" spans="1:31" ht="12" customHeight="1" x14ac:dyDescent="0.2">
      <c r="A66" s="118" t="s">
        <v>76</v>
      </c>
      <c r="B66" s="145"/>
      <c r="C66" s="157"/>
      <c r="D66" s="159"/>
      <c r="E66" s="157"/>
      <c r="F66" s="135"/>
      <c r="G66" s="157"/>
      <c r="H66" s="135"/>
      <c r="I66" s="157"/>
      <c r="J66" s="135"/>
      <c r="K66" s="157"/>
      <c r="L66" s="135"/>
      <c r="M66" s="157"/>
      <c r="N66" s="135"/>
      <c r="O66" s="157"/>
      <c r="P66" s="135"/>
      <c r="Q66" s="157"/>
      <c r="R66" s="135"/>
      <c r="S66" s="157"/>
      <c r="T66" s="135"/>
      <c r="U66" s="157"/>
      <c r="V66" s="135"/>
      <c r="W66" s="157" t="s">
        <v>29</v>
      </c>
      <c r="X66" s="1942"/>
      <c r="Y66" s="157"/>
      <c r="Z66" s="135"/>
      <c r="AB66" s="116" t="s">
        <v>29</v>
      </c>
    </row>
    <row r="67" spans="1:31" ht="12" customHeight="1" thickBot="1" x14ac:dyDescent="0.25">
      <c r="A67" s="116"/>
      <c r="B67" s="479"/>
      <c r="C67" s="157"/>
      <c r="D67" s="159"/>
      <c r="E67" s="157"/>
      <c r="F67" s="135"/>
      <c r="G67" s="157"/>
      <c r="H67" s="135"/>
      <c r="I67" s="157"/>
      <c r="J67" s="135"/>
      <c r="K67" s="157"/>
      <c r="L67" s="135"/>
      <c r="M67" s="157"/>
      <c r="N67" s="135"/>
      <c r="O67" s="157"/>
      <c r="P67" s="135"/>
      <c r="Q67" s="157"/>
      <c r="R67" s="135"/>
      <c r="S67" s="157"/>
      <c r="T67" s="135"/>
      <c r="U67" s="157"/>
      <c r="V67" s="135"/>
      <c r="W67" s="157"/>
      <c r="X67" s="414"/>
      <c r="Y67" s="157"/>
      <c r="Z67" s="135"/>
    </row>
    <row r="68" spans="1:31" s="117" customFormat="1" ht="14.25" customHeight="1" thickTop="1" thickBot="1" x14ac:dyDescent="0.25">
      <c r="B68" s="390"/>
      <c r="C68" s="2002" t="s">
        <v>49</v>
      </c>
      <c r="D68" s="1982"/>
      <c r="E68" s="1974" t="s">
        <v>50</v>
      </c>
      <c r="F68" s="1974"/>
      <c r="G68" s="2002" t="s">
        <v>141</v>
      </c>
      <c r="H68" s="1982"/>
      <c r="I68" s="1974" t="s">
        <v>152</v>
      </c>
      <c r="J68" s="1982"/>
      <c r="K68" s="1974" t="s">
        <v>154</v>
      </c>
      <c r="L68" s="1974"/>
      <c r="M68" s="2002" t="s">
        <v>171</v>
      </c>
      <c r="N68" s="1982"/>
      <c r="O68" s="1974" t="s">
        <v>227</v>
      </c>
      <c r="P68" s="1982"/>
      <c r="Q68" s="1974" t="s">
        <v>237</v>
      </c>
      <c r="R68" s="1982"/>
      <c r="S68" s="1974" t="s">
        <v>272</v>
      </c>
      <c r="T68" s="1982"/>
      <c r="U68" s="1974" t="s">
        <v>274</v>
      </c>
      <c r="V68" s="1982"/>
      <c r="W68" s="1974" t="s">
        <v>280</v>
      </c>
      <c r="X68" s="1982"/>
      <c r="Y68" s="1974" t="s">
        <v>290</v>
      </c>
      <c r="Z68" s="1975"/>
      <c r="AB68" s="2003" t="s">
        <v>213</v>
      </c>
      <c r="AC68" s="2004"/>
    </row>
    <row r="69" spans="1:31" s="117" customFormat="1" ht="12" x14ac:dyDescent="0.2">
      <c r="B69" s="586" t="s">
        <v>53</v>
      </c>
      <c r="C69" s="243"/>
      <c r="D69" s="244"/>
      <c r="E69" s="265"/>
      <c r="F69" s="138"/>
      <c r="G69" s="243"/>
      <c r="H69" s="244"/>
      <c r="I69" s="138"/>
      <c r="J69" s="244"/>
      <c r="K69" s="138"/>
      <c r="L69" s="138"/>
      <c r="M69" s="243"/>
      <c r="N69" s="244"/>
      <c r="O69" s="138"/>
      <c r="P69" s="244"/>
      <c r="Q69" s="138"/>
      <c r="R69" s="244"/>
      <c r="S69" s="138"/>
      <c r="T69" s="244"/>
      <c r="U69" s="138"/>
      <c r="V69" s="244"/>
      <c r="W69" s="138"/>
      <c r="X69" s="244"/>
      <c r="Y69" s="138"/>
      <c r="Z69" s="140"/>
      <c r="AA69" s="857"/>
      <c r="AB69" s="831"/>
      <c r="AC69" s="930"/>
    </row>
    <row r="70" spans="1:31" s="117" customFormat="1" ht="12" x14ac:dyDescent="0.2">
      <c r="B70" s="408" t="s">
        <v>54</v>
      </c>
      <c r="C70" s="239"/>
      <c r="D70" s="238"/>
      <c r="E70" s="239"/>
      <c r="F70" s="183"/>
      <c r="G70" s="239"/>
      <c r="H70" s="261"/>
      <c r="I70" s="139"/>
      <c r="J70" s="261"/>
      <c r="K70" s="139"/>
      <c r="L70" s="183"/>
      <c r="M70" s="239"/>
      <c r="N70" s="261"/>
      <c r="O70" s="139"/>
      <c r="P70" s="261"/>
      <c r="Q70" s="139"/>
      <c r="R70" s="261"/>
      <c r="S70" s="139"/>
      <c r="T70" s="261"/>
      <c r="U70" s="139"/>
      <c r="V70" s="261"/>
      <c r="W70" s="139"/>
      <c r="X70" s="261"/>
      <c r="Y70" s="139"/>
      <c r="Z70" s="142"/>
      <c r="AA70" s="857"/>
      <c r="AB70" s="24"/>
      <c r="AC70" s="579"/>
    </row>
    <row r="71" spans="1:31" s="117" customFormat="1" ht="12" x14ac:dyDescent="0.2">
      <c r="B71" s="1563" t="s">
        <v>55</v>
      </c>
      <c r="C71" s="239"/>
      <c r="D71" s="240">
        <f>Dean_AS!D119+Art!D60+Biochem!D63+Biology!D70+Chemistry!D64+Economics!D64+English!D62+Geography!D66+Geology!D61+Hist!D64+JMC!D61+Kinesiology!D64+Math!D63+'Modern Language'!D67+'Music -OLD'!D64+Philosophy!D60+Physics!D63+'Political Science'!D64+Psych!D62+SASW!D67+'Comm Stud Th Dan - OLD'!D67+Stats!D64</f>
        <v>375</v>
      </c>
      <c r="E71" s="239"/>
      <c r="F71" s="183">
        <f>Dean_AS!F119+Art!F60+Biochem!F63+Biology!F70+Chemistry!F64+Economics!F64+English!F62+Geography!F66+Geology!F61+Hist!F64+JMC!F61+Kinesiology!F64+Math!F63+'Modern Language'!F67+'Music -OLD'!F64+Philosophy!F60+Physics!F63+'Political Science'!F64+Psych!F62+SASW!F67+'Comm Stud Th Dan - OLD'!F67+Stats!F64</f>
        <v>401</v>
      </c>
      <c r="G71" s="239"/>
      <c r="H71" s="261">
        <v>400</v>
      </c>
      <c r="I71" s="139"/>
      <c r="J71" s="261">
        <f>Dean_AS!J119+Art!J60+Biochem!J63+Biology!J70+Chemistry!J64+Economics!J64+English!J62+Geography!J66+Geology!J61+Hist!J64+JMC!J61+Kinesiology!J64+Math!J63+'Modern Language'!J67+'Music -OLD'!J64+Philosophy!J60+Physics!J63+'Political Science'!J64+Psych!J62+SASW!J67+'Comm Stud Th Dan - OLD'!J67+Stats!J64</f>
        <v>409</v>
      </c>
      <c r="K71" s="139"/>
      <c r="L71" s="183">
        <f>Dean_AS!L119+Art!L60+Biochem!L63+Biology!L70+Chemistry!L64+Economics!L64+English!L62+Geography!L66+Geology!L61+Hist!L64+JMC!L61+Kinesiology!L64+Math!L63+'Modern Language'!L67+'Music -OLD'!L64+Philosophy!L60+Physics!L63+'Political Science'!L64+Psych!L62+SASW!L67+'Comm Stud Th Dan - OLD'!L67+Stats!L64</f>
        <v>421</v>
      </c>
      <c r="M71" s="239"/>
      <c r="N71" s="261">
        <f>Dean_AS!N119+'Amer Ethnic Stud'!N61+Art!N60+Biochem!N63+Biology!N70+Chemistry!N64+'Comm Stud Th Dan - OLD'!N67+Economics!N64+English!N62+Geography!N66+Geology!N61+Hist!N64+JMC!N61+Kinesiology!N64+Math!N63+'Modern Language'!N67+'Music -OLD'!N64+Philosophy!N60+Physics!N63+'Political Science'!N64+Psych!N62+SASW!N67+Stats!N64+'Women''s Studies'!N63</f>
        <v>450</v>
      </c>
      <c r="O71" s="139"/>
      <c r="P71" s="261">
        <f>Dean_AS!P119+'Amer Ethnic Stud'!P61+Art!P60+Biochem!P63+Biology!P70+Chemistry!P64+'Comm Stud Th Dan - OLD'!P67+Economics!P64+English!P62+Geography!P66+Geology!P61+Hist!P64+JMC!P61+Kinesiology!P64+Math!P63+'Modern Language'!P67+'Music -OLD'!P64+Philosophy!P60+Physics!P63+'Political Science'!P64+Psych!P62+SASW!P67+Stats!P64+'Women''s Studies'!P63</f>
        <v>437</v>
      </c>
      <c r="Q71" s="139"/>
      <c r="R71" s="261">
        <f>Dean_AS!R119+'Amer Ethnic Stud'!R61+Art!R60+Biochem!R63+Biology!R70+Chemistry!R64+'Comm Stud Th Dan - OLD'!R67+Economics!R64+English!R62+Geography!R66+Geology!R61+Hist!R64+JMC!R61+Kinesiology!R64+Math!R63+'Modern Language'!R67+'Music -OLD'!R64+Philosophy!R60+Physics!R63+'Political Science'!R64+Psych!R62+SASW!R67+Stats!R64+'Women''s Studies'!R63</f>
        <v>436</v>
      </c>
      <c r="S71" s="139"/>
      <c r="T71" s="261">
        <f>Dean_AS!T119+'Amer Ethnic Stud'!T61+Art!T60+Biochem!T63+Biology!T70+Chemistry!T64+'Comm Stud Th Dan - OLD'!T67+Economics!T64+English!T62+Geography!T66+Geology!T61+Hist!T64+JMC!T61+Kinesiology!T64+Math!T63+'Modern Language'!T67+'Music -OLD'!T64+Philosophy!T60+Physics!T63+'Political Science'!T64+Psych!T62+SASW!T67+Stats!T64+'Women''s Studies'!T63</f>
        <v>441</v>
      </c>
      <c r="U71" s="139"/>
      <c r="V71" s="261">
        <f>Dean_AS!V119+'Amer Ethnic Stud'!V61+Art!V60+Biochem!V63+Biology!V70+Chemistry!V64+'Comm Studies '!V62+Economics!V64+English!V62+Geography!V66+Geology!V61+Hist!V64+JMC!V61+Kinesiology!V64+Math!V63+'Modern Language'!V67+'Music Theatre Dance'!V69+Philosophy!V60+Physics!V63+'Political Science'!V64+Psych!V62+SASW!V67+Stats!V64+'Women''s Studies'!V63</f>
        <v>446</v>
      </c>
      <c r="W71" s="139"/>
      <c r="X71" s="261">
        <f>Dean_AS!X119+'Amer Ethnic Stud'!X61+Art!X60+Biochem!X63+Biology!X70+Chemistry!X64+'Comm Studies '!X62+Economics!X64+English!X62+Geography!X66+Geology!X61+Hist!X64+JMC!X61+Math!X63+'Modern Language'!X67+'Music Theatre Dance'!X69+Philosophy!X60+Physics!X63+'Political Science'!X64+Psych!X62+SASW!X67+Stats!X64+'Women''s Studies'!X63</f>
        <v>452</v>
      </c>
      <c r="Y71" s="139"/>
      <c r="Z71" s="261">
        <f>Dean_AS!Z119+'Amer Ethnic Stud'!Z61+Art!Z60+Biochem!Z63+Biology!Z70+Chemistry!Z64+'Comm Studies '!Z62+Economics!Z64+English!Z62+Geography!Z66+Geology!Z61+Hist!Z64+JMC!Z61+Math!Z63+'Modern Language'!Z67+'Music Theatre Dance'!Z69+Philosophy!Z60+Physics!Z63+'Political Science'!Z64+Psych!Z62+SASW!Z67+Stats!Z64+'Women''s Studies'!Z63</f>
        <v>460</v>
      </c>
      <c r="AA71" s="858"/>
      <c r="AB71" s="12"/>
      <c r="AC71" s="1113">
        <f>AVERAGE(V71,T71,R71,Z71,X71)</f>
        <v>447</v>
      </c>
    </row>
    <row r="72" spans="1:31" s="117" customFormat="1" ht="12" x14ac:dyDescent="0.2">
      <c r="B72" s="1563" t="s">
        <v>181</v>
      </c>
      <c r="C72" s="239"/>
      <c r="D72" s="240">
        <f>Dean_AS!D120+Art!D61+Biochem!D64+Biology!D71+Chemistry!D65+Economics!D65+English!D63+Geography!D67+Geology!D62+Hist!D65+JMC!D62+Kinesiology!D65+Math!D64+'Modern Language'!D68+'Music -OLD'!D65+Philosophy!D61+Physics!D64+'Political Science'!D65+Psych!D63+SASW!D68+'Comm Stud Th Dan - OLD'!D68+Stats!D65</f>
        <v>60</v>
      </c>
      <c r="E72" s="239"/>
      <c r="F72" s="183">
        <f>Dean_AS!F120+Art!F61+Biochem!F64+Biology!F71+Chemistry!F65+Economics!F65+English!F63+Geography!F67+Geology!F62+Hist!F65+JMC!F62+Kinesiology!F65+Math!F64+'Modern Language'!F68+'Music -OLD'!F65+Philosophy!F61+Physics!F64+'Political Science'!F65+Psych!F63+SASW!F68+'Comm Stud Th Dan - OLD'!F68+Stats!F65</f>
        <v>59</v>
      </c>
      <c r="G72" s="239"/>
      <c r="H72" s="261">
        <v>68</v>
      </c>
      <c r="I72" s="139"/>
      <c r="J72" s="261">
        <f>Dean_AS!J120+Art!J61+Biochem!J64+Biology!J71+Chemistry!J65+Economics!J65+English!J63+Geography!J67+Geology!J62+Hist!J65+JMC!J62+Kinesiology!J65+Math!J64+'Modern Language'!J68+'Music -OLD'!J65+Philosophy!J61+Physics!J64+'Political Science'!J65+Psych!J63+SASW!J68+'Comm Stud Th Dan - OLD'!J68+Stats!J65</f>
        <v>62</v>
      </c>
      <c r="K72" s="139"/>
      <c r="L72" s="183">
        <f>Dean_AS!L120+Art!L61+Biochem!L64+Biology!L71+Chemistry!L65+Economics!L65+English!L63+Geography!L67+Geology!L62+Hist!L65+JMC!L62+Kinesiology!L65+Math!L64+'Modern Language'!L68+'Music -OLD'!L65+Philosophy!L61+Physics!L64+'Political Science'!L65+Psych!L63+SASW!L68+'Comm Stud Th Dan - OLD'!L68+Stats!L65</f>
        <v>62</v>
      </c>
      <c r="M72" s="239"/>
      <c r="N72" s="261">
        <f>Dean_AS!N120+'Amer Ethnic Stud'!N62+Art!N61+Biochem!N64+Biology!N71+Chemistry!N65+'Comm Stud Th Dan - OLD'!N68+Economics!N65+English!N63+Geography!N67+Geology!N62+Hist!N65+JMC!N62+Kinesiology!N65+Math!N64+'Modern Language'!N68+'Music -OLD'!N65+Philosophy!N61+Physics!N64+'Political Science'!N65+Psych!N63+SASW!N68+Stats!N65+'Women''s Studies'!N64</f>
        <v>52</v>
      </c>
      <c r="O72" s="139"/>
      <c r="P72" s="261">
        <f>Dean_AS!P120+'Amer Ethnic Stud'!P62+Art!P61+Biochem!P64+Biology!P71+Chemistry!P65+'Comm Stud Th Dan - OLD'!P68+Economics!P65+English!P63+Geography!P67+Geology!P62+Hist!P65+JMC!P62+Kinesiology!P65+Math!P64+'Modern Language'!P68+'Music -OLD'!P65+Philosophy!P61+Physics!P64+'Political Science'!P65+Psych!P63+SASW!P68+Stats!P65+'Women''s Studies'!P64</f>
        <v>45</v>
      </c>
      <c r="Q72" s="139"/>
      <c r="R72" s="261">
        <f>Dean_AS!R120+'Amer Ethnic Stud'!R62+Art!R61+Biochem!R64+Biology!R71+Chemistry!R65+'Comm Stud Th Dan - OLD'!R68+Economics!R65+English!R63+Geography!R67+Geology!R62+Hist!R65+JMC!R62+Kinesiology!R65+Math!R64+'Modern Language'!R68+'Music -OLD'!R65+Philosophy!R61+Physics!R64+'Political Science'!R65+Psych!R63+SASW!R68+Stats!R65+'Women''s Studies'!R64</f>
        <v>59</v>
      </c>
      <c r="S72" s="139"/>
      <c r="T72" s="261">
        <f>Dean_AS!T120+'Amer Ethnic Stud'!T62+Art!T61+Biochem!T64+Biology!T71+Chemistry!T65+'Comm Stud Th Dan - OLD'!T68+Economics!T65+English!T63+Geography!T67+Geology!T62+Hist!T65+JMC!T62+Kinesiology!T65+Math!T64+'Modern Language'!T68+'Music -OLD'!T65+Philosophy!T61+Physics!T64+'Political Science'!T65+Psych!T63+SASW!T68+Stats!T65+'Women''s Studies'!T64</f>
        <v>56</v>
      </c>
      <c r="U72" s="139"/>
      <c r="V72" s="261">
        <f>Dean_AS!V120+'Amer Ethnic Stud'!V62+Art!V61+Biochem!V64+Biology!V71+Chemistry!V65+'Comm Studies '!V63+Economics!V65+English!V63+Geography!V67+Geology!V62+Hist!V65+JMC!V62+Kinesiology!V65+Math!V64+'Modern Language'!V68+'Music Theatre Dance'!V70+Philosophy!V61+Physics!V64+'Political Science'!V65+Psych!V63+SASW!V68+Stats!V65+'Women''s Studies'!V64</f>
        <v>77</v>
      </c>
      <c r="W72" s="139"/>
      <c r="X72" s="261">
        <f>Dean_AS!X120+'Amer Ethnic Stud'!X62+Art!X61+Biochem!X64+Biology!X71+Chemistry!X65+'Comm Studies '!X63+Economics!X65+English!X63+Geography!X67+Geology!X62+Hist!X65+JMC!X62+Math!X64+'Modern Language'!X68+'Music Theatre Dance'!X70+Philosophy!X61+Physics!X64+'Political Science'!X65+Psych!X63+SASW!X68+Stats!X65+'Women''s Studies'!X64</f>
        <v>68</v>
      </c>
      <c r="Y72" s="139"/>
      <c r="Z72" s="261">
        <f>Dean_AS!Z120+'Amer Ethnic Stud'!Z62+Art!Z61+Biochem!Z64+Biology!Z71+Chemistry!Z65+'Comm Studies '!Z63+Economics!Z65+English!Z63+Geography!Z67+Geology!Z62+Hist!Z65+JMC!Z62+Math!Z64+'Modern Language'!Z68+'Music Theatre Dance'!Z70+Philosophy!Z61+Physics!Z64+'Political Science'!Z65+Psych!Z63+SASW!Z68+Stats!Z65+'Women''s Studies'!Z64</f>
        <v>74</v>
      </c>
      <c r="AA72" s="858"/>
      <c r="AB72" s="12"/>
      <c r="AC72" s="1113">
        <f t="shared" ref="AC72:AC76" si="19">AVERAGE(V72,T72,R72,Z72,X72)</f>
        <v>66.8</v>
      </c>
    </row>
    <row r="73" spans="1:31" s="117" customFormat="1" ht="12" x14ac:dyDescent="0.2">
      <c r="B73" s="408" t="s">
        <v>57</v>
      </c>
      <c r="C73" s="239"/>
      <c r="D73" s="240"/>
      <c r="E73" s="239"/>
      <c r="F73" s="241"/>
      <c r="G73" s="239"/>
      <c r="H73" s="240"/>
      <c r="I73" s="139"/>
      <c r="J73" s="240"/>
      <c r="K73" s="139"/>
      <c r="L73" s="241"/>
      <c r="M73" s="239"/>
      <c r="N73" s="261"/>
      <c r="O73" s="139"/>
      <c r="P73" s="261"/>
      <c r="Q73" s="139"/>
      <c r="R73" s="261"/>
      <c r="S73" s="139"/>
      <c r="T73" s="261"/>
      <c r="U73" s="139"/>
      <c r="V73" s="261"/>
      <c r="W73" s="139"/>
      <c r="X73" s="261"/>
      <c r="Y73" s="139"/>
      <c r="Z73" s="261"/>
      <c r="AA73" s="859"/>
      <c r="AB73" s="12"/>
      <c r="AC73" s="1113"/>
    </row>
    <row r="74" spans="1:31" s="117" customFormat="1" ht="12" x14ac:dyDescent="0.2">
      <c r="B74" s="1563" t="s">
        <v>55</v>
      </c>
      <c r="C74" s="239"/>
      <c r="D74" s="240">
        <f>Dean_AS!D122+Art!D63+Biochem!D66+Biology!D73+Chemistry!D67+Economics!D67+English!D65+Geography!D69+Geology!D64+Hist!D67+JMC!D64+Kinesiology!D67+Math!D66+'Modern Language'!D70+'Music -OLD'!D67+Philosophy!D63+Physics!D66+'Political Science'!D67+Psych!D65+SASW!D70+'Comm Stud Th Dan - OLD'!D70+Stats!D67</f>
        <v>20</v>
      </c>
      <c r="E74" s="239"/>
      <c r="F74" s="241">
        <f>Dean_AS!F122+Art!F63+Biochem!F66+Biology!F73+Chemistry!F67+Economics!F67+English!F65+Geography!F69+Geology!F64+Hist!F67+JMC!F64+Kinesiology!F67+Math!F66+'Modern Language'!F70+'Music -OLD'!F67+Philosophy!F63+Physics!F66+'Political Science'!F67+Psych!F65+SASW!F70+'Comm Stud Th Dan - OLD'!F70+Stats!F67</f>
        <v>24</v>
      </c>
      <c r="G74" s="239"/>
      <c r="H74" s="240">
        <v>29</v>
      </c>
      <c r="I74" s="139"/>
      <c r="J74" s="240">
        <f>Dean_AS!J122+Art!J63+Biochem!J66+Biology!J73+Chemistry!J67+Economics!J67+English!J65+Geography!J69+Geology!J64+Hist!J67+JMC!J64+Kinesiology!J67+Math!J66+'Modern Language'!J70+'Music -OLD'!J67+Philosophy!J63+Physics!J66+'Political Science'!J67+Psych!J65+SASW!J70+'Comm Stud Th Dan - OLD'!J70+Stats!J67</f>
        <v>28</v>
      </c>
      <c r="K74" s="139"/>
      <c r="L74" s="241">
        <f>Dean_AS!L122+Art!L63+Biochem!L66+Biology!L73+Chemistry!L67+Economics!L67+English!L65+Geography!L69+Geology!L64+Hist!L67+JMC!L64+Kinesiology!L67+Math!L66+'Modern Language'!L70+'Music -OLD'!L67+Philosophy!L63+Physics!L66+'Political Science'!L67+Psych!L65+SASW!L70+'Comm Stud Th Dan - OLD'!L70+Stats!L67</f>
        <v>32</v>
      </c>
      <c r="M74" s="239"/>
      <c r="N74" s="261">
        <f>Dean_AS!N122+'Amer Ethnic Stud'!N64+Art!N63+Biochem!N66+Biology!N73+Chemistry!N67+'Comm Stud Th Dan - OLD'!N70+Economics!N67+English!N65+Geography!N69+Geology!N64+Hist!N67+JMC!N64+Kinesiology!N67+Math!N66+'Modern Language'!N70+'Music -OLD'!N67+Philosophy!N63+Physics!N66+'Political Science'!N67+Psych!N65+SASW!N70+Stats!N67+'Women''s Studies'!N66</f>
        <v>27</v>
      </c>
      <c r="O74" s="139"/>
      <c r="P74" s="261">
        <f>Dean_AS!P122+'Amer Ethnic Stud'!P64+Art!P63+Biochem!P66+Biology!P73+Chemistry!P67+'Comm Stud Th Dan - OLD'!P70+Economics!P67+English!P65+Geography!P69+Geology!P64+Hist!P67+JMC!P64+Kinesiology!P67+Math!P66+'Modern Language'!P70+'Music -OLD'!P67+Philosophy!P63+Physics!P66+'Political Science'!P67+Psych!P65+SASW!P70+Stats!P67+'Women''s Studies'!P66</f>
        <v>27</v>
      </c>
      <c r="Q74" s="139"/>
      <c r="R74" s="261">
        <f>Dean_AS!R122+'Amer Ethnic Stud'!R64+Art!R63+Biochem!R66+Biology!R73+Chemistry!R67+'Comm Stud Th Dan - OLD'!R70+Economics!R67+English!R65+Geography!R69+Geology!R64+Hist!R67+JMC!R64+Kinesiology!R67+Math!R66+'Modern Language'!R70+'Music -OLD'!R67+Philosophy!R63+Physics!R66+'Political Science'!R67+Psych!R65+SASW!R70+Stats!R67+'Women''s Studies'!R66</f>
        <v>25</v>
      </c>
      <c r="S74" s="139"/>
      <c r="T74" s="261">
        <f>Dean_AS!T122+'Amer Ethnic Stud'!T64+Art!T63+Biochem!T66+Biology!T73+Chemistry!T67+'Comm Stud Th Dan - OLD'!T70+Economics!T67+English!T65+Geography!T69+Geology!T64+Hist!T67+JMC!T64+Kinesiology!T67+Math!T66+'Modern Language'!T70+'Music -OLD'!T67+Philosophy!T63+Physics!T66+'Political Science'!T67+Psych!T65+SASW!T70+Stats!T67+'Women''s Studies'!T66</f>
        <v>28</v>
      </c>
      <c r="U74" s="139"/>
      <c r="V74" s="261">
        <f>Dean_AS!V122+'Amer Ethnic Stud'!V64+Art!V63+Biochem!V66+Biology!V73+Chemistry!V67+'Comm Studies '!V65+Economics!V67+English!V65+Geography!V69+Geology!V64+Hist!V67+JMC!V64+Kinesiology!V67+Math!V66+'Modern Language'!V70+'Music Theatre Dance'!V72+Philosophy!V63+Physics!V66+'Political Science'!V67+Psych!V65+SASW!V70+Stats!V67+'Women''s Studies'!V66</f>
        <v>34</v>
      </c>
      <c r="W74" s="139"/>
      <c r="X74" s="261">
        <f>Dean_AS!X122+'Amer Ethnic Stud'!X64+Art!X63+Biochem!X66+Biology!X73+Chemistry!X67+'Comm Studies '!X65+Economics!X67+English!X65+Geography!X69+Geology!X64+Hist!X67+JMC!X64+Math!X66+'Modern Language'!X70+'Music Theatre Dance'!X72+Philosophy!X63+Physics!X66+'Political Science'!X67+Psych!X65+SASW!X70+Stats!X67+'Women''s Studies'!X66</f>
        <v>29</v>
      </c>
      <c r="Y74" s="139"/>
      <c r="Z74" s="261">
        <f>Dean_AS!Z122+'Amer Ethnic Stud'!Z64+Art!Z63+Biochem!Z66+Biology!Z73+Chemistry!Z67+'Comm Studies '!Z65+Economics!Z67+English!Z65+Geography!Z69+Geology!Z64+Hist!Z67+JMC!Z64+Math!Z66+'Modern Language'!Z70+'Music Theatre Dance'!Z72+Philosophy!Z63+Physics!Z66+'Political Science'!Z67+Psych!Z65+SASW!Z70+Stats!Z67+'Women''s Studies'!Z66</f>
        <v>30</v>
      </c>
      <c r="AA74" s="859"/>
      <c r="AB74" s="12"/>
      <c r="AC74" s="1113">
        <f t="shared" si="19"/>
        <v>29.2</v>
      </c>
    </row>
    <row r="75" spans="1:31" s="117" customFormat="1" ht="12" x14ac:dyDescent="0.2">
      <c r="B75" s="1564" t="s">
        <v>181</v>
      </c>
      <c r="C75" s="239"/>
      <c r="D75" s="240">
        <f>Dean_AS!D123+Art!D64+Biochem!D67+Biology!D74+Chemistry!D68+Economics!D68+English!D66+Geography!D70+Geology!D65+Hist!D68+JMC!D65+Kinesiology!D68+Math!D67+'Modern Language'!D71+'Music -OLD'!D68+Philosophy!D64+Physics!D67+'Political Science'!D68+Psych!D66+SASW!D71+'Comm Stud Th Dan - OLD'!D71+Stats!D68</f>
        <v>12</v>
      </c>
      <c r="E75" s="239"/>
      <c r="F75" s="241">
        <f>Dean_AS!F123+Art!F64+Biochem!F67+Biology!F74+Chemistry!F68+Economics!F68+English!F66+Geography!F70+Geology!F65+Hist!F68+JMC!F65+Kinesiology!F68+Math!F67+'Modern Language'!F71+'Music -OLD'!F68+Philosophy!F64+Physics!F67+'Political Science'!F68+Psych!F66+SASW!F71+'Comm Stud Th Dan - OLD'!F71+Stats!F68</f>
        <v>6</v>
      </c>
      <c r="G75" s="239"/>
      <c r="H75" s="240">
        <v>10</v>
      </c>
      <c r="I75" s="139"/>
      <c r="J75" s="240">
        <f>Dean_AS!J123+Art!J64+Biochem!J67+Biology!J74+Chemistry!J68+Economics!J68+English!J66+Geography!J70+Geology!J65+Hist!J68+JMC!J65+Kinesiology!J68+Math!J67+'Modern Language'!J71+'Music -OLD'!J68+Philosophy!J64+Physics!J67+'Political Science'!J68+Psych!J66+SASW!J71+'Comm Stud Th Dan - OLD'!J71+Stats!J68</f>
        <v>9</v>
      </c>
      <c r="K75" s="139"/>
      <c r="L75" s="241">
        <f>Dean_AS!L123+Art!L64+Biochem!L67+Biology!L74+Chemistry!L68+Economics!L68+English!L66+Geography!L70+Geology!L65+Hist!L68+JMC!L65+Kinesiology!L68+Math!L67+'Modern Language'!L71+'Music -OLD'!L68+Philosophy!L64+Physics!L67+'Political Science'!L68+Psych!L66+SASW!L71+'Comm Stud Th Dan - OLD'!L71+Stats!L68</f>
        <v>8</v>
      </c>
      <c r="M75" s="239"/>
      <c r="N75" s="261">
        <f>Dean_AS!N123+'Amer Ethnic Stud'!N65+Art!N64+Biochem!N67+Biology!N74+Chemistry!N68+'Comm Stud Th Dan - OLD'!N71+Economics!N68+English!N66+Geography!N70+Geology!N65+Hist!N68+JMC!N65+Kinesiology!N68+Math!N67+'Modern Language'!N71+'Music -OLD'!N68+Philosophy!N64+Physics!N67+'Political Science'!N68+Psych!N66+SASW!N71+Stats!N68+'Women''s Studies'!N67</f>
        <v>9</v>
      </c>
      <c r="O75" s="139"/>
      <c r="P75" s="261">
        <f>Dean_AS!P123+'Amer Ethnic Stud'!P65+Art!P64+Biochem!P67+Biology!P74+Chemistry!P68+'Comm Stud Th Dan - OLD'!P71+Economics!P68+English!P66+Geography!P70+Geology!P65+Hist!P68+JMC!P65+Kinesiology!P68+Math!P67+'Modern Language'!P71+'Music -OLD'!P68+Philosophy!P64+Physics!P67+'Political Science'!P68+Psych!P66+SASW!P71+Stats!P68+'Women''s Studies'!P67</f>
        <v>5</v>
      </c>
      <c r="Q75" s="139"/>
      <c r="R75" s="261">
        <f>Dean_AS!R123+'Amer Ethnic Stud'!R65+Art!R64+Biochem!R67+Biology!R74+Chemistry!R68+'Comm Stud Th Dan - OLD'!R71+Economics!R68+English!R66+Geography!R70+Geology!R65+Hist!R68+JMC!R65+Kinesiology!R68+Math!R67+'Modern Language'!R71+'Music -OLD'!R68+Philosophy!R64+Physics!R67+'Political Science'!R68+Psych!R66+SASW!R71+Stats!R68+'Women''s Studies'!R67</f>
        <v>7</v>
      </c>
      <c r="S75" s="139"/>
      <c r="T75" s="261">
        <f>Dean_AS!T123+'Amer Ethnic Stud'!T65+Art!T64+Biochem!T67+Biology!T74+Chemistry!T68+'Comm Stud Th Dan - OLD'!T71+Economics!T68+English!T66+Geography!T70+Geology!T65+Hist!T68+JMC!T65+Kinesiology!T68+Math!T67+'Modern Language'!T71+'Music -OLD'!T68+Philosophy!T64+Physics!T67+'Political Science'!T68+Psych!T66+SASW!T71+Stats!T68+'Women''s Studies'!T67</f>
        <v>10</v>
      </c>
      <c r="U75" s="139"/>
      <c r="V75" s="261">
        <f>Dean_AS!V123+'Amer Ethnic Stud'!V65+Art!V64+Biochem!V67+Biology!V74+Chemistry!V68+'Comm Studies '!V66+Economics!V68+English!V66+Geography!V70+Geology!V65+Hist!V68+JMC!V65+Kinesiology!V68+Math!V67+'Modern Language'!V71+'Music Theatre Dance'!V73+Philosophy!V64+Physics!V67+'Political Science'!V68+Psych!V66+SASW!V71+Stats!V68+'Women''s Studies'!V67</f>
        <v>9</v>
      </c>
      <c r="W75" s="139"/>
      <c r="X75" s="261">
        <f>Dean_AS!X123+'Amer Ethnic Stud'!X65+Art!X64+Biochem!X67+Biology!X74+Chemistry!X68+'Comm Studies '!X66+Economics!X68+English!X66+Geography!X70+Geology!X65+Hist!X68+JMC!X65+Math!X67+'Modern Language'!X71+'Music Theatre Dance'!X73+Philosophy!X64+Physics!X67+'Political Science'!X68+Psych!X66+SASW!X71+Stats!X68+'Women''s Studies'!X67</f>
        <v>6</v>
      </c>
      <c r="Y75" s="139"/>
      <c r="Z75" s="261">
        <f>Dean_AS!Z123+'Amer Ethnic Stud'!Z65+Art!Z64+Biochem!Z67+Biology!Z74+Chemistry!Z68+'Comm Studies '!Z66+Economics!Z68+English!Z66+Geography!Z70+Geology!Z65+Hist!Z68+JMC!Z65+Math!Z67+'Modern Language'!Z71+'Music Theatre Dance'!Z73+Philosophy!Z64+Physics!Z67+'Political Science'!Z68+Psych!Z66+SASW!Z71+Stats!Z68+'Women''s Studies'!Z67</f>
        <v>4</v>
      </c>
      <c r="AA75" s="859"/>
      <c r="AB75" s="12"/>
      <c r="AC75" s="1113">
        <f t="shared" si="19"/>
        <v>7.2</v>
      </c>
    </row>
    <row r="76" spans="1:31" s="117" customFormat="1" thickBot="1" x14ac:dyDescent="0.25">
      <c r="B76" s="1565" t="s">
        <v>13</v>
      </c>
      <c r="C76" s="280"/>
      <c r="D76" s="281">
        <f>SUM(D71:D75)</f>
        <v>467</v>
      </c>
      <c r="E76" s="1274"/>
      <c r="F76" s="278">
        <f>SUM(F71:F75)</f>
        <v>490</v>
      </c>
      <c r="G76" s="280"/>
      <c r="H76" s="281">
        <v>507</v>
      </c>
      <c r="I76" s="162"/>
      <c r="J76" s="281">
        <f>SUM(J71:J75)</f>
        <v>508</v>
      </c>
      <c r="K76" s="162"/>
      <c r="L76" s="278">
        <f>SUM(L71:L75)</f>
        <v>523</v>
      </c>
      <c r="M76" s="280"/>
      <c r="N76" s="815">
        <f>Dean_AS!N124+'Amer Ethnic Stud'!N66+Art!N65+Biochem!N68+Biology!N75+Chemistry!N69+'Comm Stud Th Dan - OLD'!N72+Economics!N69+English!N67+Geography!N71+Geology!N66+Hist!N69+JMC!N66+Kinesiology!N69+Math!N68+'Modern Language'!N72+'Music -OLD'!N69+Philosophy!N65+Physics!N68+'Political Science'!N69+Psych!N67+SASW!N72+Stats!N69+'Women''s Studies'!N68</f>
        <v>538</v>
      </c>
      <c r="O76" s="162"/>
      <c r="P76" s="815">
        <f>Dean_AS!P124+'Amer Ethnic Stud'!P66+Art!P65+Biochem!P68+Biology!P75+Chemistry!P69+'Comm Stud Th Dan - OLD'!P72+Economics!P69+English!P67+Geography!P71+Geology!P66+Hist!P69+JMC!P66+Kinesiology!P69+Math!P68+'Modern Language'!P72+'Music -OLD'!P69+Philosophy!P65+Physics!P68+'Political Science'!P69+Psych!P67+SASW!P72+Stats!P69+'Women''s Studies'!P68</f>
        <v>514</v>
      </c>
      <c r="Q76" s="162"/>
      <c r="R76" s="815">
        <f>Dean_AS!R124+'Amer Ethnic Stud'!R66+Art!R65+Biochem!R68+Biology!R75+Chemistry!R69+'Comm Stud Th Dan - OLD'!R72+Economics!R69+English!R67+Geography!R71+Geology!R66+Hist!R69+JMC!R66+Kinesiology!R69+Math!R68+'Modern Language'!R72+'Music -OLD'!R69+Philosophy!R65+Physics!R68+'Political Science'!R69+Psych!R67+SASW!R72+Stats!R69+'Women''s Studies'!R68</f>
        <v>527</v>
      </c>
      <c r="S76" s="162"/>
      <c r="T76" s="815">
        <f>Dean_AS!T124+'Amer Ethnic Stud'!T66+Art!T65+Biochem!T68+Biology!T75+Chemistry!T69+'Comm Stud Th Dan - OLD'!T72+Economics!T69+English!T67+Geography!T71+Geology!T66+Hist!T69+JMC!T66+Kinesiology!T69+Math!T68+'Modern Language'!T72+'Music -OLD'!T69+Philosophy!T65+Physics!T68+'Political Science'!T69+Psych!T67+SASW!T72+Stats!T69+'Women''s Studies'!T68</f>
        <v>535</v>
      </c>
      <c r="U76" s="162"/>
      <c r="V76" s="815">
        <f>Dean_AS!V124+'Amer Ethnic Stud'!V66+Art!V65+Biochem!V68+Biology!V75+Chemistry!V69+'Comm Studies '!V67+Economics!V69+English!V67+Geography!V71+Geology!V66+Hist!V69+JMC!V66+Kinesiology!V69+Math!V68+'Modern Language'!V72+'Music Theatre Dance'!V74+Philosophy!V65+Physics!V68+'Political Science'!V69+Psych!V67+SASW!V72+Stats!V69+'Women''s Studies'!V68</f>
        <v>566</v>
      </c>
      <c r="W76" s="162"/>
      <c r="X76" s="815">
        <f>Dean_AS!X124+'Amer Ethnic Stud'!X66+Art!X65+Biochem!X68+Biology!X75+Chemistry!X69+'Comm Studies '!X67+Economics!X69+English!X67+Geography!X71+Geology!X66+Hist!X69+JMC!X66+Kinesiology!X69+Math!X68+'Modern Language'!X72+'Music Theatre Dance'!X74+Philosophy!X65+Physics!X68+'Political Science'!X69+Psych!X67+SASW!X72+Stats!X69+'Women''s Studies'!X68</f>
        <v>555</v>
      </c>
      <c r="Y76" s="162"/>
      <c r="Z76" s="815">
        <f>Dean_AS!Z124+'Amer Ethnic Stud'!Z66+Art!Z65+Biochem!Z68+Biology!Z75+Chemistry!Z69+'Comm Studies '!Z67+Economics!Z69+English!Z67+Geography!Z71+Geology!Z66+Hist!Z69+JMC!Z66+Kinesiology!Z69+Math!Z68+'Modern Language'!Z72+'Music Theatre Dance'!Z74+Philosophy!Z65+Physics!Z68+'Political Science'!Z69+Psych!Z67+SASW!Z72+Stats!Z69+'Women''s Studies'!Z68</f>
        <v>568</v>
      </c>
      <c r="AA76" s="860"/>
      <c r="AB76" s="831"/>
      <c r="AC76" s="1114">
        <f t="shared" si="19"/>
        <v>550.20000000000005</v>
      </c>
    </row>
    <row r="77" spans="1:31" s="117" customFormat="1" thickTop="1" x14ac:dyDescent="0.2">
      <c r="B77" s="1566" t="s">
        <v>135</v>
      </c>
      <c r="C77" s="401" t="s">
        <v>133</v>
      </c>
      <c r="D77" s="402" t="s">
        <v>134</v>
      </c>
      <c r="E77" s="401" t="s">
        <v>133</v>
      </c>
      <c r="F77" s="279" t="s">
        <v>134</v>
      </c>
      <c r="G77" s="313" t="s">
        <v>133</v>
      </c>
      <c r="H77" s="425" t="s">
        <v>134</v>
      </c>
      <c r="I77" s="424" t="s">
        <v>133</v>
      </c>
      <c r="J77" s="425" t="s">
        <v>134</v>
      </c>
      <c r="K77" s="424" t="s">
        <v>133</v>
      </c>
      <c r="L77" s="809" t="s">
        <v>134</v>
      </c>
      <c r="M77" s="313" t="s">
        <v>133</v>
      </c>
      <c r="N77" s="425" t="s">
        <v>134</v>
      </c>
      <c r="O77" s="424" t="s">
        <v>133</v>
      </c>
      <c r="P77" s="425" t="s">
        <v>134</v>
      </c>
      <c r="Q77" s="424" t="s">
        <v>133</v>
      </c>
      <c r="R77" s="425" t="s">
        <v>134</v>
      </c>
      <c r="S77" s="424" t="s">
        <v>133</v>
      </c>
      <c r="T77" s="425" t="s">
        <v>134</v>
      </c>
      <c r="U77" s="424" t="s">
        <v>133</v>
      </c>
      <c r="V77" s="425" t="s">
        <v>134</v>
      </c>
      <c r="W77" s="424" t="s">
        <v>133</v>
      </c>
      <c r="X77" s="425" t="s">
        <v>134</v>
      </c>
      <c r="Y77" s="424" t="s">
        <v>133</v>
      </c>
      <c r="Z77" s="1967" t="s">
        <v>134</v>
      </c>
      <c r="AA77" s="857"/>
      <c r="AB77" s="952" t="s">
        <v>133</v>
      </c>
      <c r="AC77" s="862" t="s">
        <v>134</v>
      </c>
    </row>
    <row r="78" spans="1:31" s="117" customFormat="1" ht="12" x14ac:dyDescent="0.2">
      <c r="B78" s="75" t="s">
        <v>87</v>
      </c>
      <c r="C78" s="319">
        <f>Dean_AS!C126+Art!C67+Biochem!C70+Biology!C77+Chemistry!C71+Economics!C71+English!C69+Geography!C73+Geology!C68+Hist!C71+JMC!C68+Kinesiology!C71+Math!C70+'Modern Language'!C74+'Music -OLD'!C71+Philosophy!C67+Physics!C70+'Political Science'!C71+Psych!C69+SASW!C74+'Comm Stud Th Dan - OLD'!C74+Stats!C71</f>
        <v>380</v>
      </c>
      <c r="D78" s="216">
        <f>C78/D$76</f>
        <v>0.8137044967880086</v>
      </c>
      <c r="E78" s="319">
        <f>Dean_AS!E126+Art!E67+Biochem!E70+Biology!E77+Chemistry!E71+Economics!E71+English!E69+Geography!E73+Geology!E68+Hist!E71+JMC!E68+Kinesiology!E71+Math!E70+'Modern Language'!E74+'Music -OLD'!E71+Philosophy!E67+Physics!E70+'Political Science'!E71+Psych!E69+SASW!E74+'Comm Stud Th Dan - OLD'!E74+Stats!E71</f>
        <v>391</v>
      </c>
      <c r="F78" s="221">
        <f t="shared" ref="F78:H85" si="20">E78/F$76</f>
        <v>0.79795918367346941</v>
      </c>
      <c r="G78" s="215">
        <v>405</v>
      </c>
      <c r="H78" s="216">
        <f t="shared" si="20"/>
        <v>0.79881656804733725</v>
      </c>
      <c r="I78" s="173">
        <f>Dean_AS!I126+Art!I67+Biochem!I70+Biology!I77+Chemistry!I71+Economics!I71+English!I69+Geography!I73+Geology!I68+Hist!I71+JMC!I68+Kinesiology!I71+Math!I70+'Modern Language'!I74+'Music -OLD'!I71+Philosophy!I67+Physics!I70+'Political Science'!I71+Psych!I69+SASW!I74+'Comm Stud Th Dan - OLD'!I74+Stats!I71</f>
        <v>399</v>
      </c>
      <c r="J78" s="216">
        <f>I78/J$76</f>
        <v>0.78543307086614178</v>
      </c>
      <c r="K78" s="173">
        <f>Dean_AS!K126+Art!K67+Biochem!K70+Biology!K77+Chemistry!K71+Economics!K71+English!K69+Geography!K73+Geology!K68+Hist!K71+JMC!K68+Kinesiology!K71+Math!K70+'Modern Language'!K74+'Music -OLD'!K71+Philosophy!K67+Physics!K70+'Political Science'!K71+Psych!K69+SASW!K74+'Comm Stud Th Dan - OLD'!K74+Stats!K71</f>
        <v>417</v>
      </c>
      <c r="L78" s="221">
        <f>K78/L$76</f>
        <v>0.79732313575525815</v>
      </c>
      <c r="M78" s="215">
        <f>Dean_AS!M126+'Amer Ethnic Stud'!M68+Art!M67+Biochem!M70+Biology!M77+Chemistry!M71+'Comm Stud Th Dan - OLD'!M74+Economics!M71+English!M69+Geography!M73+Geology!M68+Hist!M71+JMC!M68+Kinesiology!M71+Math!M70+'Modern Language'!M74+'Music -OLD'!M71+Philosophy!M67+Physics!M70+'Political Science'!M71+Psych!M69+SASW!M74+Stats!M71+'Women''s Studies'!M70</f>
        <v>434</v>
      </c>
      <c r="N78" s="216">
        <f>M78/N$76</f>
        <v>0.80669144981412644</v>
      </c>
      <c r="O78" s="173">
        <f>Dean_AS!O126+'Amer Ethnic Stud'!O68+Art!O67+Biochem!O70+Biology!O77+Chemistry!O71+'Comm Stud Th Dan - OLD'!O74+Economics!O71+English!O69+Geography!O73+Geology!O68+Hist!O71+JMC!O68+Kinesiology!O71+Math!O70+'Modern Language'!O74+'Music -OLD'!O71+Philosophy!O67+Physics!O70+'Political Science'!O71+Psych!O69+SASW!O74+Stats!O71+'Women''s Studies'!O70</f>
        <v>415</v>
      </c>
      <c r="P78" s="216">
        <f t="shared" ref="P78:P85" si="21">O78/P$76</f>
        <v>0.80739299610894943</v>
      </c>
      <c r="Q78" s="173">
        <f>Dean_AS!Q126+'Amer Ethnic Stud'!Q68+Art!Q67+Biochem!Q70+Biology!Q77+Chemistry!Q71+'Comm Stud Th Dan - OLD'!Q74+Economics!Q71+English!Q69+Geography!Q73+Geology!Q68+Hist!Q71+JMC!Q68+Kinesiology!Q71+Math!Q70+'Modern Language'!Q74+'Music -OLD'!Q71+Philosophy!Q67+Physics!Q70+'Political Science'!Q71+Psych!Q69+SASW!Q74+Stats!Q71+'Women''s Studies'!Q70</f>
        <v>417</v>
      </c>
      <c r="R78" s="216">
        <f t="shared" ref="R78:R85" si="22">Q78/R$76</f>
        <v>0.79127134724857684</v>
      </c>
      <c r="S78" s="173">
        <f>Dean_AS!S126+'Amer Ethnic Stud'!S68+Art!S67+Biochem!S70+Biology!S77+Chemistry!S71+'Comm Stud Th Dan - OLD'!S74+Economics!S71+English!S69+Geography!S73+Geology!S68+Hist!S71+JMC!S68+Kinesiology!S71+Math!S70+'Modern Language'!S74+'Music -OLD'!S71+Philosophy!S67+Physics!S70+'Political Science'!S71+Psych!S69+SASW!S74+Stats!S71+'Women''s Studies'!S70</f>
        <v>418</v>
      </c>
      <c r="T78" s="216">
        <f t="shared" ref="T78:V83" si="23">S78/T$76</f>
        <v>0.78130841121495331</v>
      </c>
      <c r="U78" s="173">
        <f>Dean_AS!U126+'Amer Ethnic Stud'!U68+Art!U67+Biochem!U70+Biology!U77+Chemistry!U71+'Comm Studies '!U69+Economics!U71+English!U69+Geography!U73+Geology!U68+Hist!U71+JMC!U68+Kinesiology!U71+Math!U70+'Modern Language'!U74+'Music Theatre Dance'!U76+Philosophy!U67+Physics!U70+'Political Science'!U71+Psych!U69+SASW!U74+Stats!U71+'Women''s Studies'!U70</f>
        <v>434</v>
      </c>
      <c r="V78" s="216">
        <f t="shared" si="23"/>
        <v>0.7667844522968198</v>
      </c>
      <c r="W78" s="173">
        <f>Dean_AS!W126+'Amer Ethnic Stud'!W68+Art!W67+Biochem!W70+Biology!W77+Chemistry!W71+'Comm Studies '!W69+Economics!W71+English!W69+Geography!W73+Geology!W68+Hist!W71+JMC!W68+Math!W70+'Modern Language'!W74+'Music Theatre Dance'!W76+Philosophy!W67+Physics!W70+'Political Science'!W71+Psych!W69+SASW!W74+Stats!W71+'Women''s Studies'!W70</f>
        <v>429</v>
      </c>
      <c r="X78" s="216">
        <f t="shared" ref="X78:X83" si="24">W78/X$76</f>
        <v>0.77297297297297296</v>
      </c>
      <c r="Y78" s="173">
        <f>Dean_AS!Y126+'Amer Ethnic Stud'!Y68+Art!Y67+Biochem!Y70+Biology!Y77+Chemistry!Y71+'Comm Studies '!Y69+Economics!Y71+English!Y69+Geography!Y73+Geology!Y68+Hist!Y71+JMC!Y68+Math!Y70+'Modern Language'!Y74+'Music Theatre Dance'!Y76+Philosophy!Y67+Physics!Y70+'Political Science'!Y71+Psych!Y69+SASW!Y74+Stats!Y71+'Women''s Studies'!Y70</f>
        <v>432</v>
      </c>
      <c r="Z78" s="1494">
        <f t="shared" ref="Z78:Z83" si="25">Y78/Z$76</f>
        <v>0.76056338028169013</v>
      </c>
      <c r="AB78" s="1016">
        <f t="shared" ref="AB78:AB97" si="26">AVERAGE(U78,S78,Q78,Y78,W78)</f>
        <v>426</v>
      </c>
      <c r="AC78" s="863">
        <f t="shared" ref="AC78:AC97" si="27">AVERAGE(V78,T78,R78,Z78,X78)</f>
        <v>0.77458011280300265</v>
      </c>
    </row>
    <row r="79" spans="1:31" s="117" customFormat="1" ht="12" x14ac:dyDescent="0.2">
      <c r="B79" s="85" t="s">
        <v>88</v>
      </c>
      <c r="C79" s="319">
        <f>Dean_AS!C127+Art!C68+Biochem!C71+Biology!C78+Chemistry!C72+Economics!C72+English!C70+Geography!C74+Geology!C69+Hist!C72+JMC!C69+Kinesiology!C72+Math!C71+'Modern Language'!C75+'Music -OLD'!C72+Philosophy!C68+Physics!C71+'Political Science'!C72+Psych!C70+SASW!C75+'Comm Stud Th Dan - OLD'!C75+Stats!C72</f>
        <v>5</v>
      </c>
      <c r="D79" s="216">
        <f t="shared" ref="D79:D97" si="28">C79/$D$76</f>
        <v>1.0706638115631691E-2</v>
      </c>
      <c r="E79" s="319">
        <f>Dean_AS!E127+Art!E68+Biochem!E71+Biology!E78+Chemistry!E72+Economics!E72+English!E70+Geography!E74+Geology!E69+Hist!E72+JMC!E69+Kinesiology!E72+Math!E71+'Modern Language'!E75+'Music -OLD'!E72+Philosophy!E68+Physics!E71+'Political Science'!E72+Psych!E70+SASW!E75+'Comm Stud Th Dan - OLD'!E75+Stats!E72</f>
        <v>7</v>
      </c>
      <c r="F79" s="221">
        <f t="shared" si="20"/>
        <v>1.4285714285714285E-2</v>
      </c>
      <c r="G79" s="215">
        <v>8</v>
      </c>
      <c r="H79" s="216">
        <f t="shared" si="20"/>
        <v>1.5779092702169626E-2</v>
      </c>
      <c r="I79" s="173">
        <f>Dean_AS!I127+Art!I68+Biochem!I71+Biology!I78+Chemistry!I72+Economics!I72+English!I70+Geography!I74+Geology!I69+Hist!I72+JMC!I69+Kinesiology!I72+Math!I71+'Modern Language'!I75+'Music -OLD'!I72+Philosophy!I68+Physics!I71+'Political Science'!I72+Psych!I70+SASW!I75+'Comm Stud Th Dan - OLD'!I75+Stats!I72</f>
        <v>19</v>
      </c>
      <c r="J79" s="216">
        <f t="shared" ref="J79:J85" si="29">I79/$D$76</f>
        <v>4.068522483940043E-2</v>
      </c>
      <c r="K79" s="173">
        <f>Dean_AS!K127+Art!K68+Biochem!K71+Biology!K78+Chemistry!K72+Economics!K72+English!K70+Geography!K74+Geology!K69+Hist!K72+JMC!K69+Kinesiology!K72+Math!K71+'Modern Language'!K75+'Music -OLD'!K72+Philosophy!K68+Physics!K71+'Political Science'!K72+Psych!K70+SASW!K75+'Comm Stud Th Dan - OLD'!K75+Stats!K72</f>
        <v>9</v>
      </c>
      <c r="L79" s="221">
        <f t="shared" ref="L79:N85" si="30">K79/L$76</f>
        <v>1.7208413001912046E-2</v>
      </c>
      <c r="M79" s="215">
        <f>Dean_AS!M127+'Amer Ethnic Stud'!M69+Art!M68+Biochem!M71+Biology!M78+Chemistry!M72+'Comm Stud Th Dan - OLD'!M75+Economics!M72+English!M70+Geography!M74+Geology!M69+Hist!M72+JMC!M69+Kinesiology!M72+Math!M71+'Modern Language'!M75+'Music -OLD'!M72+Philosophy!M68+Physics!M71+'Political Science'!M72+Psych!M70+SASW!M75+Stats!M72+'Women''s Studies'!M71</f>
        <v>12</v>
      </c>
      <c r="N79" s="216">
        <f t="shared" si="30"/>
        <v>2.2304832713754646E-2</v>
      </c>
      <c r="O79" s="173">
        <f>Dean_AS!O127+'Amer Ethnic Stud'!O69+Art!O68+Biochem!O71+Biology!O78+Chemistry!O72+'Comm Stud Th Dan - OLD'!O75+Economics!O72+English!O70+Geography!O74+Geology!O69+Hist!O72+JMC!O69+Kinesiology!O72+Math!O71+'Modern Language'!O75+'Music -OLD'!O72+Philosophy!O68+Physics!O71+'Political Science'!O72+Psych!O70+SASW!O75+Stats!O72+'Women''s Studies'!O71</f>
        <v>14</v>
      </c>
      <c r="P79" s="216">
        <f t="shared" si="21"/>
        <v>2.7237354085603113E-2</v>
      </c>
      <c r="Q79" s="173">
        <f>Dean_AS!Q127+'Amer Ethnic Stud'!Q69+Art!Q68+Biochem!Q71+Biology!Q78+Chemistry!Q72+'Comm Stud Th Dan - OLD'!Q75+Economics!Q72+English!Q70+Geography!Q74+Geology!Q69+Hist!Q72+JMC!Q69+Kinesiology!Q72+Math!Q71+'Modern Language'!Q75+'Music -OLD'!Q72+Philosophy!Q68+Physics!Q71+'Political Science'!Q72+Psych!Q70+SASW!Q75+Stats!Q72+'Women''s Studies'!Q71</f>
        <v>11</v>
      </c>
      <c r="R79" s="216">
        <f t="shared" si="22"/>
        <v>2.0872865275142316E-2</v>
      </c>
      <c r="S79" s="173">
        <f>Dean_AS!S127+'Amer Ethnic Stud'!S69+Art!S68+Biochem!S71+Biology!S78+Chemistry!S72+'Comm Stud Th Dan - OLD'!S75+Economics!S72+English!S70+Geography!S74+Geology!S69+Hist!S72+JMC!S69+Kinesiology!S72+Math!S71+'Modern Language'!S75+'Music -OLD'!S72+Philosophy!S68+Physics!S71+'Political Science'!S72+Psych!S70+SASW!S75+Stats!S72+'Women''s Studies'!S71</f>
        <v>10</v>
      </c>
      <c r="T79" s="216">
        <f t="shared" si="23"/>
        <v>1.8691588785046728E-2</v>
      </c>
      <c r="U79" s="173">
        <f>Dean_AS!U127+'Amer Ethnic Stud'!U69+Art!U68+Biochem!U71+Biology!U78+Chemistry!U72+'Comm Studies '!U70+Economics!U72+English!U70+Geography!U74+Geology!U69+Hist!U72+JMC!U69+Kinesiology!U72+Math!U71+'Modern Language'!U75+'Music Theatre Dance'!U77+Philosophy!U68+Physics!U71+'Political Science'!U72+Psych!U70+SASW!U75+Stats!U72+'Women''s Studies'!U71</f>
        <v>9</v>
      </c>
      <c r="V79" s="216">
        <f t="shared" si="23"/>
        <v>1.5901060070671377E-2</v>
      </c>
      <c r="W79" s="173">
        <f>Dean_AS!W127+'Amer Ethnic Stud'!W69+Art!W68+Biochem!W71+Biology!W78+Chemistry!W72+'Comm Studies '!W70+Economics!W72+English!W70+Geography!W74+Geology!W69+Hist!W72+JMC!W69+Math!W71+'Modern Language'!W75+'Music Theatre Dance'!W77+Philosophy!W68+Physics!W71+'Political Science'!W72+Psych!W70+SASW!W75+Stats!W72+'Women''s Studies'!W71</f>
        <v>10</v>
      </c>
      <c r="X79" s="216">
        <f t="shared" si="24"/>
        <v>1.8018018018018018E-2</v>
      </c>
      <c r="Y79" s="173">
        <f>Dean_AS!Y127+'Amer Ethnic Stud'!Y69+Art!Y68+Biochem!Y71+Biology!Y78+Chemistry!Y72+'Comm Studies '!Y70+Economics!Y72+English!Y70+Geography!Y74+Geology!Y69+Hist!Y72+JMC!Y69+Math!Y71+'Modern Language'!Y75+'Music Theatre Dance'!Y77+Philosophy!Y68+Physics!Y71+'Political Science'!Y72+Psych!Y70+SASW!Y75+Stats!Y72+'Women''s Studies'!Y71</f>
        <v>9</v>
      </c>
      <c r="Z79" s="1494">
        <f t="shared" si="25"/>
        <v>1.5845070422535211E-2</v>
      </c>
      <c r="AB79" s="1016">
        <f t="shared" si="26"/>
        <v>9.8000000000000007</v>
      </c>
      <c r="AC79" s="863">
        <f t="shared" si="27"/>
        <v>1.7865720514282729E-2</v>
      </c>
    </row>
    <row r="80" spans="1:31" s="117" customFormat="1" ht="12" x14ac:dyDescent="0.2">
      <c r="B80" s="85" t="s">
        <v>89</v>
      </c>
      <c r="C80" s="319">
        <f>Dean_AS!C128+Art!C69+Biochem!C72+Biology!C79+Chemistry!C73+Economics!C73+English!C71+Geography!C75+Geology!C70+Hist!C73+JMC!C70+Kinesiology!C73+Math!C72+'Modern Language'!C76+'Music -OLD'!C73+Philosophy!C69+Physics!C72+'Political Science'!C73+Psych!C71+SASW!C76+'Comm Stud Th Dan - OLD'!C76+Stats!C73</f>
        <v>11</v>
      </c>
      <c r="D80" s="216">
        <f t="shared" si="28"/>
        <v>2.3554603854389723E-2</v>
      </c>
      <c r="E80" s="319">
        <f>Dean_AS!E128+Art!E69+Biochem!E72+Biology!E79+Chemistry!E73+Economics!E73+English!E71+Geography!E75+Geology!E70+Hist!E73+JMC!E70+Kinesiology!E73+Math!E72+'Modern Language'!E76+'Music -OLD'!E73+Philosophy!E69+Physics!E72+'Political Science'!E73+Psych!E71+SASW!E76+'Comm Stud Th Dan - OLD'!E76+Stats!E73</f>
        <v>12</v>
      </c>
      <c r="F80" s="221">
        <f t="shared" si="20"/>
        <v>2.4489795918367346E-2</v>
      </c>
      <c r="G80" s="215">
        <v>17</v>
      </c>
      <c r="H80" s="216">
        <f t="shared" si="20"/>
        <v>3.3530571992110451E-2</v>
      </c>
      <c r="I80" s="173">
        <f>Dean_AS!I128+Art!I69+Biochem!I72+Biology!I79+Chemistry!I73+Economics!I73+English!I71+Geography!I75+Geology!I70+Hist!I73+JMC!I70+Kinesiology!I73+Math!I72+'Modern Language'!I76+'Music -OLD'!I73+Philosophy!I69+Physics!I72+'Political Science'!I73+Psych!I71+SASW!I76+'Comm Stud Th Dan - OLD'!I76+Stats!I73</f>
        <v>17</v>
      </c>
      <c r="J80" s="216">
        <f t="shared" si="29"/>
        <v>3.6402569593147749E-2</v>
      </c>
      <c r="K80" s="173">
        <f>Dean_AS!K128+Art!K69+Biochem!K72+Biology!K79+Chemistry!K73+Economics!K73+English!K71+Geography!K75+Geology!K70+Hist!K73+JMC!K70+Kinesiology!K73+Math!K72+'Modern Language'!K76+'Music -OLD'!K73+Philosophy!K69+Physics!K72+'Political Science'!K73+Psych!K71+SASW!K76+'Comm Stud Th Dan - OLD'!K76+Stats!K73</f>
        <v>16</v>
      </c>
      <c r="L80" s="221">
        <f t="shared" si="30"/>
        <v>3.0592734225621414E-2</v>
      </c>
      <c r="M80" s="215">
        <f>Dean_AS!M128+'Amer Ethnic Stud'!M70+Art!M69+Biochem!M72+Biology!M79+Chemistry!M73+'Comm Stud Th Dan - OLD'!M76+Economics!M73+English!M71+Geography!M75+Geology!M70+Hist!M73+JMC!M70+Kinesiology!M73+Math!M72+'Modern Language'!M76+'Music -OLD'!M73+Philosophy!M69+Physics!M72+'Political Science'!M73+Psych!M71+SASW!M76+Stats!M73+'Women''s Studies'!M72</f>
        <v>17</v>
      </c>
      <c r="N80" s="216">
        <f t="shared" si="30"/>
        <v>3.1598513011152414E-2</v>
      </c>
      <c r="O80" s="173">
        <f>Dean_AS!O128+'Amer Ethnic Stud'!O70+Art!O69+Biochem!O72+Biology!O79+Chemistry!O73+'Comm Stud Th Dan - OLD'!O76+Economics!O73+English!O71+Geography!O75+Geology!O70+Hist!O73+JMC!O70+Kinesiology!O73+Math!O72+'Modern Language'!O76+'Music -OLD'!O73+Philosophy!O69+Physics!O72+'Political Science'!O73+Psych!O71+SASW!O76+Stats!O73+'Women''s Studies'!O72</f>
        <v>20</v>
      </c>
      <c r="P80" s="216">
        <f t="shared" si="21"/>
        <v>3.8910505836575876E-2</v>
      </c>
      <c r="Q80" s="173">
        <f>Dean_AS!Q128+'Amer Ethnic Stud'!Q70+Art!Q69+Biochem!Q72+Biology!Q79+Chemistry!Q73+'Comm Stud Th Dan - OLD'!Q76+Economics!Q73+English!Q71+Geography!Q75+Geology!Q70+Hist!Q73+JMC!Q70+Kinesiology!Q73+Math!Q72+'Modern Language'!Q76+'Music -OLD'!Q73+Philosophy!Q69+Physics!Q72+'Political Science'!Q73+Psych!Q71+SASW!Q76+Stats!Q73+'Women''s Studies'!Q72</f>
        <v>23</v>
      </c>
      <c r="R80" s="216">
        <f t="shared" si="22"/>
        <v>4.3643263757115747E-2</v>
      </c>
      <c r="S80" s="173">
        <f>Dean_AS!S128+'Amer Ethnic Stud'!S70+Art!S69+Biochem!S72+Biology!S79+Chemistry!S73+'Comm Stud Th Dan - OLD'!S76+Economics!S73+English!S71+Geography!S75+Geology!S70+Hist!S73+JMC!S70+Kinesiology!S73+Math!S72+'Modern Language'!S76+'Music -OLD'!S73+Philosophy!S69+Physics!S72+'Political Science'!S73+Psych!S71+SASW!S76+Stats!S73+'Women''s Studies'!S72</f>
        <v>26</v>
      </c>
      <c r="T80" s="216">
        <f t="shared" si="23"/>
        <v>4.8598130841121495E-2</v>
      </c>
      <c r="U80" s="173">
        <f>Dean_AS!U128+'Amer Ethnic Stud'!U70+Art!U69+Biochem!U72+Biology!U79+Chemistry!U73+'Comm Studies '!U71+Economics!U73+English!U71+Geography!U75+Geology!U70+Hist!U73+JMC!U70+Kinesiology!U73+Math!U72+'Modern Language'!U76+'Music Theatre Dance'!U78+Philosophy!U69+Physics!U72+'Political Science'!U73+Psych!U71+SASW!U76+Stats!U73+'Women''s Studies'!U72</f>
        <v>29</v>
      </c>
      <c r="V80" s="216">
        <f t="shared" si="23"/>
        <v>5.1236749116607777E-2</v>
      </c>
      <c r="W80" s="173">
        <f>Dean_AS!W128+'Amer Ethnic Stud'!W70+Art!W69+Biochem!W72+Biology!W79+Chemistry!W73+'Comm Studies '!W71+Economics!W73+English!W71+Geography!W75+Geology!W70+Hist!W73+JMC!W70+Math!W72+'Modern Language'!W76+'Music Theatre Dance'!W78+Philosophy!W69+Physics!W72+'Political Science'!W73+Psych!W71+SASW!W76+Stats!W73+'Women''s Studies'!W72</f>
        <v>24</v>
      </c>
      <c r="X80" s="216">
        <f t="shared" si="24"/>
        <v>4.3243243243243246E-2</v>
      </c>
      <c r="Y80" s="173">
        <f>Dean_AS!Y128+'Amer Ethnic Stud'!Y70+Art!Y69+Biochem!Y72+Biology!Y79+Chemistry!Y73+'Comm Studies '!Y71+Economics!Y73+English!Y71+Geography!Y75+Geology!Y70+Hist!Y73+JMC!Y70+Math!Y72+'Modern Language'!Y76+'Music Theatre Dance'!Y78+Philosophy!Y69+Physics!Y72+'Political Science'!Y73+Psych!Y71+SASW!Y76+Stats!Y73+'Women''s Studies'!Y72</f>
        <v>29</v>
      </c>
      <c r="Z80" s="1494">
        <f t="shared" si="25"/>
        <v>5.1056338028169015E-2</v>
      </c>
      <c r="AB80" s="1016">
        <f t="shared" si="26"/>
        <v>26.2</v>
      </c>
      <c r="AC80" s="863">
        <f t="shared" si="27"/>
        <v>4.7555544997251453E-2</v>
      </c>
      <c r="AE80" s="117" t="s">
        <v>29</v>
      </c>
    </row>
    <row r="81" spans="2:29" s="117" customFormat="1" ht="12" x14ac:dyDescent="0.2">
      <c r="B81" s="85" t="s">
        <v>90</v>
      </c>
      <c r="C81" s="319">
        <f>Dean_AS!C129+Art!C70+Biochem!C73+Biology!C80+Chemistry!C74+Economics!C74+English!C72+Geography!C76+Geology!C71+Hist!C74+JMC!C71+Kinesiology!C74+Math!C73+'Modern Language'!C77+'Music -OLD'!C74+Philosophy!C70+Physics!C73+'Political Science'!C74+Psych!C72+SASW!C77+'Comm Stud Th Dan - OLD'!C77+Stats!C74</f>
        <v>0</v>
      </c>
      <c r="D81" s="216">
        <f t="shared" si="28"/>
        <v>0</v>
      </c>
      <c r="E81" s="319">
        <f>Dean_AS!E129+Art!E70+Biochem!E73+Biology!E80+Chemistry!E74+Economics!E74+English!E72+Geography!E76+Geology!E71+Hist!E74+JMC!E71+Kinesiology!E74+Math!E73+'Modern Language'!E77+'Music -OLD'!E74+Philosophy!E70+Physics!E73+'Political Science'!E74+Psych!E72+SASW!E77+'Comm Stud Th Dan - OLD'!E77+Stats!E74</f>
        <v>1</v>
      </c>
      <c r="F81" s="221">
        <f t="shared" si="20"/>
        <v>2.0408163265306124E-3</v>
      </c>
      <c r="G81" s="215">
        <v>1</v>
      </c>
      <c r="H81" s="216">
        <f t="shared" si="20"/>
        <v>1.9723865877712033E-3</v>
      </c>
      <c r="I81" s="173">
        <f>Dean_AS!I129+Art!I70+Biochem!I73+Biology!I80+Chemistry!I74+Economics!I74+English!I72+Geography!I76+Geology!I71+Hist!I74+JMC!I71+Kinesiology!I74+Math!I73+'Modern Language'!I77+'Music -OLD'!I74+Philosophy!I70+Physics!I73+'Political Science'!I74+Psych!I72+SASW!I77+'Comm Stud Th Dan - OLD'!I77+Stats!I74</f>
        <v>1</v>
      </c>
      <c r="J81" s="216">
        <f t="shared" si="29"/>
        <v>2.1413276231263384E-3</v>
      </c>
      <c r="K81" s="173">
        <f>Dean_AS!K129+Art!K70+Biochem!K73+Biology!K80+Chemistry!K74+Economics!K74+English!K72+Geography!K76+Geology!K71+Hist!K74+JMC!K71+Kinesiology!K74+Math!K73+'Modern Language'!K77+'Music -OLD'!K74+Philosophy!K70+Physics!K73+'Political Science'!K74+Psych!K72+SASW!K77+'Comm Stud Th Dan - OLD'!K77+Stats!K74</f>
        <v>0</v>
      </c>
      <c r="L81" s="221">
        <f t="shared" si="30"/>
        <v>0</v>
      </c>
      <c r="M81" s="215">
        <f>Dean_AS!M129+'Amer Ethnic Stud'!M71+Art!M70+Biochem!M73+Biology!M80+Chemistry!M74+'Comm Stud Th Dan - OLD'!M77+Economics!M74+English!M72+Geography!M76+Geology!M71+Hist!M74+JMC!M71+Kinesiology!M74+Math!M73+'Modern Language'!M77+'Music -OLD'!M74+Philosophy!M70+Physics!M73+'Political Science'!M74+Psych!M72+SASW!M77+Stats!M74+'Women''s Studies'!M73</f>
        <v>0</v>
      </c>
      <c r="N81" s="216">
        <f t="shared" si="30"/>
        <v>0</v>
      </c>
      <c r="O81" s="173">
        <f>Dean_AS!O129+'Amer Ethnic Stud'!O71+Art!O70+Biochem!O73+Biology!O80+Chemistry!O74+'Comm Stud Th Dan - OLD'!O77+Economics!O74+English!O72+Geography!O76+Geology!O71+Hist!O74+JMC!O71+Kinesiology!O74+Math!O73+'Modern Language'!O77+'Music -OLD'!O74+Philosophy!O70+Physics!O73+'Political Science'!O74+Psych!O72+SASW!O77+Stats!O74+'Women''s Studies'!O73</f>
        <v>0</v>
      </c>
      <c r="P81" s="216">
        <f t="shared" si="21"/>
        <v>0</v>
      </c>
      <c r="Q81" s="173">
        <f>Dean_AS!Q129+'Amer Ethnic Stud'!Q71+Art!Q70+Biochem!Q73+Biology!Q80+Chemistry!Q74+'Comm Stud Th Dan - OLD'!Q77+Economics!Q74+English!Q72+Geography!Q76+Geology!Q71+Hist!Q74+JMC!Q71+Kinesiology!Q74+Math!Q73+'Modern Language'!Q77+'Music -OLD'!Q74+Philosophy!Q70+Physics!Q73+'Political Science'!Q74+Psych!Q72+SASW!Q77+Stats!Q74+'Women''s Studies'!Q73</f>
        <v>2</v>
      </c>
      <c r="R81" s="216">
        <f t="shared" si="22"/>
        <v>3.7950664136622392E-3</v>
      </c>
      <c r="S81" s="173">
        <f>Dean_AS!S129+'Amer Ethnic Stud'!S71+Art!S70+Biochem!S73+Biology!S80+Chemistry!S74+'Comm Stud Th Dan - OLD'!S77+Economics!S74+English!S72+Geography!S76+Geology!S71+Hist!S74+JMC!S71+Kinesiology!S74+Math!S73+'Modern Language'!S77+'Music -OLD'!S74+Philosophy!S70+Physics!S73+'Political Science'!S74+Psych!S72+SASW!S77+Stats!S74+'Women''s Studies'!S73</f>
        <v>1</v>
      </c>
      <c r="T81" s="216">
        <f t="shared" si="23"/>
        <v>1.869158878504673E-3</v>
      </c>
      <c r="U81" s="173">
        <f>Dean_AS!U129+'Amer Ethnic Stud'!U71+Art!U70+Biochem!U73+Biology!U80+Chemistry!U74+'Comm Studies '!U72+Economics!U74+English!U72+Geography!U76+Geology!U71+Hist!U74+JMC!U71+Kinesiology!U74+Math!U73+'Modern Language'!U77+'Music Theatre Dance'!U79+Philosophy!U70+Physics!U73+'Political Science'!U74+Psych!U72+SASW!U77+Stats!U74+'Women''s Studies'!U73</f>
        <v>1</v>
      </c>
      <c r="V81" s="216">
        <f t="shared" si="23"/>
        <v>1.7667844522968198E-3</v>
      </c>
      <c r="W81" s="173">
        <f>Dean_AS!W129+'Amer Ethnic Stud'!W71+Art!W70+Biochem!W73+Biology!W80+Chemistry!W74+'Comm Studies '!W72+Economics!W74+English!W72+Geography!W76+Geology!W71+Hist!W74+JMC!W71+Math!W73+'Modern Language'!W77+'Music Theatre Dance'!W79+Philosophy!W70+Physics!W73+'Political Science'!W74+Psych!W72+SASW!W77+Stats!W74+'Women''s Studies'!W73</f>
        <v>2</v>
      </c>
      <c r="X81" s="216">
        <f t="shared" si="24"/>
        <v>3.6036036036036037E-3</v>
      </c>
      <c r="Y81" s="173">
        <f>Dean_AS!Y129+'Amer Ethnic Stud'!Y71+Art!Y70+Biochem!Y73+Biology!Y80+Chemistry!Y74+'Comm Studies '!Y72+Economics!Y74+English!Y72+Geography!Y76+Geology!Y71+Hist!Y74+JMC!Y71+Math!Y73+'Modern Language'!Y77+'Music Theatre Dance'!Y79+Philosophy!Y70+Physics!Y73+'Political Science'!Y74+Psych!Y72+SASW!Y77+Stats!Y74+'Women''s Studies'!Y73</f>
        <v>2</v>
      </c>
      <c r="Z81" s="1494">
        <f t="shared" si="25"/>
        <v>3.5211267605633804E-3</v>
      </c>
      <c r="AB81" s="1016">
        <f t="shared" si="26"/>
        <v>1.6</v>
      </c>
      <c r="AC81" s="863">
        <f t="shared" si="27"/>
        <v>2.9111480217261431E-3</v>
      </c>
    </row>
    <row r="82" spans="2:29" s="117" customFormat="1" ht="12" x14ac:dyDescent="0.2">
      <c r="B82" s="85" t="s">
        <v>91</v>
      </c>
      <c r="C82" s="319">
        <f>Dean_AS!C130+Art!C71+Biochem!C74+Biology!C81+Chemistry!C75+Economics!C75+English!C73+Geography!C77+Geology!C72+Hist!C75+JMC!C72+Kinesiology!C75+Math!C74+'Modern Language'!C78+'Music -OLD'!C75+Philosophy!C71+Physics!C74+'Political Science'!C75+Psych!C73+SASW!C78+'Comm Stud Th Dan - OLD'!C78+Stats!C75</f>
        <v>39</v>
      </c>
      <c r="D82" s="216">
        <f t="shared" si="28"/>
        <v>8.3511777301927201E-2</v>
      </c>
      <c r="E82" s="319">
        <f>Dean_AS!E130+Art!E71+Biochem!E74+Biology!E81+Chemistry!E75+Economics!E75+English!E73+Geography!E77+Geology!E72+Hist!E75+JMC!E72+Kinesiology!E75+Math!E74+'Modern Language'!E78+'Music -OLD'!E75+Philosophy!E71+Physics!E74+'Political Science'!E75+Psych!E73+SASW!E78+'Comm Stud Th Dan - OLD'!E78+Stats!E75</f>
        <v>40</v>
      </c>
      <c r="F82" s="221">
        <f t="shared" si="20"/>
        <v>8.1632653061224483E-2</v>
      </c>
      <c r="G82" s="215">
        <v>43</v>
      </c>
      <c r="H82" s="216">
        <f t="shared" si="20"/>
        <v>8.4812623274161739E-2</v>
      </c>
      <c r="I82" s="173">
        <f>Dean_AS!I130+Art!I71+Biochem!I74+Biology!I81+Chemistry!I75+Economics!I75+English!I73+Geography!I77+Geology!I72+Hist!I75+JMC!I72+Kinesiology!I75+Math!I74+'Modern Language'!I78+'Music -OLD'!I75+Philosophy!I71+Physics!I74+'Political Science'!I75+Psych!I73+SASW!I78+'Comm Stud Th Dan - OLD'!I78+Stats!I75</f>
        <v>41</v>
      </c>
      <c r="J82" s="216">
        <f t="shared" si="29"/>
        <v>8.7794432548179868E-2</v>
      </c>
      <c r="K82" s="173">
        <f>Dean_AS!K130+Art!K71+Biochem!K74+Biology!K81+Chemistry!K75+Economics!K75+English!K73+Geography!K77+Geology!K72+Hist!K75+JMC!K72+Kinesiology!K75+Math!K74+'Modern Language'!K78+'Music -OLD'!K75+Philosophy!K71+Physics!K74+'Political Science'!K75+Psych!K73+SASW!K78+'Comm Stud Th Dan - OLD'!K78+Stats!K75</f>
        <v>42</v>
      </c>
      <c r="L82" s="221">
        <f t="shared" si="30"/>
        <v>8.0305927342256209E-2</v>
      </c>
      <c r="M82" s="215">
        <f>Dean_AS!M130+'Amer Ethnic Stud'!M72+Art!M71+Biochem!M74+Biology!M81+Chemistry!M75+'Comm Stud Th Dan - OLD'!M78+Economics!M75+English!M73+Geography!M77+Geology!M72+Hist!M75+JMC!M72+Kinesiology!M75+Math!M74+'Modern Language'!M78+'Music -OLD'!M75+Philosophy!M71+Physics!M74+'Political Science'!M75+Psych!M73+SASW!M78+Stats!M75+'Women''s Studies'!M74</f>
        <v>39</v>
      </c>
      <c r="N82" s="216">
        <f t="shared" si="30"/>
        <v>7.24907063197026E-2</v>
      </c>
      <c r="O82" s="173">
        <f>Dean_AS!O130+'Amer Ethnic Stud'!O72+Art!O71+Biochem!O74+Biology!O81+Chemistry!O75+'Comm Stud Th Dan - OLD'!O78+Economics!O75+English!O73+Geography!O77+Geology!O72+Hist!O75+JMC!O72+Kinesiology!O75+Math!O74+'Modern Language'!O78+'Music -OLD'!O75+Philosophy!O71+Physics!O74+'Political Science'!O75+Psych!O73+SASW!O78+Stats!O75+'Women''s Studies'!O74</f>
        <v>40</v>
      </c>
      <c r="P82" s="216">
        <f t="shared" si="21"/>
        <v>7.7821011673151752E-2</v>
      </c>
      <c r="Q82" s="173">
        <f>Dean_AS!Q130+'Amer Ethnic Stud'!Q72+Art!Q71+Biochem!Q74+Biology!Q81+Chemistry!Q75+'Comm Stud Th Dan - OLD'!Q78+Economics!Q75+English!Q73+Geography!Q77+Geology!Q72+Hist!Q75+JMC!Q72+Kinesiology!Q75+Math!Q74+'Modern Language'!Q78+'Music -OLD'!Q75+Philosophy!Q71+Physics!Q74+'Political Science'!Q75+Psych!Q73+SASW!Q78+Stats!Q75+'Women''s Studies'!Q74</f>
        <v>47</v>
      </c>
      <c r="R82" s="216">
        <f t="shared" si="22"/>
        <v>8.9184060721062622E-2</v>
      </c>
      <c r="S82" s="173">
        <f>Dean_AS!S130+'Amer Ethnic Stud'!S72+Art!S71+Biochem!S74+Biology!S81+Chemistry!S75+'Comm Stud Th Dan - OLD'!S78+Economics!S75+English!S73+Geography!S77+Geology!S72+Hist!S75+JMC!S72+Kinesiology!S75+Math!S74+'Modern Language'!S78+'Music -OLD'!S75+Philosophy!S71+Physics!S74+'Political Science'!S75+Psych!S73+SASW!S78+Stats!S75+'Women''s Studies'!S74</f>
        <v>45</v>
      </c>
      <c r="T82" s="216">
        <f t="shared" si="23"/>
        <v>8.4112149532710276E-2</v>
      </c>
      <c r="U82" s="173">
        <f>Dean_AS!U130+'Amer Ethnic Stud'!U72+Art!U71+Biochem!U74+Biology!U81+Chemistry!U75+'Comm Studies '!U73+Economics!U75+English!U73+Geography!U77+Geology!U72+Hist!U75+JMC!U72+Kinesiology!U75+Math!U74+'Modern Language'!U78+'Music Theatre Dance'!U80+Philosophy!U71+Physics!U74+'Political Science'!U75+Psych!U73+SASW!U78+Stats!U75+'Women''s Studies'!U74</f>
        <v>49</v>
      </c>
      <c r="V82" s="216">
        <f t="shared" si="23"/>
        <v>8.6572438162544174E-2</v>
      </c>
      <c r="W82" s="173">
        <f>Dean_AS!W130+'Amer Ethnic Stud'!W72+Art!W71+Biochem!W74+Biology!W81+Chemistry!W75+'Comm Studies '!W73+Economics!W75+English!W73+Geography!W77+Geology!W72+Hist!W75+JMC!W72+Math!W74+'Modern Language'!W78+'Music Theatre Dance'!W80+Philosophy!W71+Physics!W74+'Political Science'!W75+Psych!W73+SASW!W78+Stats!W75+'Women''s Studies'!W74</f>
        <v>42</v>
      </c>
      <c r="X82" s="216">
        <f t="shared" si="24"/>
        <v>7.567567567567568E-2</v>
      </c>
      <c r="Y82" s="173">
        <f>Dean_AS!Y130+'Amer Ethnic Stud'!Y72+Art!Y71+Biochem!Y74+Biology!Y81+Chemistry!Y75+'Comm Studies '!Y73+Economics!Y75+English!Y73+Geography!Y77+Geology!Y72+Hist!Y75+JMC!Y72+Math!Y74+'Modern Language'!Y78+'Music Theatre Dance'!Y80+Philosophy!Y71+Physics!Y74+'Political Science'!Y75+Psych!Y73+SASW!Y78+Stats!Y75+'Women''s Studies'!Y74</f>
        <v>43</v>
      </c>
      <c r="Z82" s="1494">
        <f t="shared" si="25"/>
        <v>7.5704225352112672E-2</v>
      </c>
      <c r="AB82" s="1016">
        <f t="shared" si="26"/>
        <v>45.2</v>
      </c>
      <c r="AC82" s="863">
        <f t="shared" si="27"/>
        <v>8.224970988882109E-2</v>
      </c>
    </row>
    <row r="83" spans="2:29" s="117" customFormat="1" ht="12" x14ac:dyDescent="0.2">
      <c r="B83" s="85" t="s">
        <v>92</v>
      </c>
      <c r="C83" s="319">
        <f>Dean_AS!C131+Art!C72+Biochem!C75+Biology!C82+Chemistry!C76+Economics!C76+English!C74+Geography!C78+Geology!C73+Hist!C76+JMC!C73+Kinesiology!C76+Math!C75+'Modern Language'!C79+'Music -OLD'!C76+Philosophy!C72+Physics!C75+'Political Science'!C76+Psych!C74+SASW!C79+'Comm Stud Th Dan - OLD'!C79+Stats!C76</f>
        <v>29</v>
      </c>
      <c r="D83" s="216">
        <f t="shared" si="28"/>
        <v>6.2098501070663809E-2</v>
      </c>
      <c r="E83" s="319">
        <f>Dean_AS!E131+Art!E72+Biochem!E75+Biology!E82+Chemistry!E76+Economics!E76+English!E74+Geography!E78+Geology!E73+Hist!E76+JMC!E73+Kinesiology!E76+Math!E75+'Modern Language'!E79+'Music -OLD'!E76+Philosophy!E72+Physics!E75+'Political Science'!E76+Psych!E74+SASW!E79+'Comm Stud Th Dan - OLD'!E79+Stats!E76</f>
        <v>34</v>
      </c>
      <c r="F83" s="221">
        <f t="shared" si="20"/>
        <v>6.9387755102040816E-2</v>
      </c>
      <c r="G83" s="215">
        <v>30</v>
      </c>
      <c r="H83" s="216">
        <f t="shared" si="20"/>
        <v>5.9171597633136092E-2</v>
      </c>
      <c r="I83" s="173">
        <f>Dean_AS!I131+Art!I72+Biochem!I75+Biology!I82+Chemistry!I76+Economics!I76+English!I74+Geography!I78+Geology!I73+Hist!I76+JMC!I73+Kinesiology!I76+Math!I75+'Modern Language'!I79+'Music -OLD'!I76+Philosophy!I72+Physics!I75+'Political Science'!I76+Psych!I74+SASW!I79+'Comm Stud Th Dan - OLD'!I79+Stats!I76</f>
        <v>30</v>
      </c>
      <c r="J83" s="216">
        <f t="shared" si="29"/>
        <v>6.4239828693790149E-2</v>
      </c>
      <c r="K83" s="173">
        <f>Dean_AS!K131+Art!K72+Biochem!K75+Biology!K82+Chemistry!K76+Economics!K76+English!K74+Geography!K78+Geology!K73+Hist!K76+JMC!K73+Kinesiology!K76+Math!K75+'Modern Language'!K79+'Music -OLD'!K76+Philosophy!K72+Physics!K75+'Political Science'!K76+Psych!K74+SASW!K79+'Comm Stud Th Dan - OLD'!K79+Stats!K76</f>
        <v>26</v>
      </c>
      <c r="L83" s="221">
        <f t="shared" si="30"/>
        <v>4.9713193116634802E-2</v>
      </c>
      <c r="M83" s="215">
        <f>Dean_AS!M131+'Amer Ethnic Stud'!M73+Art!M72+Biochem!M75+Biology!M82+Chemistry!M76+'Comm Stud Th Dan - OLD'!M79+Economics!M76+English!M74+Geography!M78+Geology!M73+Hist!M76+JMC!M73+Kinesiology!M76+Math!M75+'Modern Language'!M79+'Music -OLD'!M76+Philosophy!M72+Physics!M75+'Political Science'!M76+Psych!M74+SASW!M79+Stats!M76+'Women''s Studies'!M75</f>
        <v>32</v>
      </c>
      <c r="N83" s="216">
        <f t="shared" si="30"/>
        <v>5.9479553903345722E-2</v>
      </c>
      <c r="O83" s="173">
        <f>Dean_AS!O131+'Amer Ethnic Stud'!O73+Art!O72+Biochem!O75+Biology!O82+Chemistry!O76+'Comm Stud Th Dan - OLD'!O79+Economics!O76+English!O74+Geography!O78+Geology!O73+Hist!O76+JMC!O73+Kinesiology!O76+Math!O75+'Modern Language'!O79+'Music -OLD'!O76+Philosophy!O72+Physics!O75+'Political Science'!O76+Psych!O74+SASW!O79+Stats!O76+'Women''s Studies'!O75</f>
        <v>21</v>
      </c>
      <c r="P83" s="216">
        <f t="shared" si="21"/>
        <v>4.085603112840467E-2</v>
      </c>
      <c r="Q83" s="173">
        <f>Dean_AS!Q131+'Amer Ethnic Stud'!Q73+Art!Q72+Biochem!Q75+Biology!Q82+Chemistry!Q76+'Comm Stud Th Dan - OLD'!Q79+Economics!Q76+English!Q74+Geography!Q78+Geology!Q73+Hist!Q76+JMC!Q73+Kinesiology!Q76+Math!Q75+'Modern Language'!Q79+'Music -OLD'!Q76+Philosophy!Q72+Physics!Q75+'Political Science'!Q76+Psych!Q74+SASW!Q79+Stats!Q76+'Women''s Studies'!Q75</f>
        <v>19</v>
      </c>
      <c r="R83" s="216">
        <f t="shared" si="22"/>
        <v>3.6053130929791274E-2</v>
      </c>
      <c r="S83" s="173">
        <f>Dean_AS!S131+'Amer Ethnic Stud'!S73+Art!S72+Biochem!S75+Biology!S82+Chemistry!S76+'Comm Stud Th Dan - OLD'!S79+Economics!S76+English!S74+Geography!S78+Geology!S73+Hist!S76+JMC!S73+Kinesiology!S76+Math!S75+'Modern Language'!S79+'Music -OLD'!S76+Philosophy!S72+Physics!S75+'Political Science'!S76+Psych!S74+SASW!S79+Stats!S76+'Women''s Studies'!S75</f>
        <v>21</v>
      </c>
      <c r="T83" s="216">
        <f t="shared" si="23"/>
        <v>3.925233644859813E-2</v>
      </c>
      <c r="U83" s="173">
        <f>Dean_AS!U131+'Amer Ethnic Stud'!U73+Art!U72+Biochem!U75+Biology!U82+Chemistry!U76+'Comm Studies '!U74+Economics!U76+English!U74+Geography!U78+Geology!U73+Hist!U76+JMC!U73+Kinesiology!U76+Math!U75+'Modern Language'!U79+'Music Theatre Dance'!U81+Philosophy!U72+Physics!U75+'Political Science'!U76+Psych!U74+SASW!U79+Stats!U76+'Women''s Studies'!U75</f>
        <v>28</v>
      </c>
      <c r="V83" s="216">
        <f t="shared" si="23"/>
        <v>4.9469964664310952E-2</v>
      </c>
      <c r="W83" s="173">
        <f>Dean_AS!W131+'Amer Ethnic Stud'!W73+Art!W72+Biochem!W75+Biology!W82+Chemistry!W76+'Comm Studies '!W74+Economics!W76+English!W74+Geography!W78+Geology!W73+Hist!W76+JMC!W73+Math!W75+'Modern Language'!W79+'Music Theatre Dance'!W81+Philosophy!W72+Physics!W75+'Political Science'!W76+Psych!W74+SASW!W79+Stats!W76+'Women''s Studies'!W75</f>
        <v>31</v>
      </c>
      <c r="X83" s="216">
        <f t="shared" si="24"/>
        <v>5.5855855855855854E-2</v>
      </c>
      <c r="Y83" s="173">
        <f>Dean_AS!Y131+'Amer Ethnic Stud'!Y73+Art!Y72+Biochem!Y75+Biology!Y82+Chemistry!Y76+'Comm Studies '!Y74+Economics!Y76+English!Y74+Geography!Y78+Geology!Y73+Hist!Y76+JMC!Y73+Math!Y75+'Modern Language'!Y79+'Music Theatre Dance'!Y81+Philosophy!Y72+Physics!Y75+'Political Science'!Y76+Psych!Y74+SASW!Y79+Stats!Y76+'Women''s Studies'!Y75</f>
        <v>30</v>
      </c>
      <c r="Z83" s="1494">
        <f t="shared" si="25"/>
        <v>5.2816901408450703E-2</v>
      </c>
      <c r="AB83" s="1016">
        <f t="shared" si="26"/>
        <v>25.8</v>
      </c>
      <c r="AC83" s="863">
        <f t="shared" si="27"/>
        <v>4.668963786140138E-2</v>
      </c>
    </row>
    <row r="84" spans="2:29" s="117" customFormat="1" ht="12" x14ac:dyDescent="0.2">
      <c r="B84" s="85" t="s">
        <v>256</v>
      </c>
      <c r="C84" s="319"/>
      <c r="D84" s="216"/>
      <c r="E84" s="346"/>
      <c r="F84" s="221"/>
      <c r="G84" s="1510"/>
      <c r="H84" s="1511"/>
      <c r="I84" s="1512"/>
      <c r="J84" s="1511"/>
      <c r="K84" s="1512"/>
      <c r="L84" s="1513"/>
      <c r="M84" s="1515"/>
      <c r="N84" s="1511"/>
      <c r="O84" s="1516"/>
      <c r="P84" s="1511"/>
      <c r="Q84" s="173">
        <f>Dean_AS!Q132+'Amer Ethnic Stud'!Q74+Art!Q73+Biochem!Q76+Biology!Q83+Chemistry!Q77+'Comm Stud Th Dan - OLD'!Q80+Economics!Q77+English!Q75+Geography!Q79+Geology!Q74+Hist!Q77+JMC!Q74+Kinesiology!Q77+Math!Q76+'Modern Language'!Q80+'Music -OLD'!Q77+Philosophy!Q73+Physics!Q76+'Political Science'!Q77+Psych!Q75+SASW!Q80+Stats!Q78+'Women''s Studies'!Q77</f>
        <v>4</v>
      </c>
      <c r="R84" s="216">
        <f>Q84/R$76</f>
        <v>7.5901328273244783E-3</v>
      </c>
      <c r="S84" s="173">
        <f>Dean_AS!S132+'Amer Ethnic Stud'!S74+Art!S73+Biochem!S76+Biology!S83+Chemistry!S77+'Comm Stud Th Dan - OLD'!S80+Economics!S77+English!S75+Geography!S79+Geology!S74+Hist!S77+JMC!S74+Kinesiology!S77+Math!S76+'Modern Language'!S80+'Music -OLD'!S77+Philosophy!S73+Physics!S76+'Political Science'!S77+Psych!S75+SASW!S80+Stats!S78+'Women''s Studies'!S77</f>
        <v>9</v>
      </c>
      <c r="T84" s="216">
        <f>S84/T$76</f>
        <v>1.6822429906542057E-2</v>
      </c>
      <c r="U84" s="173">
        <f>Dean_AS!U132+'Amer Ethnic Stud'!U74+Art!U73+Biochem!U76+Biology!U83+Chemistry!U77+'Comm Studies '!U75+Economics!U77+English!U75+Geography!U79+Geology!U74+Hist!U77+JMC!U74+Kinesiology!U77+Math!U76+'Modern Language'!U80+'Music Theatre Dance'!U82+Philosophy!U73+Physics!U76+'Political Science'!U77+Psych!U75+SASW!U80+Stats!U77+'Women''s Studies'!U76</f>
        <v>6</v>
      </c>
      <c r="V84" s="216">
        <f>U84/V$76</f>
        <v>1.0600706713780919E-2</v>
      </c>
      <c r="W84" s="173">
        <f>Dean_AS!W132+'Amer Ethnic Stud'!W74+Art!W73+Biochem!W76+Biology!W83+Chemistry!W77+'Comm Studies '!W75+Economics!W77+English!W75+Geography!W79+Geology!W74+Hist!W77+JMC!W74+Math!W76+'Modern Language'!W80+'Music Theatre Dance'!W82+Philosophy!W73+Physics!W76+'Political Science'!W77+Psych!W75+SASW!W80+Stats!W77+'Women''s Studies'!W76</f>
        <v>4</v>
      </c>
      <c r="X84" s="216">
        <f>W84/X$76</f>
        <v>7.2072072072072073E-3</v>
      </c>
      <c r="Y84" s="173">
        <f>Dean_AS!Y132+'Amer Ethnic Stud'!Y74+Art!Y73+Biochem!Y76+Biology!Y83+Chemistry!Y77+'Comm Studies '!Y75+Economics!Y77+English!Y75+Geography!Y79+Geology!Y74+Hist!Y77+JMC!Y74+Math!Y76+'Modern Language'!Y80+'Music Theatre Dance'!Y82+Philosophy!Y73+Physics!Y76+'Political Science'!Y77+Psych!Y75+SASW!Y80+Stats!Y77+'Women''s Studies'!Y76</f>
        <v>5</v>
      </c>
      <c r="Z84" s="1494">
        <f>Y84/Z$76</f>
        <v>8.8028169014084511E-3</v>
      </c>
      <c r="AB84" s="1016">
        <f t="shared" si="26"/>
        <v>5.6</v>
      </c>
      <c r="AC84" s="863">
        <f t="shared" si="27"/>
        <v>1.0204658711252623E-2</v>
      </c>
    </row>
    <row r="85" spans="2:29" s="117" customFormat="1" ht="12" x14ac:dyDescent="0.2">
      <c r="B85" s="85" t="s">
        <v>93</v>
      </c>
      <c r="C85" s="319">
        <f>Dean_AS!C133+Art!C74+Biochem!C77+Biology!C84+Chemistry!C78+Economics!C78+English!C76+Geography!C80+Geology!C75+Hist!C78+JMC!C75+Kinesiology!C78+Math!C77+'Modern Language'!C81+'Music -OLD'!C78+Philosophy!C74+Physics!C77+'Political Science'!C78+Psych!C76+SASW!C81+'Comm Stud Th Dan - OLD'!C81+Stats!C78</f>
        <v>3</v>
      </c>
      <c r="D85" s="216">
        <f t="shared" si="28"/>
        <v>6.4239828693790149E-3</v>
      </c>
      <c r="E85" s="346">
        <f>Dean_AS!E133+Art!E74+Biochem!E77+Biology!E84+Chemistry!E78+Economics!E78+English!E76+Geography!E80+Geology!E75+Hist!E78+JMC!E75+Kinesiology!E78+Math!E77+'Modern Language'!E81+'Music -OLD'!E78+Philosophy!E74+Physics!E77+'Political Science'!E78+Psych!E76+SASW!E81+'Comm Stud Th Dan - OLD'!E81+Stats!E78</f>
        <v>2</v>
      </c>
      <c r="F85" s="221">
        <f t="shared" si="20"/>
        <v>4.0816326530612249E-3</v>
      </c>
      <c r="G85" s="217">
        <v>3</v>
      </c>
      <c r="H85" s="216">
        <f t="shared" si="20"/>
        <v>5.9171597633136093E-3</v>
      </c>
      <c r="I85" s="174">
        <f>Dean_AS!I133+Art!I74+Biochem!I77+Biology!I84+Chemistry!I78+Economics!I78+English!I76+Geography!I80+Geology!I75+Hist!I78+JMC!I75+Kinesiology!I78+Math!I77+'Modern Language'!I81+'Music -OLD'!I78+Philosophy!I74+Physics!I77+'Political Science'!I78+Psych!I76+SASW!I81+'Comm Stud Th Dan - OLD'!I81+Stats!I78</f>
        <v>1</v>
      </c>
      <c r="J85" s="216">
        <f t="shared" si="29"/>
        <v>2.1413276231263384E-3</v>
      </c>
      <c r="K85" s="174">
        <f>Dean_AS!K133+Art!K74+Biochem!K77+Biology!K84+Chemistry!K78+Economics!K78+English!K76+Geography!K80+Geology!K75+Hist!K78+JMC!K75+Kinesiology!K78+Math!K77+'Modern Language'!K81+'Music -OLD'!K78+Philosophy!K74+Physics!K77+'Political Science'!K78+Psych!K76+SASW!K81+'Comm Stud Th Dan - OLD'!K81+Stats!K78</f>
        <v>3</v>
      </c>
      <c r="L85" s="221">
        <f t="shared" si="30"/>
        <v>5.7361376673040155E-3</v>
      </c>
      <c r="M85" s="215">
        <f>Dean_AS!M133+'Amer Ethnic Stud'!M75+Art!M74+Biochem!M77+Biology!M84+Chemistry!M78+'Comm Stud Th Dan - OLD'!M81+Economics!M78+English!M76+Geography!M80+Geology!M75+Hist!M78+JMC!M75+Kinesiology!M78+Math!M77+'Modern Language'!M81+'Music -OLD'!M78+Philosophy!M74+Physics!M77+'Political Science'!M78+Psych!M76+SASW!M81+Stats!M78+'Women''s Studies'!M77</f>
        <v>4</v>
      </c>
      <c r="N85" s="216">
        <f t="shared" si="30"/>
        <v>7.4349442379182153E-3</v>
      </c>
      <c r="O85" s="173">
        <f>Dean_AS!O133+'Amer Ethnic Stud'!O75+Art!O74+Biochem!O77+Biology!O84+Chemistry!O78+'Comm Stud Th Dan - OLD'!O81+Economics!O78+English!O76+Geography!O80+Geology!O75+Hist!O78+JMC!O75+Kinesiology!O78+Math!O77+'Modern Language'!O81+'Music -OLD'!O78+Philosophy!O74+Physics!O77+'Political Science'!O78+Psych!O76+SASW!O81+Stats!O78+'Women''s Studies'!O77</f>
        <v>4</v>
      </c>
      <c r="P85" s="216">
        <f t="shared" si="21"/>
        <v>7.7821011673151752E-3</v>
      </c>
      <c r="Q85" s="173">
        <f>Dean_AS!Q133+'Amer Ethnic Stud'!Q75+Art!Q74+Biochem!Q77+Biology!Q84+Chemistry!Q78+'Comm Stud Th Dan - OLD'!Q81+Economics!Q78+English!Q76+Geography!Q80+Geology!Q75+Hist!Q78+JMC!Q75+Kinesiology!Q78+Math!Q77+'Modern Language'!Q81+'Music -OLD'!Q78+Philosophy!Q74+Physics!Q77+'Political Science'!Q78+Psych!Q76+SASW!Q81+Stats!Q78+'Women''s Studies'!Q77</f>
        <v>4</v>
      </c>
      <c r="R85" s="216">
        <f t="shared" si="22"/>
        <v>7.5901328273244783E-3</v>
      </c>
      <c r="S85" s="173">
        <f>Dean_AS!S133+'Amer Ethnic Stud'!S75+Art!S74+Biochem!S77+Biology!S84+Chemistry!S78+'Comm Stud Th Dan - OLD'!S81+Economics!S78+English!S76+Geography!S80+Geology!S75+Hist!S78+JMC!S75+Kinesiology!S78+Math!S77+'Modern Language'!S81+'Music -OLD'!S78+Philosophy!S74+Physics!S77+'Political Science'!S78+Psych!S76+SASW!S81+Stats!S78+'Women''s Studies'!S77</f>
        <v>5</v>
      </c>
      <c r="T85" s="216">
        <f>S85/T$76</f>
        <v>9.3457943925233638E-3</v>
      </c>
      <c r="U85" s="173">
        <f>Dean_AS!U133+'Amer Ethnic Stud'!U75+Art!U74+Biochem!U77+Biology!U84+Chemistry!U78+'Comm Studies '!U76+Economics!U78+English!U76+Geography!U80+Geology!U75+Hist!U78+JMC!U75+Kinesiology!U78+Math!U77+'Modern Language'!U81+'Music Theatre Dance'!U83+Philosophy!U74+Physics!U77+'Political Science'!U78+Psych!U76+SASW!U81+Stats!U78+'Women''s Studies'!U77</f>
        <v>10</v>
      </c>
      <c r="V85" s="216">
        <f>U85/V$76</f>
        <v>1.7667844522968199E-2</v>
      </c>
      <c r="W85" s="173">
        <f>Dean_AS!W133+'Amer Ethnic Stud'!W75+Art!W74+Biochem!W77+Biology!W84+Chemistry!W78+'Comm Studies '!W76+Economics!W78+English!W76+Geography!W80+Geology!W75+Hist!W78+JMC!W75+Math!W77+'Modern Language'!W81+'Music Theatre Dance'!W83+Philosophy!W74+Physics!W77+'Political Science'!W78+Psych!W76+SASW!W81+Stats!W78+'Women''s Studies'!W77</f>
        <v>13</v>
      </c>
      <c r="X85" s="216">
        <f>W85/X$76</f>
        <v>2.3423423423423424E-2</v>
      </c>
      <c r="Y85" s="173">
        <f>Dean_AS!Y133+'Amer Ethnic Stud'!Y75+Art!Y74+Biochem!Y77+Biology!Y84+Chemistry!Y78+'Comm Studies '!Y76+Economics!Y78+English!Y76+Geography!Y80+Geology!Y75+Hist!Y78+JMC!Y75+Math!Y77+'Modern Language'!Y81+'Music Theatre Dance'!Y83+Philosophy!Y74+Physics!Y77+'Political Science'!Y78+Psych!Y76+SASW!Y81+Stats!Y78+'Women''s Studies'!Y77</f>
        <v>18</v>
      </c>
      <c r="Z85" s="1494">
        <f>Y85/Z$76</f>
        <v>3.1690140845070422E-2</v>
      </c>
      <c r="AB85" s="1016">
        <f t="shared" si="26"/>
        <v>10</v>
      </c>
      <c r="AC85" s="863">
        <f t="shared" si="27"/>
        <v>1.7943467202261979E-2</v>
      </c>
    </row>
    <row r="86" spans="2:29" s="117" customFormat="1" ht="12" x14ac:dyDescent="0.2">
      <c r="B86" s="343" t="s">
        <v>136</v>
      </c>
      <c r="C86" s="319"/>
      <c r="D86" s="216"/>
      <c r="E86" s="326"/>
      <c r="F86" s="310"/>
      <c r="G86" s="314"/>
      <c r="H86" s="394"/>
      <c r="I86" s="163"/>
      <c r="J86" s="394"/>
      <c r="K86" s="163"/>
      <c r="L86" s="310"/>
      <c r="M86" s="215"/>
      <c r="N86" s="394"/>
      <c r="O86" s="173"/>
      <c r="P86" s="394"/>
      <c r="Q86" s="173"/>
      <c r="R86" s="394"/>
      <c r="S86" s="173"/>
      <c r="T86" s="394"/>
      <c r="U86" s="173"/>
      <c r="V86" s="394"/>
      <c r="W86" s="173"/>
      <c r="X86" s="394"/>
      <c r="Y86" s="173"/>
      <c r="Z86" s="1500"/>
      <c r="AB86" s="1016"/>
      <c r="AC86" s="863"/>
    </row>
    <row r="87" spans="2:29" s="117" customFormat="1" ht="12" x14ac:dyDescent="0.2">
      <c r="B87" s="75" t="s">
        <v>124</v>
      </c>
      <c r="C87" s="319">
        <f>Dean_AS!C135+Art!C76+Biochem!C79+Biology!C86+Chemistry!C80+Economics!C80+English!C78+Geography!C82+Geology!C77+Hist!C80+JMC!C77+Kinesiology!C80+Math!C79+'Modern Language'!C83+'Music -OLD'!C80+Philosophy!C76+Physics!C79+'Political Science'!C80+Psych!C78+SASW!C83+'Comm Stud Th Dan - OLD'!C83+Stats!C80</f>
        <v>306</v>
      </c>
      <c r="D87" s="216">
        <f t="shared" si="28"/>
        <v>0.65524625267665948</v>
      </c>
      <c r="E87" s="224">
        <f>Dean_AS!E135+Art!E76+Biochem!E79+Biology!E86+Chemistry!E80+Economics!E80+English!E78+Geography!E82+Geology!E77+Hist!E80+JMC!E77+Kinesiology!E80+Math!E79+'Modern Language'!E83+'Music -OLD'!E80+Philosophy!E76+Physics!E79+'Political Science'!E80+Psych!E78+SASW!E83+'Comm Stud Th Dan - OLD'!E83+Stats!E80</f>
        <v>322</v>
      </c>
      <c r="F87" s="311">
        <f>E87/F$76</f>
        <v>0.65714285714285714</v>
      </c>
      <c r="G87" s="229">
        <v>322</v>
      </c>
      <c r="H87" s="216">
        <f>G87/H$76</f>
        <v>0.63510848126232744</v>
      </c>
      <c r="I87" s="183">
        <f>Dean_AS!I135+Art!I76+Biochem!I79+Biology!I86+Chemistry!I80+Economics!I80+English!I78+Geography!I82+Geology!I77+Hist!I80+JMC!I77+Kinesiology!I80+Math!I79+'Modern Language'!I83+'Music -OLD'!I80+Philosophy!I76+Physics!I79+'Political Science'!I80+Psych!I78+SASW!I83+'Comm Stud Th Dan - OLD'!I83+Stats!I80</f>
        <v>322</v>
      </c>
      <c r="J87" s="216">
        <f>I87/$D$76</f>
        <v>0.68950749464668093</v>
      </c>
      <c r="K87" s="183">
        <f>Dean_AS!K135+Art!K76+Biochem!K79+Biology!K86+Chemistry!K80+Economics!K80+English!K78+Geography!K82+Geology!K77+Hist!K80+JMC!K77+Kinesiology!K80+Math!K79+'Modern Language'!K83+'Music -OLD'!K80+Philosophy!K76+Physics!K79+'Political Science'!K80+Psych!K78+SASW!K83+'Comm Stud Th Dan - OLD'!K83+Stats!K80</f>
        <v>335</v>
      </c>
      <c r="L87" s="311">
        <f>K87/L$76</f>
        <v>0.64053537284894835</v>
      </c>
      <c r="M87" s="215">
        <f>Dean_AS!M135+'Amer Ethnic Stud'!M77+Art!M76+Biochem!M79+Biology!M86+Chemistry!M80+'Comm Stud Th Dan - OLD'!M83+Economics!M80+English!M78+Geography!M82+Geology!M77+Hist!M80+JMC!M77+Kinesiology!M80+Math!M79+'Modern Language'!M83+'Music -OLD'!M80+Philosophy!M76+Physics!M79+'Political Science'!M80+Psych!M78+SASW!M83+Stats!M80+'Women''s Studies'!M79</f>
        <v>338</v>
      </c>
      <c r="N87" s="395">
        <f>M87/N$76</f>
        <v>0.62825278810408924</v>
      </c>
      <c r="O87" s="173">
        <f>Dean_AS!O135+'Amer Ethnic Stud'!O77+Art!O76+Biochem!O79+Biology!O86+Chemistry!O80+'Comm Stud Th Dan - OLD'!O83+Economics!O80+English!O78+Geography!O82+Geology!O77+Hist!O80+JMC!O77+Kinesiology!O80+Math!O79+'Modern Language'!O83+'Music -OLD'!O80+Philosophy!O76+Physics!O79+'Political Science'!O80+Psych!O78+SASW!O83+Stats!O80+'Women''s Studies'!O79</f>
        <v>291</v>
      </c>
      <c r="P87" s="395">
        <f>O87/P$76</f>
        <v>0.56614785992217898</v>
      </c>
      <c r="Q87" s="173">
        <f>Dean_AS!Q135+'Amer Ethnic Stud'!Q77+Art!Q76+Biochem!Q79+Biology!Q86+Chemistry!Q80+'Comm Stud Th Dan - OLD'!Q83+Economics!Q80+English!Q78+Geography!Q82+Geology!Q77+Hist!Q80+JMC!Q77+Kinesiology!Q80+Math!Q79+'Modern Language'!Q83+'Music -OLD'!Q80+Philosophy!Q76+Physics!Q79+'Political Science'!Q80+Psych!Q78+SASW!Q83+Stats!Q80+'Women''s Studies'!Q79</f>
        <v>323</v>
      </c>
      <c r="R87" s="216">
        <f>Q87/R$76</f>
        <v>0.61290322580645162</v>
      </c>
      <c r="S87" s="173">
        <f>Dean_AS!S135+'Amer Ethnic Stud'!S77+Art!S76+Biochem!S79+Biology!S86+Chemistry!S80+'Comm Stud Th Dan - OLD'!S83+Economics!S80+English!S78+Geography!S82+Geology!S77+Hist!S80+JMC!S77+Kinesiology!S80+Math!S79+'Modern Language'!S83+'Music -OLD'!S80+Philosophy!S76+Physics!S79+'Political Science'!S80+Psych!S78+SASW!S83+Stats!S80+'Women''s Studies'!S79</f>
        <v>337</v>
      </c>
      <c r="T87" s="216">
        <f>S87/T$76</f>
        <v>0.62990654205607477</v>
      </c>
      <c r="U87" s="173">
        <f>Dean_AS!U135+'Amer Ethnic Stud'!U77+Art!U76+Biochem!U79+Biology!U86+Chemistry!U80+'Comm Studies '!U78+Economics!U80+English!U78+Geography!U82+Geology!U77+Hist!U80+JMC!U77+Kinesiology!U80+Math!U79+'Modern Language'!U83+'Music Theatre Dance'!U85+Philosophy!U76+Physics!U79+'Political Science'!U80+Psych!U78+SASW!U83+Stats!U80+'Women''s Studies'!U79</f>
        <v>355</v>
      </c>
      <c r="V87" s="216">
        <f>U87/V$76</f>
        <v>0.62720848056537104</v>
      </c>
      <c r="W87" s="173">
        <f>Dean_AS!W135+'Amer Ethnic Stud'!W77+Art!W76+Biochem!W79+Biology!W86+Chemistry!W80+'Comm Studies '!W78+Economics!W80+English!W78+Geography!W82+Geology!W77+Hist!W80+JMC!W77+Math!W79+'Modern Language'!W83+'Music Theatre Dance'!W85+Philosophy!W76+Physics!W79+'Political Science'!W80+Psych!W78+SASW!W83+Stats!W80+'Women''s Studies'!W79</f>
        <v>337</v>
      </c>
      <c r="X87" s="216">
        <f>W87/X$76</f>
        <v>0.60720720720720722</v>
      </c>
      <c r="Y87" s="173">
        <f>Dean_AS!Y135+'Amer Ethnic Stud'!Y77+Art!Y76+Biochem!Y79+Biology!Y86+Chemistry!Y80+'Comm Studies '!Y78+Economics!Y80+English!Y78+Geography!Y82+Geology!Y77+Hist!Y80+JMC!Y77+Math!Y79+'Modern Language'!Y83+'Music Theatre Dance'!Y85+Philosophy!Y76+Physics!Y79+'Political Science'!Y80+Psych!Y78+SASW!Y83+Stats!Y80+'Women''s Studies'!Y79</f>
        <v>343</v>
      </c>
      <c r="Z87" s="1494">
        <f>Y87/Z$76</f>
        <v>0.60387323943661975</v>
      </c>
      <c r="AB87" s="1016">
        <f t="shared" si="26"/>
        <v>339</v>
      </c>
      <c r="AC87" s="863">
        <f t="shared" si="27"/>
        <v>0.61621973901434479</v>
      </c>
    </row>
    <row r="88" spans="2:29" s="117" customFormat="1" ht="12" x14ac:dyDescent="0.2">
      <c r="B88" s="75" t="s">
        <v>125</v>
      </c>
      <c r="C88" s="319">
        <f>Dean_AS!C136+Art!C77+Biochem!C80+Biology!C87+Chemistry!C81+Economics!C81+English!C79+Geography!C83+Geology!C78+Hist!C81+JMC!C78+Kinesiology!C81+Math!C80+'Modern Language'!C84+'Music -OLD'!C81+Philosophy!C77+Physics!C80+'Political Science'!C81+Psych!C79+SASW!C84+'Comm Stud Th Dan - OLD'!C84+Stats!C81</f>
        <v>161</v>
      </c>
      <c r="D88" s="216">
        <f t="shared" si="28"/>
        <v>0.34475374732334046</v>
      </c>
      <c r="E88" s="224">
        <f>Dean_AS!E136+Art!E77+Biochem!E80+Biology!E87+Chemistry!E81+Economics!E81+English!E79+Geography!E83+Geology!E78+Hist!E81+JMC!E78+Kinesiology!E81+Math!E80+'Modern Language'!E84+'Music -OLD'!E81+Philosophy!E77+Physics!E80+'Political Science'!E81+Psych!E79+SASW!E84+'Comm Stud Th Dan - OLD'!E84+Stats!E81</f>
        <v>165</v>
      </c>
      <c r="F88" s="311">
        <f>E88/F$76</f>
        <v>0.33673469387755101</v>
      </c>
      <c r="G88" s="230">
        <v>185</v>
      </c>
      <c r="H88" s="216">
        <f>G88/H$76</f>
        <v>0.36489151873767256</v>
      </c>
      <c r="I88" s="283">
        <f>Dean_AS!I136+Art!I77+Biochem!I80+Biology!I87+Chemistry!I81+Economics!I81+English!I79+Geography!I83+Geology!I78+Hist!I81+JMC!I78+Kinesiology!I81+Math!I80+'Modern Language'!I84+'Music -OLD'!I81+Philosophy!I77+Physics!I80+'Political Science'!I81+Psych!I79+SASW!I84+'Comm Stud Th Dan - OLD'!I84+Stats!I81</f>
        <v>186</v>
      </c>
      <c r="J88" s="216">
        <f>I88/$D$76</f>
        <v>0.39828693790149894</v>
      </c>
      <c r="K88" s="283">
        <f>Dean_AS!K136+Art!K77+Biochem!K80+Biology!K87+Chemistry!K81+Economics!K81+English!K79+Geography!K83+Geology!K78+Hist!K81+JMC!K78+Kinesiology!K81+Math!K80+'Modern Language'!K84+'Music -OLD'!K81+Philosophy!K77+Physics!K80+'Political Science'!K81+Psych!K79+SASW!K84+'Comm Stud Th Dan - OLD'!K84+Stats!K81</f>
        <v>190</v>
      </c>
      <c r="L88" s="311">
        <f>K88/L$76</f>
        <v>0.3632887189292543</v>
      </c>
      <c r="M88" s="215">
        <f>Dean_AS!M136+'Amer Ethnic Stud'!M78+Art!M77+Biochem!M80+Biology!M87+Chemistry!M81+'Comm Stud Th Dan - OLD'!M84+Economics!M81+English!M79+Geography!M83+Geology!M78+Hist!M81+JMC!M78+Kinesiology!M81+Math!M80+'Modern Language'!M84+'Music -OLD'!M81+Philosophy!M77+Physics!M80+'Political Science'!M81+Psych!M79+SASW!M84+Stats!M81+'Women''s Studies'!M80</f>
        <v>200</v>
      </c>
      <c r="N88" s="395">
        <f>M88/N$76</f>
        <v>0.37174721189591076</v>
      </c>
      <c r="O88" s="173">
        <f>Dean_AS!O136+'Amer Ethnic Stud'!O78+Art!O77+Biochem!O80+Biology!O87+Chemistry!O81+'Comm Stud Th Dan - OLD'!O84+Economics!O81+English!O79+Geography!O83+Geology!O78+Hist!O81+JMC!O78+Kinesiology!O81+Math!O80+'Modern Language'!O84+'Music -OLD'!O81+Philosophy!O77+Physics!O80+'Political Science'!O81+Psych!O79+SASW!O84+Stats!O81+'Women''s Studies'!O80</f>
        <v>181</v>
      </c>
      <c r="P88" s="395">
        <f>O88/P$76</f>
        <v>0.3521400778210117</v>
      </c>
      <c r="Q88" s="173">
        <f>Dean_AS!Q136+'Amer Ethnic Stud'!Q78+Art!Q77+Biochem!Q80+Biology!Q87+Chemistry!Q81+'Comm Stud Th Dan - OLD'!Q84+Economics!Q81+English!Q79+Geography!Q83+Geology!Q78+Hist!Q81+JMC!Q78+Kinesiology!Q81+Math!Q80+'Modern Language'!Q84+'Music -OLD'!Q81+Philosophy!Q77+Physics!Q80+'Political Science'!Q81+Psych!Q79+SASW!Q84+Stats!Q81+'Women''s Studies'!Q80</f>
        <v>204</v>
      </c>
      <c r="R88" s="216">
        <f>Q88/R$76</f>
        <v>0.38709677419354838</v>
      </c>
      <c r="S88" s="173">
        <f>Dean_AS!S136+'Amer Ethnic Stud'!S78+Art!S77+Biochem!S80+Biology!S87+Chemistry!S81+'Comm Stud Th Dan - OLD'!S84+Economics!S81+English!S79+Geography!S83+Geology!S78+Hist!S81+JMC!S78+Kinesiology!S81+Math!S80+'Modern Language'!S84+'Music -OLD'!S81+Philosophy!S77+Physics!S80+'Political Science'!S81+Psych!S79+SASW!S84+Stats!S81+'Women''s Studies'!S80</f>
        <v>198</v>
      </c>
      <c r="T88" s="216">
        <f>S88/T$76</f>
        <v>0.37009345794392523</v>
      </c>
      <c r="U88" s="173">
        <f>Dean_AS!U136+'Amer Ethnic Stud'!U78+Art!U77+Biochem!U80+Biology!U87+Chemistry!U81+'Comm Studies '!U79+Economics!U81+English!U79+Geography!U83+Geology!U78+Hist!U81+JMC!U78+Kinesiology!U81+Math!U80+'Modern Language'!U84+'Music Theatre Dance'!U86+Philosophy!U77+Physics!U80+'Political Science'!U81+Psych!U79+SASW!U84+Stats!U81+'Women''s Studies'!U80</f>
        <v>211</v>
      </c>
      <c r="V88" s="216">
        <f>U88/V$76</f>
        <v>0.37279151943462896</v>
      </c>
      <c r="W88" s="173">
        <f>Dean_AS!W136+'Amer Ethnic Stud'!W78+Art!W77+Biochem!W80+Biology!W87+Chemistry!W81+'Comm Studies '!W79+Economics!W81+English!W79+Geography!W83+Geology!W78+Hist!W81+JMC!W78+Math!W80+'Modern Language'!W84+'Music Theatre Dance'!W86+Philosophy!W77+Physics!W80+'Political Science'!W81+Psych!W79+SASW!W84+Stats!W81+'Women''s Studies'!W80</f>
        <v>218</v>
      </c>
      <c r="X88" s="216">
        <f>W88/X$76</f>
        <v>0.39279279279279278</v>
      </c>
      <c r="Y88" s="173">
        <f>Dean_AS!Y136+'Amer Ethnic Stud'!Y78+Art!Y77+Biochem!Y80+Biology!Y87+Chemistry!Y81+'Comm Studies '!Y79+Economics!Y81+English!Y79+Geography!Y83+Geology!Y78+Hist!Y81+JMC!Y78+Math!Y80+'Modern Language'!Y84+'Music Theatre Dance'!Y86+Philosophy!Y77+Physics!Y80+'Political Science'!Y81+Psych!Y79+SASW!Y84+Stats!Y81+'Women''s Studies'!Y80</f>
        <v>225</v>
      </c>
      <c r="Z88" s="1494">
        <f>Y88/Z$76</f>
        <v>0.39612676056338031</v>
      </c>
      <c r="AB88" s="1016">
        <f t="shared" si="26"/>
        <v>211.2</v>
      </c>
      <c r="AC88" s="863">
        <f t="shared" si="27"/>
        <v>0.38378026098565515</v>
      </c>
    </row>
    <row r="89" spans="2:29" s="117" customFormat="1" ht="12" x14ac:dyDescent="0.2">
      <c r="B89" s="343" t="s">
        <v>137</v>
      </c>
      <c r="C89" s="319"/>
      <c r="D89" s="216"/>
      <c r="E89" s="396"/>
      <c r="F89" s="311"/>
      <c r="G89" s="315"/>
      <c r="H89" s="216"/>
      <c r="I89" s="285"/>
      <c r="J89" s="216"/>
      <c r="K89" s="285"/>
      <c r="L89" s="311"/>
      <c r="M89" s="215"/>
      <c r="N89" s="395"/>
      <c r="O89" s="173"/>
      <c r="P89" s="395"/>
      <c r="Q89" s="173"/>
      <c r="R89" s="216"/>
      <c r="S89" s="173"/>
      <c r="T89" s="216"/>
      <c r="U89" s="173"/>
      <c r="V89" s="216"/>
      <c r="W89" s="173"/>
      <c r="X89" s="216"/>
      <c r="Y89" s="173"/>
      <c r="Z89" s="1494"/>
      <c r="AA89" s="410"/>
      <c r="AB89" s="1016"/>
      <c r="AC89" s="863"/>
    </row>
    <row r="90" spans="2:29" s="117" customFormat="1" ht="12" x14ac:dyDescent="0.2">
      <c r="B90" s="75" t="s">
        <v>126</v>
      </c>
      <c r="C90" s="319">
        <f>Dean_AS!C138+Art!C79+Biochem!C82+Biology!C89+Chemistry!C83+Economics!C83+English!C81+Geography!C85+Geology!C80+Hist!C83+JMC!C80+Kinesiology!C83+Math!C82+'Modern Language'!C86+'Music -OLD'!C83+Philosophy!C79+Physics!C82+'Political Science'!C83+Psych!C81+SASW!C86+'Comm Stud Th Dan - OLD'!C86+Stats!C83</f>
        <v>269</v>
      </c>
      <c r="D90" s="216">
        <f t="shared" si="28"/>
        <v>0.57601713062098503</v>
      </c>
      <c r="E90" s="224">
        <f>Dean_AS!E138+Art!E79+Biochem!E82+Biology!E89+Chemistry!E83+Economics!E83+English!E81+Geography!E85+Geology!E80+Hist!E83+JMC!E80+Kinesiology!E83+Math!E82+'Modern Language'!E86+'Music -OLD'!E83+Philosophy!E79+Physics!E82+'Political Science'!E83+Psych!E81+SASW!E86+'Comm Stud Th Dan - OLD'!E86+Stats!E83</f>
        <v>288</v>
      </c>
      <c r="F90" s="311">
        <f>E90/F$76</f>
        <v>0.58775510204081638</v>
      </c>
      <c r="G90" s="230">
        <v>280</v>
      </c>
      <c r="H90" s="216">
        <f>G90/H$76</f>
        <v>0.55226824457593693</v>
      </c>
      <c r="I90" s="283">
        <f>Dean_AS!I138+Art!I79+Biochem!I82+Biology!I89+Chemistry!I83+Economics!I83+English!I81+Geography!I85+Geology!I80+Hist!I83+JMC!I80+Kinesiology!I83+Math!I82+'Modern Language'!I86+'Music -OLD'!I83+Philosophy!I79+Physics!I82+'Political Science'!I83+Psych!I81+SASW!I86+'Comm Stud Th Dan - OLD'!I86+Stats!I83</f>
        <v>265</v>
      </c>
      <c r="J90" s="216">
        <f>I90/$D$76</f>
        <v>0.56745182012847961</v>
      </c>
      <c r="K90" s="283">
        <f>Dean_AS!K138+Art!K79+Biochem!K82+Biology!K89+Chemistry!K83+Economics!K83+English!K81+Geography!K85+Geology!K80+Hist!K83+JMC!K80+Kinesiology!K83+Math!K82+'Modern Language'!K86+'Music -OLD'!K83+Philosophy!K79+Physics!K82+'Political Science'!K83+Psych!K81+SASW!K86+'Comm Stud Th Dan - OLD'!K86+Stats!K83</f>
        <v>265</v>
      </c>
      <c r="L90" s="311">
        <f>K90/L$76</f>
        <v>0.50669216061185474</v>
      </c>
      <c r="M90" s="215">
        <f>Dean_AS!M138+'Amer Ethnic Stud'!M80+Art!M79+Biochem!M82+Biology!M89+Chemistry!M83+'Comm Stud Th Dan - OLD'!M86+Economics!M83+English!M81+Geography!M85+Geology!M80+Hist!M83+JMC!M80+Kinesiology!M83+Math!M82+'Modern Language'!M86+'Music -OLD'!M83+Philosophy!M79+Physics!M82+'Political Science'!M83+Psych!M81+SASW!M86+Stats!M83+'Women''s Studies'!M82</f>
        <v>271</v>
      </c>
      <c r="N90" s="395">
        <f>M90/N$76</f>
        <v>0.50371747211895912</v>
      </c>
      <c r="O90" s="173">
        <f>Dean_AS!O138+'Amer Ethnic Stud'!O80+Art!O79+Biochem!O82+Biology!O89+Chemistry!O83+'Comm Stud Th Dan - OLD'!O86+Economics!O83+English!O81+Geography!O85+Geology!O80+Hist!O83+JMC!O80+Kinesiology!O83+Math!O82+'Modern Language'!O86+'Music -OLD'!O83+Philosophy!O79+Physics!O82+'Political Science'!O83+Psych!O81+SASW!O86+Stats!O83+'Women''s Studies'!O82</f>
        <v>270</v>
      </c>
      <c r="P90" s="395">
        <f>O90/P$76</f>
        <v>0.52529182879377434</v>
      </c>
      <c r="Q90" s="173">
        <f>Dean_AS!Q138+'Amer Ethnic Stud'!Q80+Art!Q79+Biochem!Q82+Biology!Q89+Chemistry!Q83+'Comm Stud Th Dan - OLD'!Q86+Economics!Q83+English!Q81+Geography!Q85+Geology!Q80+Hist!Q83+JMC!Q80+Kinesiology!Q83+Math!Q82+'Modern Language'!Q86+'Music -OLD'!Q83+Philosophy!Q79+Physics!Q82+'Political Science'!Q83+Psych!Q81+SASW!Q86+Stats!Q83+'Women''s Studies'!Q82</f>
        <v>279</v>
      </c>
      <c r="R90" s="216">
        <f>Q90/R$76</f>
        <v>0.52941176470588236</v>
      </c>
      <c r="S90" s="173">
        <f>Dean_AS!S138+'Amer Ethnic Stud'!S80+Art!S79+Biochem!S82+Biology!S89+Chemistry!S83+'Comm Stud Th Dan - OLD'!S86+Economics!S83+English!S81+Geography!S85+Geology!S80+Hist!S83+JMC!S80+Kinesiology!S83+Math!S82+'Modern Language'!S86+'Music -OLD'!S83+Philosophy!S79+Physics!S82+'Political Science'!S83+Psych!S81+SASW!S86+Stats!S83+'Women''s Studies'!S82</f>
        <v>273</v>
      </c>
      <c r="T90" s="216">
        <f>S90/T$76</f>
        <v>0.51028037383177571</v>
      </c>
      <c r="U90" s="173">
        <f>Dean_AS!U138+'Amer Ethnic Stud'!U80+Art!U79+Biochem!U82+Biology!U89+Chemistry!U83+'Comm Studies '!U81+Economics!U83+English!U81+Geography!U85+Geology!U80+Hist!U83+JMC!U80+Kinesiology!U83+Math!U82+'Modern Language'!U86+'Music Theatre Dance'!U88+Philosophy!U79+Physics!U82+'Political Science'!U83+Psych!U81+SASW!U86+Stats!U83+'Women''s Studies'!U82</f>
        <v>289</v>
      </c>
      <c r="V90" s="216">
        <f>U90/V$76</f>
        <v>0.51060070671378088</v>
      </c>
      <c r="W90" s="173">
        <f>Dean_AS!W138+'Amer Ethnic Stud'!W80+Art!W79+Biochem!W82+Biology!W89+Chemistry!W83+'Comm Studies '!W81+Economics!W83+English!W81+Geography!W85+Geology!W80+Hist!W83+JMC!W80+Math!W82+'Modern Language'!W86+'Music Theatre Dance'!W88+Philosophy!W79+Physics!W82+'Political Science'!W83+Psych!W81+SASW!W86+Stats!W83+'Women''s Studies'!W82</f>
        <v>287</v>
      </c>
      <c r="X90" s="216">
        <f>W90/X$76</f>
        <v>0.51711711711711716</v>
      </c>
      <c r="Y90" s="173">
        <f>Dean_AS!Y138+'Amer Ethnic Stud'!Y80+Art!Y79+Biochem!Y82+Biology!Y89+Chemistry!Y83+'Comm Studies '!Y81+Economics!Y83+English!Y81+Geography!Y85+Geology!Y80+Hist!Y83+JMC!Y80+Math!Y82+'Modern Language'!Y86+'Music Theatre Dance'!Y88+Philosophy!Y79+Physics!Y82+'Political Science'!Y83+Psych!Y81+SASW!Y86+Stats!Y83+'Women''s Studies'!Y82</f>
        <v>284</v>
      </c>
      <c r="Z90" s="1494">
        <f>Y90/Z$76</f>
        <v>0.5</v>
      </c>
      <c r="AB90" s="1016">
        <f t="shared" si="26"/>
        <v>282.39999999999998</v>
      </c>
      <c r="AC90" s="863">
        <f t="shared" si="27"/>
        <v>0.51348199247371118</v>
      </c>
    </row>
    <row r="91" spans="2:29" s="117" customFormat="1" ht="12" x14ac:dyDescent="0.2">
      <c r="B91" s="75" t="s">
        <v>127</v>
      </c>
      <c r="C91" s="319">
        <f>Dean_AS!C139+Art!C80+Biochem!C83+Biology!C90+Chemistry!C84+Economics!C84+English!C82+Geography!C86+Geology!C81+Hist!C84+JMC!C81+Kinesiology!C84+Math!C83+'Modern Language'!C87+'Music -OLD'!C84+Philosophy!C80+Physics!C83+'Political Science'!C84+Psych!C82+SASW!C87+'Comm Stud Th Dan - OLD'!C87+Stats!C84</f>
        <v>92</v>
      </c>
      <c r="D91" s="216">
        <f t="shared" si="28"/>
        <v>0.19700214132762311</v>
      </c>
      <c r="E91" s="224">
        <f>Dean_AS!E139+Art!E80+Biochem!E83+Biology!E90+Chemistry!E84+Economics!E84+English!E82+Geography!E86+Geology!E81+Hist!E84+JMC!E81+Kinesiology!E84+Math!E83+'Modern Language'!E87+'Music -OLD'!E84+Philosophy!E80+Physics!E83+'Political Science'!E84+Psych!E82+SASW!E87+'Comm Stud Th Dan - OLD'!E87+Stats!E84</f>
        <v>90</v>
      </c>
      <c r="F91" s="311">
        <f>E91/F$76</f>
        <v>0.18367346938775511</v>
      </c>
      <c r="G91" s="230">
        <v>101</v>
      </c>
      <c r="H91" s="216">
        <f>G91/H$76</f>
        <v>0.19921104536489151</v>
      </c>
      <c r="I91" s="283">
        <f>Dean_AS!I139+Art!I80+Biochem!I83+Biology!I90+Chemistry!I84+Economics!I84+English!I82+Geography!I86+Geology!I81+Hist!I84+JMC!I81+Kinesiology!I84+Math!I83+'Modern Language'!I87+'Music -OLD'!I84+Philosophy!I80+Physics!I83+'Political Science'!I84+Psych!I82+SASW!I87+'Comm Stud Th Dan - OLD'!I87+Stats!I84</f>
        <v>100</v>
      </c>
      <c r="J91" s="216">
        <f>I91/$D$76</f>
        <v>0.21413276231263384</v>
      </c>
      <c r="K91" s="283">
        <f>Dean_AS!K139+Art!K80+Biochem!K83+Biology!K90+Chemistry!K84+Economics!K84+English!K82+Geography!K86+Geology!K81+Hist!K84+JMC!K81+Kinesiology!K84+Math!K83+'Modern Language'!K87+'Music -OLD'!K84+Philosophy!K80+Physics!K83+'Political Science'!K84+Psych!K82+SASW!K87+'Comm Stud Th Dan - OLD'!K87+Stats!K84</f>
        <v>114</v>
      </c>
      <c r="L91" s="311">
        <f>K91/L$76</f>
        <v>0.21797323135755259</v>
      </c>
      <c r="M91" s="215">
        <f>Dean_AS!M139+'Amer Ethnic Stud'!M81+Art!M80+Biochem!M83+Biology!M90+Chemistry!M84+'Comm Stud Th Dan - OLD'!M87+Economics!M84+English!M82+Geography!M86+Geology!M81+Hist!M84+JMC!M81+Kinesiology!M84+Math!M83+'Modern Language'!M87+'Music -OLD'!M84+Philosophy!M80+Physics!M83+'Political Science'!M84+Psych!M82+SASW!M87+Stats!M84+'Women''s Studies'!M83</f>
        <v>130</v>
      </c>
      <c r="N91" s="395">
        <f>M91/N$76</f>
        <v>0.24163568773234201</v>
      </c>
      <c r="O91" s="173">
        <f>Dean_AS!O139+'Amer Ethnic Stud'!O81+Art!O80+Biochem!O83+Biology!O90+Chemistry!O84+'Comm Stud Th Dan - OLD'!O87+Economics!O84+English!O82+Geography!O86+Geology!O81+Hist!O84+JMC!O81+Kinesiology!O84+Math!O83+'Modern Language'!O87+'Music -OLD'!O84+Philosophy!O80+Physics!O83+'Political Science'!O84+Psych!O82+SASW!O87+Stats!O84+'Women''s Studies'!O83</f>
        <v>119</v>
      </c>
      <c r="P91" s="395">
        <f>O91/P$76</f>
        <v>0.23151750972762647</v>
      </c>
      <c r="Q91" s="173">
        <f>Dean_AS!Q139+'Amer Ethnic Stud'!Q81+Art!Q80+Biochem!Q83+Biology!Q90+Chemistry!Q84+'Comm Stud Th Dan - OLD'!Q87+Economics!Q84+English!Q82+Geography!Q86+Geology!Q81+Hist!Q84+JMC!Q81+Kinesiology!Q84+Math!Q83+'Modern Language'!Q87+'Music -OLD'!Q84+Philosophy!Q80+Physics!Q83+'Political Science'!Q84+Psych!Q82+SASW!Q87+Stats!Q84+'Women''s Studies'!Q83</f>
        <v>109</v>
      </c>
      <c r="R91" s="216">
        <f>Q91/R$76</f>
        <v>0.20683111954459202</v>
      </c>
      <c r="S91" s="173">
        <f>Dean_AS!S139+'Amer Ethnic Stud'!S81+Art!S80+Biochem!S83+Biology!S90+Chemistry!S84+'Comm Stud Th Dan - OLD'!S87+Economics!S84+English!S82+Geography!S86+Geology!S81+Hist!S84+JMC!S81+Kinesiology!S84+Math!S83+'Modern Language'!S87+'Music -OLD'!S84+Philosophy!S80+Physics!S83+'Political Science'!S84+Psych!S82+SASW!S87+Stats!S84+'Women''s Studies'!S83</f>
        <v>126</v>
      </c>
      <c r="T91" s="216">
        <f>S91/T$76</f>
        <v>0.23551401869158878</v>
      </c>
      <c r="U91" s="173">
        <f>Dean_AS!U139+'Amer Ethnic Stud'!U81+Art!U80+Biochem!U83+Biology!U90+Chemistry!U84+'Comm Studies '!U82+Economics!U84+English!U82+Geography!U86+Geology!U81+Hist!U84+JMC!U81+Kinesiology!U84+Math!U83+'Modern Language'!U87+'Music Theatre Dance'!U89+Philosophy!U80+Physics!U83+'Political Science'!U84+Psych!U82+SASW!U87+Stats!U84+'Women''s Studies'!U83</f>
        <v>113</v>
      </c>
      <c r="V91" s="216">
        <f>U91/V$76</f>
        <v>0.19964664310954064</v>
      </c>
      <c r="W91" s="173">
        <f>Dean_AS!W139+'Amer Ethnic Stud'!W81+Art!W80+Biochem!W83+Biology!W90+Chemistry!W84+'Comm Studies '!W82+Economics!W84+English!W82+Geography!W86+Geology!W81+Hist!W84+JMC!W81+Math!W83+'Modern Language'!W87+'Music Theatre Dance'!W89+Philosophy!W80+Physics!W83+'Political Science'!W84+Psych!W82+SASW!W87+Stats!W84+'Women''s Studies'!W83</f>
        <v>112</v>
      </c>
      <c r="X91" s="216">
        <f>W91/X$76</f>
        <v>0.20180180180180179</v>
      </c>
      <c r="Y91" s="173">
        <f>Dean_AS!Y139+'Amer Ethnic Stud'!Y81+Art!Y80+Biochem!Y83+Biology!Y90+Chemistry!Y84+'Comm Studies '!Y82+Economics!Y84+English!Y82+Geography!Y86+Geology!Y81+Hist!Y84+JMC!Y81+Math!Y83+'Modern Language'!Y87+'Music Theatre Dance'!Y89+Philosophy!Y80+Physics!Y83+'Political Science'!Y84+Psych!Y82+SASW!Y87+Stats!Y84+'Women''s Studies'!Y83</f>
        <v>125</v>
      </c>
      <c r="Z91" s="1494">
        <f>Y91/Z$76</f>
        <v>0.22007042253521128</v>
      </c>
      <c r="AB91" s="1016">
        <f t="shared" si="26"/>
        <v>117</v>
      </c>
      <c r="AC91" s="863">
        <f t="shared" si="27"/>
        <v>0.2127728011365469</v>
      </c>
    </row>
    <row r="92" spans="2:29" s="117" customFormat="1" ht="12" x14ac:dyDescent="0.2">
      <c r="B92" s="75" t="s">
        <v>128</v>
      </c>
      <c r="C92" s="319">
        <f>Dean_AS!C140+Art!C81+Biochem!C84+Biology!C91+Chemistry!C85+Economics!C85+English!C83+Geography!C87+Geology!C82+Hist!C85+JMC!C82+Kinesiology!C85+Math!C84+'Modern Language'!C88+'Music -OLD'!C85+Philosophy!C81+Physics!C84+'Political Science'!C85+Psych!C83+SASW!C88+'Comm Stud Th Dan - OLD'!C88+Stats!C85</f>
        <v>106</v>
      </c>
      <c r="D92" s="216">
        <f t="shared" si="28"/>
        <v>0.22698072805139186</v>
      </c>
      <c r="E92" s="224">
        <f>Dean_AS!E140+Art!E81+Biochem!E84+Biology!E91+Chemistry!E85+Economics!E85+English!E83+Geography!E87+Geology!E82+Hist!E85+JMC!E82+Kinesiology!E85+Math!E84+'Modern Language'!E88+'Music -OLD'!E85+Philosophy!E81+Physics!E84+'Political Science'!E85+Psych!E83+SASW!E88+'Comm Stud Th Dan - OLD'!E88+Stats!E85</f>
        <v>109</v>
      </c>
      <c r="F92" s="311">
        <f>E92/F$76</f>
        <v>0.22244897959183674</v>
      </c>
      <c r="G92" s="230">
        <v>126</v>
      </c>
      <c r="H92" s="216">
        <f>G92/H$76</f>
        <v>0.24852071005917159</v>
      </c>
      <c r="I92" s="283">
        <f>Dean_AS!I140+Art!I81+Biochem!I84+Biology!I91+Chemistry!I85+Economics!I85+English!I83+Geography!I87+Geology!I82+Hist!I85+JMC!I82+Kinesiology!I85+Math!I84+'Modern Language'!I88+'Music -OLD'!I85+Philosophy!I81+Physics!I84+'Political Science'!I85+Psych!I83+SASW!I88+'Comm Stud Th Dan - OLD'!I88+Stats!I85</f>
        <v>143</v>
      </c>
      <c r="J92" s="216">
        <f>I92/$D$76</f>
        <v>0.30620985010706636</v>
      </c>
      <c r="K92" s="283">
        <f>Dean_AS!K140+Art!K81+Biochem!K84+Biology!K91+Chemistry!K85+Economics!K85+English!K83+Geography!K87+Geology!K82+Hist!K85+JMC!K82+Kinesiology!K85+Math!K84+'Modern Language'!K88+'Music -OLD'!K85+Philosophy!K81+Physics!K84+'Political Science'!K85+Psych!K83+SASW!K88+'Comm Stud Th Dan - OLD'!K88+Stats!K85</f>
        <v>144</v>
      </c>
      <c r="L92" s="311">
        <f>K92/L$76</f>
        <v>0.27533460803059273</v>
      </c>
      <c r="M92" s="215">
        <f>Dean_AS!M140+'Amer Ethnic Stud'!M82+Art!M81+Biochem!M84+Biology!M91+Chemistry!M85+'Comm Stud Th Dan - OLD'!M88+Economics!M85+English!M83+Geography!M87+Geology!M82+Hist!M85+JMC!M82+Kinesiology!M85+Math!M84+'Modern Language'!M88+'Music -OLD'!M85+Philosophy!M81+Physics!M84+'Political Science'!M85+Psych!M83+SASW!M88+Stats!M85+'Women''s Studies'!M84</f>
        <v>137</v>
      </c>
      <c r="N92" s="395">
        <f>M92/N$76</f>
        <v>0.25464684014869887</v>
      </c>
      <c r="O92" s="173">
        <f>Dean_AS!O140+'Amer Ethnic Stud'!O82+Art!O81+Biochem!O84+Biology!O91+Chemistry!O85+'Comm Stud Th Dan - OLD'!O88+Economics!O85+English!O83+Geography!O87+Geology!O82+Hist!O85+JMC!O82+Kinesiology!O85+Math!O84+'Modern Language'!O88+'Music -OLD'!O85+Philosophy!O81+Physics!O84+'Political Science'!O85+Psych!O83+SASW!O88+Stats!O85+'Women''s Studies'!O84</f>
        <v>125</v>
      </c>
      <c r="P92" s="395">
        <f>O92/P$76</f>
        <v>0.24319066147859922</v>
      </c>
      <c r="Q92" s="173">
        <f>Dean_AS!Q140+'Amer Ethnic Stud'!Q82+Art!Q81+Biochem!Q84+Biology!Q91+Chemistry!Q85+'Comm Stud Th Dan - OLD'!Q88+Economics!Q85+English!Q83+Geography!Q87+Geology!Q82+Hist!Q85+JMC!Q82+Kinesiology!Q85+Math!Q84+'Modern Language'!Q88+'Music -OLD'!Q85+Philosophy!Q81+Physics!Q84+'Political Science'!Q85+Psych!Q83+SASW!Q88+Stats!Q85+'Women''s Studies'!Q84</f>
        <v>139</v>
      </c>
      <c r="R92" s="216">
        <f>Q92/R$76</f>
        <v>0.26375711574952559</v>
      </c>
      <c r="S92" s="173">
        <f>Dean_AS!S140+'Amer Ethnic Stud'!S82+Art!S81+Biochem!S84+Biology!S91+Chemistry!S85+'Comm Stud Th Dan - OLD'!S88+Economics!S85+English!S83+Geography!S87+Geology!S82+Hist!S85+JMC!S82+Kinesiology!S85+Math!S84+'Modern Language'!S88+'Music -OLD'!S85+Philosophy!S81+Physics!S84+'Political Science'!S85+Psych!S83+SASW!S88+Stats!S85+'Women''s Studies'!S84</f>
        <v>136</v>
      </c>
      <c r="T92" s="216">
        <f>S92/T$76</f>
        <v>0.25420560747663551</v>
      </c>
      <c r="U92" s="173">
        <f>Dean_AS!U140+'Amer Ethnic Stud'!U82+Art!U81+Biochem!U84+Biology!U91+Chemistry!U85+'Comm Studies '!U83+Economics!U85+English!U83+Geography!U87+Geology!U82+Hist!U85+JMC!U82+Kinesiology!U85+Math!U84+'Modern Language'!U88+'Music Theatre Dance'!U90+Philosophy!U81+Physics!U84+'Political Science'!U85+Psych!U83+SASW!U88+Stats!U85+'Women''s Studies'!U84</f>
        <v>164</v>
      </c>
      <c r="V92" s="216">
        <f>U92/V$76</f>
        <v>0.28975265017667845</v>
      </c>
      <c r="W92" s="173">
        <f>Dean_AS!W140+'Amer Ethnic Stud'!W82+Art!W81+Biochem!W84+Biology!W91+Chemistry!W85+'Comm Studies '!W83+Economics!W85+English!W83+Geography!W87+Geology!W82+Hist!W85+JMC!W82+Math!W84+'Modern Language'!W88+'Music Theatre Dance'!W90+Philosophy!W81+Physics!W84+'Political Science'!W85+Psych!W83+SASW!W88+Stats!W85+'Women''s Studies'!W84</f>
        <v>156</v>
      </c>
      <c r="X92" s="216">
        <f>W92/X$76</f>
        <v>0.2810810810810811</v>
      </c>
      <c r="Y92" s="173">
        <f>Dean_AS!Y140+'Amer Ethnic Stud'!Y82+Art!Y81+Biochem!Y84+Biology!Y91+Chemistry!Y85+'Comm Studies '!Y83+Economics!Y85+English!Y83+Geography!Y87+Geology!Y82+Hist!Y85+JMC!Y82+Math!Y84+'Modern Language'!Y88+'Music Theatre Dance'!Y90+Philosophy!Y81+Physics!Y84+'Political Science'!Y85+Psych!Y83+SASW!Y88+Stats!Y85+'Women''s Studies'!Y84</f>
        <v>159</v>
      </c>
      <c r="Z92" s="1494">
        <f>Y92/Z$76</f>
        <v>0.27992957746478875</v>
      </c>
      <c r="AB92" s="1016">
        <f t="shared" si="26"/>
        <v>150.80000000000001</v>
      </c>
      <c r="AC92" s="863">
        <f t="shared" si="27"/>
        <v>0.27374520638974187</v>
      </c>
    </row>
    <row r="93" spans="2:29" s="117" customFormat="1" ht="12" x14ac:dyDescent="0.2">
      <c r="B93" s="343" t="s">
        <v>138</v>
      </c>
      <c r="C93" s="319"/>
      <c r="D93" s="216"/>
      <c r="E93" s="396"/>
      <c r="F93" s="311"/>
      <c r="G93" s="315" t="s">
        <v>29</v>
      </c>
      <c r="H93" s="216"/>
      <c r="I93" s="285"/>
      <c r="J93" s="216"/>
      <c r="K93" s="285"/>
      <c r="L93" s="311"/>
      <c r="M93" s="215"/>
      <c r="N93" s="395"/>
      <c r="O93" s="173"/>
      <c r="P93" s="395"/>
      <c r="Q93" s="173"/>
      <c r="R93" s="216"/>
      <c r="S93" s="173"/>
      <c r="T93" s="216"/>
      <c r="U93" s="173"/>
      <c r="V93" s="216"/>
      <c r="W93" s="173"/>
      <c r="X93" s="216"/>
      <c r="Y93" s="173"/>
      <c r="Z93" s="1494"/>
      <c r="AA93" s="410"/>
      <c r="AB93" s="1016"/>
      <c r="AC93" s="863"/>
    </row>
    <row r="94" spans="2:29" s="117" customFormat="1" ht="12" x14ac:dyDescent="0.2">
      <c r="B94" s="75" t="s">
        <v>129</v>
      </c>
      <c r="C94" s="319">
        <f>Dean_AS!C142+Art!C83+Biochem!C86+Biology!C93+Chemistry!C87+Economics!C87+English!C85+Geography!C89+Geology!C84+Hist!C87+JMC!C84+Kinesiology!C87+Math!C86+'Modern Language'!C90+'Music -OLD'!C87+Philosophy!C83+Physics!C86+'Political Science'!C87+Psych!C85+SASW!C90+'Comm Stud Th Dan - OLD'!C90+Stats!C87</f>
        <v>367</v>
      </c>
      <c r="D94" s="216">
        <f t="shared" si="28"/>
        <v>0.78586723768736622</v>
      </c>
      <c r="E94" s="224">
        <f>Dean_AS!E142+Art!E83+Biochem!E86+Biology!E93+Chemistry!E87+Economics!E87+English!E85+Geography!E89+Geology!E84+Hist!E87+JMC!E84+Kinesiology!E87+Math!E86+'Modern Language'!E90+'Music -OLD'!E87+Philosophy!E83+Physics!E86+'Political Science'!E87+Psych!E85+SASW!E90+'Comm Stud Th Dan - OLD'!E90+Stats!E87</f>
        <v>374</v>
      </c>
      <c r="F94" s="311">
        <f>E94/F$76</f>
        <v>0.76326530612244903</v>
      </c>
      <c r="G94" s="230">
        <v>386</v>
      </c>
      <c r="H94" s="216">
        <f>G94/H$76</f>
        <v>0.76134122287968442</v>
      </c>
      <c r="I94" s="283">
        <f>Dean_AS!I142+Art!I83+Biochem!I86+Biology!I93+Chemistry!I87+Economics!I87+English!I85+Geography!I89+Geology!I84+Hist!I87+JMC!I84+Kinesiology!I87+Math!I86+'Modern Language'!I90+'Music -OLD'!I87+Philosophy!I83+Physics!I86+'Political Science'!I87+Psych!I85+SASW!I90+'Comm Stud Th Dan - OLD'!I90+Stats!I87</f>
        <v>388</v>
      </c>
      <c r="J94" s="216">
        <f>I94/$D$76</f>
        <v>0.83083511777301933</v>
      </c>
      <c r="K94" s="283">
        <f>Dean_AS!K142+Art!K83+Biochem!K86+Biology!K93+Chemistry!K87+Economics!K87+English!K85+Geography!K89+Geology!K84+Hist!K87+JMC!K84+Kinesiology!K87+Math!K86+'Modern Language'!K90+'Music -OLD'!K87+Philosophy!K83+Physics!K86+'Political Science'!K87+Psych!K85+SASW!K90+'Comm Stud Th Dan - OLD'!K90+Stats!K87</f>
        <v>404</v>
      </c>
      <c r="L94" s="311">
        <f>K94/L$76</f>
        <v>0.77246653919694075</v>
      </c>
      <c r="M94" s="215">
        <f>Dean_AS!M142+'Amer Ethnic Stud'!M84+Art!M83+Biochem!M86+Biology!M93+Chemistry!M87+'Comm Stud Th Dan - OLD'!M90+Economics!M87+English!M85+Geography!M89+Geology!M84+Hist!M87+JMC!M84+Kinesiology!M87+Math!M86+'Modern Language'!M90+'Music -OLD'!M87+Philosophy!M83+Physics!M86+'Political Science'!M87+Psych!M85+SASW!M90+Stats!M87+'Women''s Studies'!M86</f>
        <v>418</v>
      </c>
      <c r="N94" s="395">
        <f>M94/N$76</f>
        <v>0.77695167286245348</v>
      </c>
      <c r="O94" s="173">
        <f>Dean_AS!O142+'Amer Ethnic Stud'!O84+Art!O83+Biochem!O86+Biology!O93+Chemistry!O87+'Comm Stud Th Dan - OLD'!O90+Economics!O87+English!O85+Geography!O89+Geology!O84+Hist!O87+JMC!O84+Kinesiology!O87+Math!O86+'Modern Language'!O90+'Music -OLD'!O87+Philosophy!O83+Physics!O86+'Political Science'!O87+Psych!O85+SASW!O90+Stats!O87+'Women''s Studies'!O86</f>
        <v>404</v>
      </c>
      <c r="P94" s="395">
        <f>O94/P$76</f>
        <v>0.78599221789883267</v>
      </c>
      <c r="Q94" s="173">
        <f>Dean_AS!Q142+'Amer Ethnic Stud'!Q84+Art!Q83+Biochem!Q86+Biology!Q93+Chemistry!Q87+'Comm Stud Th Dan - OLD'!Q90+Economics!Q87+English!Q85+Geography!Q89+Geology!Q84+Hist!Q87+JMC!Q84+Kinesiology!Q87+Math!Q86+'Modern Language'!Q90+'Music -OLD'!Q87+Philosophy!Q83+Physics!Q86+'Political Science'!Q87+Psych!Q85+SASW!Q90+Stats!Q87+'Women''s Studies'!Q86</f>
        <v>416</v>
      </c>
      <c r="R94" s="216">
        <f>Q94/R$76</f>
        <v>0.78937381404174578</v>
      </c>
      <c r="S94" s="173">
        <f>Dean_AS!S142+'Amer Ethnic Stud'!S84+Art!S83+Biochem!S86+Biology!S93+Chemistry!S87+'Comm Stud Th Dan - OLD'!S90+Economics!S87+English!S85+Geography!S89+Geology!S84+Hist!S87+JMC!S84+Kinesiology!S87+Math!S86+'Modern Language'!S90+'Music -OLD'!S87+Philosophy!S83+Physics!S86+'Political Science'!S87+Psych!S85+SASW!S90+Stats!S87+'Women''s Studies'!S86</f>
        <v>425</v>
      </c>
      <c r="T94" s="216">
        <f>S94/T$76</f>
        <v>0.79439252336448596</v>
      </c>
      <c r="U94" s="173">
        <f>Dean_AS!U142+'Amer Ethnic Stud'!U84+Art!U83+Biochem!U86+Biology!U93+Chemistry!U87+'Comm Studies '!U85+Economics!U87+English!U85+Geography!U89+Geology!U84+Hist!U87+JMC!U84+Kinesiology!U87+Math!U86+'Modern Language'!U90+'Music Theatre Dance'!U92+Philosophy!U83+Physics!U86+'Political Science'!U87+Psych!U85+SASW!U90+Stats!U87+'Women''s Studies'!U86</f>
        <v>440</v>
      </c>
      <c r="V94" s="216">
        <f>U94/V$76</f>
        <v>0.77738515901060068</v>
      </c>
      <c r="W94" s="173">
        <f>Dean_AS!W142+'Amer Ethnic Stud'!W84+Art!W83+Biochem!W86+Biology!W93+Chemistry!W87+'Comm Studies '!W85+Economics!W87+English!W85+Geography!W89+Geology!W84+Hist!W87+JMC!W84+Math!W86+'Modern Language'!W90+'Music Theatre Dance'!W92+Philosophy!W83+Physics!W86+'Political Science'!W87+Psych!W85+SASW!W90+Stats!W87+'Women''s Studies'!W86</f>
        <v>442</v>
      </c>
      <c r="X94" s="216">
        <f>W94/X$76</f>
        <v>0.79639639639639637</v>
      </c>
      <c r="Y94" s="173">
        <f>Dean_AS!Y142+'Amer Ethnic Stud'!Y84+Art!Y83+Biochem!Y86+Biology!Y93+Chemistry!Y87+'Comm Studies '!Y85+Economics!Y87+English!Y85+Geography!Y89+Geology!Y84+Hist!Y87+JMC!Y84+Math!Y86+'Modern Language'!Y90+'Music Theatre Dance'!Y92+Philosophy!Y83+Physics!Y86+'Political Science'!Y87+Psych!Y85+SASW!Y90+Stats!Y87+'Women''s Studies'!Y86</f>
        <v>445</v>
      </c>
      <c r="Z94" s="1494">
        <f>Y94/Z$76</f>
        <v>0.78345070422535212</v>
      </c>
      <c r="AB94" s="1016">
        <f t="shared" si="26"/>
        <v>433.6</v>
      </c>
      <c r="AC94" s="863">
        <f t="shared" si="27"/>
        <v>0.78819971940771616</v>
      </c>
    </row>
    <row r="95" spans="2:29" s="117" customFormat="1" ht="12" x14ac:dyDescent="0.2">
      <c r="B95" s="75" t="s">
        <v>130</v>
      </c>
      <c r="C95" s="319">
        <f>Dean_AS!C143+Art!C84+Biochem!C87+Biology!C94+Chemistry!C88+Economics!C88+English!C86+Geography!C90+Geology!C85+Hist!C88+JMC!C85+Kinesiology!C88+Math!C87+'Modern Language'!C91+'Music -OLD'!C88+Philosophy!C84+Physics!C87+'Political Science'!C88+Psych!C86+SASW!C91+'Comm Stud Th Dan - OLD'!C91+Stats!C88</f>
        <v>79</v>
      </c>
      <c r="D95" s="216">
        <f t="shared" si="28"/>
        <v>0.16916488222698073</v>
      </c>
      <c r="E95" s="224">
        <f>Dean_AS!E143+Art!E84+Biochem!E87+Biology!E94+Chemistry!E88+Economics!E88+English!E86+Geography!E90+Geology!E85+Hist!E88+JMC!E85+Kinesiology!E88+Math!E87+'Modern Language'!E91+'Music -OLD'!E88+Philosophy!E84+Physics!E87+'Political Science'!E88+Psych!E86+SASW!E91+'Comm Stud Th Dan - OLD'!E91+Stats!E88</f>
        <v>96</v>
      </c>
      <c r="F95" s="311">
        <f>E95/F$76</f>
        <v>0.19591836734693877</v>
      </c>
      <c r="G95" s="230">
        <v>103</v>
      </c>
      <c r="H95" s="216">
        <f>G95/H$76</f>
        <v>0.20315581854043394</v>
      </c>
      <c r="I95" s="283">
        <f>Dean_AS!I143+Art!I84+Biochem!I87+Biology!I94+Chemistry!I88+Economics!I88+English!I86+Geography!I90+Geology!I85+Hist!I88+JMC!I85+Kinesiology!I88+Math!I87+'Modern Language'!I91+'Music -OLD'!I88+Philosophy!I84+Physics!I87+'Political Science'!I88+Psych!I86+SASW!I91+'Comm Stud Th Dan - OLD'!I91+Stats!I88</f>
        <v>96</v>
      </c>
      <c r="J95" s="216">
        <f>I95/$D$76</f>
        <v>0.20556745182012848</v>
      </c>
      <c r="K95" s="283">
        <f>Dean_AS!K143+Art!K84+Biochem!K87+Biology!K94+Chemistry!K88+Economics!K88+English!K86+Geography!K90+Geology!K85+Hist!K88+JMC!K85+Kinesiology!K88+Math!K87+'Modern Language'!K91+'Music -OLD'!K88+Philosophy!K84+Physics!K87+'Political Science'!K88+Psych!K86+SASW!K91+'Comm Stud Th Dan - OLD'!K91+Stats!K88</f>
        <v>104</v>
      </c>
      <c r="L95" s="311">
        <f>K95/L$76</f>
        <v>0.19885277246653921</v>
      </c>
      <c r="M95" s="215">
        <f>Dean_AS!M143+'Amer Ethnic Stud'!M85+Art!M84+Biochem!M87+Biology!M94+Chemistry!M88+'Comm Stud Th Dan - OLD'!M91+Economics!M88+English!M86+Geography!M90+Geology!M85+Hist!M88+JMC!M85+Kinesiology!M88+Math!M87+'Modern Language'!M91+'Music -OLD'!M88+Philosophy!M84+Physics!M87+'Political Science'!M88+Psych!M86+SASW!M91+Stats!M88+'Women''s Studies'!M87</f>
        <v>108</v>
      </c>
      <c r="N95" s="395">
        <f>M95/N$76</f>
        <v>0.20074349442379183</v>
      </c>
      <c r="O95" s="173">
        <f>Dean_AS!O143+'Amer Ethnic Stud'!O85+Art!O84+Biochem!O87+Biology!O94+Chemistry!O88+'Comm Stud Th Dan - OLD'!O91+Economics!O88+English!O86+Geography!O90+Geology!O85+Hist!O88+JMC!O85+Kinesiology!O88+Math!O87+'Modern Language'!O91+'Music -OLD'!O88+Philosophy!O84+Physics!O87+'Political Science'!O88+Psych!O86+SASW!O91+Stats!O88+'Women''s Studies'!O87</f>
        <v>104</v>
      </c>
      <c r="P95" s="395">
        <f>O95/P$76</f>
        <v>0.20233463035019456</v>
      </c>
      <c r="Q95" s="173">
        <f>Dean_AS!Q143+'Amer Ethnic Stud'!Q85+Art!Q84+Biochem!Q87+Biology!Q94+Chemistry!Q88+'Comm Stud Th Dan - OLD'!Q91+Economics!Q88+English!Q86+Geography!Q90+Geology!Q85+Hist!Q88+JMC!Q85+Kinesiology!Q88+Math!Q87+'Modern Language'!Q91+'Music -OLD'!Q88+Philosophy!Q84+Physics!Q87+'Political Science'!Q88+Psych!Q86+SASW!Q91+Stats!Q88+'Women''s Studies'!Q87</f>
        <v>99</v>
      </c>
      <c r="R95" s="216">
        <f>Q95/R$76</f>
        <v>0.18785578747628084</v>
      </c>
      <c r="S95" s="173">
        <f>Dean_AS!S143+'Amer Ethnic Stud'!S85+Art!S84+Biochem!S87+Biology!S94+Chemistry!S88+'Comm Stud Th Dan - OLD'!S91+Economics!S88+English!S86+Geography!S90+Geology!S85+Hist!S88+JMC!S85+Kinesiology!S88+Math!S87+'Modern Language'!S91+'Music -OLD'!S88+Philosophy!S84+Physics!S87+'Political Science'!S88+Psych!S86+SASW!S91+Stats!S88+'Women''s Studies'!S87</f>
        <v>104</v>
      </c>
      <c r="T95" s="216">
        <f>S95/T$76</f>
        <v>0.19439252336448598</v>
      </c>
      <c r="U95" s="173">
        <f>Dean_AS!U143+'Amer Ethnic Stud'!U85+Art!U84+Biochem!U87+Biology!U94+Chemistry!U88+'Comm Studies '!U86+Economics!U88+English!U86+Geography!U90+Geology!U85+Hist!U88+JMC!U85+Kinesiology!U88+Math!U87+'Modern Language'!U91+'Music Theatre Dance'!U93+Philosophy!U84+Physics!U87+'Political Science'!U88+Psych!U86+SASW!U91+Stats!U88+'Women''s Studies'!U87</f>
        <v>117</v>
      </c>
      <c r="V95" s="216">
        <f>U95/V$76</f>
        <v>0.20671378091872791</v>
      </c>
      <c r="W95" s="173">
        <f>Dean_AS!W143+'Amer Ethnic Stud'!W85+Art!W84+Biochem!W87+Biology!W94+Chemistry!W88+'Comm Studies '!W86+Economics!W88+English!W86+Geography!W90+Geology!W85+Hist!W88+JMC!W85+Math!W87+'Modern Language'!W91+'Music Theatre Dance'!W93+Philosophy!W84+Physics!W87+'Political Science'!W88+Psych!W86+SASW!W91+Stats!W88+'Women''s Studies'!W87</f>
        <v>108</v>
      </c>
      <c r="X95" s="216">
        <f>W95/X$76</f>
        <v>0.19459459459459461</v>
      </c>
      <c r="Y95" s="173">
        <f>Dean_AS!Y143+'Amer Ethnic Stud'!Y85+Art!Y84+Biochem!Y87+Biology!Y94+Chemistry!Y88+'Comm Studies '!Y86+Economics!Y88+English!Y86+Geography!Y90+Geology!Y85+Hist!Y88+JMC!Y85+Math!Y87+'Modern Language'!Y91+'Music Theatre Dance'!Y93+Philosophy!Y84+Physics!Y87+'Political Science'!Y88+Psych!Y86+SASW!Y91+Stats!Y88+'Women''s Studies'!Y87</f>
        <v>118</v>
      </c>
      <c r="Z95" s="1494">
        <f>Y95/Z$76</f>
        <v>0.20774647887323944</v>
      </c>
      <c r="AB95" s="1016">
        <f t="shared" si="26"/>
        <v>109.2</v>
      </c>
      <c r="AC95" s="863">
        <f t="shared" si="27"/>
        <v>0.19826063304546576</v>
      </c>
    </row>
    <row r="96" spans="2:29" s="117" customFormat="1" ht="12" x14ac:dyDescent="0.2">
      <c r="B96" s="75" t="s">
        <v>131</v>
      </c>
      <c r="C96" s="319">
        <f>Dean_AS!C144+Art!C85+Biochem!C88+Biology!C95+Chemistry!C89+Economics!C89+English!C87+Geography!C91+Geology!C86+Hist!C89+JMC!C86+Kinesiology!C89+Math!C88+'Modern Language'!C92+'Music -OLD'!C89+Philosophy!C85+Physics!C88+'Political Science'!C89+Psych!C87+SASW!C92+'Comm Stud Th Dan - OLD'!C92+Stats!C89</f>
        <v>21</v>
      </c>
      <c r="D96" s="216">
        <f t="shared" si="28"/>
        <v>4.4967880085653104E-2</v>
      </c>
      <c r="E96" s="224">
        <f>Dean_AS!E144+Art!E85+Biochem!E88+Biology!E95+Chemistry!E89+Economics!E89+English!E87+Geography!E91+Geology!E86+Hist!E89+JMC!E86+Kinesiology!E89+Math!E88+'Modern Language'!E92+'Music -OLD'!E89+Philosophy!E85+Physics!E88+'Political Science'!E89+Psych!E87+SASW!E92+'Comm Stud Th Dan - OLD'!E92+Stats!E89</f>
        <v>17</v>
      </c>
      <c r="F96" s="311">
        <f>E96/F$76</f>
        <v>3.4693877551020408E-2</v>
      </c>
      <c r="G96" s="230">
        <v>18</v>
      </c>
      <c r="H96" s="216">
        <f>G96/H$76</f>
        <v>3.5502958579881658E-2</v>
      </c>
      <c r="I96" s="283">
        <f>Dean_AS!I144+Art!I85+Biochem!I88+Biology!I95+Chemistry!I89+Economics!I89+English!I87+Geography!I91+Geology!I86+Hist!I89+JMC!I86+Kinesiology!I89+Math!I88+'Modern Language'!I92+'Music -OLD'!I89+Philosophy!I85+Physics!I88+'Political Science'!I89+Psych!I87+SASW!I92+'Comm Stud Th Dan - OLD'!I92+Stats!I89</f>
        <v>24</v>
      </c>
      <c r="J96" s="216">
        <f>I96/$D$76</f>
        <v>5.1391862955032119E-2</v>
      </c>
      <c r="K96" s="283">
        <f>Dean_AS!K144+Art!K85+Biochem!K88+Biology!K95+Chemistry!K89+Economics!K89+English!K87+Geography!K91+Geology!K86+Hist!K89+JMC!K86+Kinesiology!K89+Math!K88+'Modern Language'!K92+'Music -OLD'!K89+Philosophy!K85+Physics!K88+'Political Science'!K89+Psych!K87+SASW!K92+'Comm Stud Th Dan - OLD'!K92+Stats!K89</f>
        <v>13</v>
      </c>
      <c r="L96" s="311">
        <f>K96/L$76</f>
        <v>2.4856596558317401E-2</v>
      </c>
      <c r="M96" s="215">
        <f>Dean_AS!M144+'Amer Ethnic Stud'!M86+Art!M85+Biochem!M88+Biology!M95+Chemistry!M89+'Comm Stud Th Dan - OLD'!M92+Economics!M89+English!M87+Geography!M91+Geology!M86+Hist!M89+JMC!M86+Kinesiology!M89+Math!M88+'Modern Language'!M92+'Music -OLD'!M89+Philosophy!M85+Physics!M88+'Political Science'!M89+Psych!M87+SASW!M92+Stats!M89+'Women''s Studies'!M88</f>
        <v>12</v>
      </c>
      <c r="N96" s="395">
        <f>M96/N$76</f>
        <v>2.2304832713754646E-2</v>
      </c>
      <c r="O96" s="173">
        <f>Dean_AS!O144+'Amer Ethnic Stud'!O86+Art!O85+Biochem!O88+Biology!O95+Chemistry!O89+'Comm Stud Th Dan - OLD'!O92+Economics!O89+English!O87+Geography!O91+Geology!O86+Hist!O89+JMC!O86+Kinesiology!O89+Math!O88+'Modern Language'!O92+'Music -OLD'!O89+Philosophy!O85+Physics!O88+'Political Science'!O89+Psych!O87+SASW!O92+Stats!O89+'Women''s Studies'!O88</f>
        <v>6</v>
      </c>
      <c r="P96" s="395">
        <f>O96/P$76</f>
        <v>1.1673151750972763E-2</v>
      </c>
      <c r="Q96" s="173">
        <f>Dean_AS!Q144+'Amer Ethnic Stud'!Q86+Art!Q85+Biochem!Q88+Biology!Q95+Chemistry!Q89+'Comm Stud Th Dan - OLD'!Q92+Economics!Q89+English!Q87+Geography!Q91+Geology!Q86+Hist!Q89+JMC!Q86+Kinesiology!Q89+Math!Q88+'Modern Language'!Q92+'Music -OLD'!Q89+Philosophy!Q85+Physics!Q88+'Political Science'!Q89+Psych!Q87+SASW!Q92+Stats!Q89+'Women''s Studies'!Q88</f>
        <v>12</v>
      </c>
      <c r="R96" s="216">
        <f>Q96/R$76</f>
        <v>2.2770398481973434E-2</v>
      </c>
      <c r="S96" s="173">
        <f>Dean_AS!S144+'Amer Ethnic Stud'!S86+Art!S85+Biochem!S88+Biology!S95+Chemistry!S89+'Comm Stud Th Dan - OLD'!S92+Economics!S89+English!S87+Geography!S91+Geology!S86+Hist!S89+JMC!S86+Kinesiology!S89+Math!S88+'Modern Language'!S92+'Music -OLD'!S89+Philosophy!S85+Physics!S88+'Political Science'!S89+Psych!S87+SASW!S92+Stats!S89+'Women''s Studies'!S88</f>
        <v>6</v>
      </c>
      <c r="T96" s="216">
        <f>S96/T$76</f>
        <v>1.1214953271028037E-2</v>
      </c>
      <c r="U96" s="173">
        <f>Dean_AS!U144+'Amer Ethnic Stud'!U86+Art!U85+Biochem!U88+Biology!U95+Chemistry!U89+'Comm Studies '!U87+Economics!U89+English!U87+Geography!U91+Geology!U86+Hist!U89+JMC!U86+Kinesiology!U89+Math!U88+'Modern Language'!U92+'Music Theatre Dance'!U94+Philosophy!U85+Physics!U88+'Political Science'!U89+Psych!U87+SASW!U92+Stats!U89+'Women''s Studies'!U88</f>
        <v>9</v>
      </c>
      <c r="V96" s="216">
        <f>U96/V$76</f>
        <v>1.5901060070671377E-2</v>
      </c>
      <c r="W96" s="173">
        <f>Dean_AS!W144+'Amer Ethnic Stud'!W86+Art!W85+Biochem!W88+Biology!W95+Chemistry!W89+'Comm Studies '!W87+Economics!W89+English!W87+Geography!W91+Geology!W86+Hist!W89+JMC!W86+Math!W88+'Modern Language'!W92+'Music Theatre Dance'!W94+Philosophy!W85+Physics!W88+'Political Science'!W89+Psych!W87+SASW!W92+Stats!W89+'Women''s Studies'!W88</f>
        <v>5</v>
      </c>
      <c r="X96" s="216">
        <f>W96/X$76</f>
        <v>9.0090090090090089E-3</v>
      </c>
      <c r="Y96" s="173">
        <f>Dean_AS!Y144+'Amer Ethnic Stud'!Y86+Art!Y85+Biochem!Y88+Biology!Y95+Chemistry!Y89+'Comm Studies '!Y87+Economics!Y89+English!Y87+Geography!Y91+Geology!Y86+Hist!Y89+JMC!Y86+Math!Y88+'Modern Language'!Y92+'Music Theatre Dance'!Y94+Philosophy!Y85+Physics!Y88+'Political Science'!Y89+Psych!Y87+SASW!Y92+Stats!Y89+'Women''s Studies'!Y88</f>
        <v>5</v>
      </c>
      <c r="Z96" s="1494">
        <f>Y96/Z$76</f>
        <v>8.8028169014084511E-3</v>
      </c>
      <c r="AB96" s="1016">
        <f t="shared" si="26"/>
        <v>7.4</v>
      </c>
      <c r="AC96" s="863">
        <f t="shared" si="27"/>
        <v>1.3539647546818061E-2</v>
      </c>
    </row>
    <row r="97" spans="1:31" s="117" customFormat="1" thickBot="1" x14ac:dyDescent="0.25">
      <c r="B97" s="76" t="s">
        <v>132</v>
      </c>
      <c r="C97" s="320">
        <f>Dean_AS!C145+Art!C86+Biochem!C89+Biology!C96+Chemistry!C90+Economics!C90+English!C88+Geography!C92+Geology!C87+Hist!C90+JMC!C87+Kinesiology!C90+Math!C89+'Modern Language'!C93+'Music -OLD'!C90+Philosophy!C86+Physics!C89+'Political Science'!C90+Psych!C88+SASW!C93+'Comm Stud Th Dan - OLD'!C93+Stats!C90</f>
        <v>0</v>
      </c>
      <c r="D97" s="220">
        <f t="shared" si="28"/>
        <v>0</v>
      </c>
      <c r="E97" s="225">
        <f>Dean_AS!E145+Art!E86+Biochem!E89+Biology!E96+Chemistry!E90+Economics!E90+English!E88+Geography!E92+Geology!E87+Hist!E90+JMC!E87+Kinesiology!E90+Math!E89+'Modern Language'!E93+'Music -OLD'!E90+Philosophy!E86+Physics!E89+'Political Science'!E90+Psych!E88+SASW!E93+'Comm Stud Th Dan - OLD'!E93+Stats!E90</f>
        <v>0</v>
      </c>
      <c r="F97" s="312">
        <f>E97/F$76</f>
        <v>0</v>
      </c>
      <c r="G97" s="375">
        <v>0</v>
      </c>
      <c r="H97" s="220">
        <f>G97/H$76</f>
        <v>0</v>
      </c>
      <c r="I97" s="284">
        <f>Dean_AS!I145+Art!I86+Biochem!I89+Biology!I96+Chemistry!I90+Economics!I90+English!I88+Geography!I92+Geology!I87+Hist!I90+JMC!I87+Kinesiology!I90+Math!I89+'Modern Language'!I93+'Music -OLD'!I90+Philosophy!I86+Physics!I89+'Political Science'!I90+Psych!I88+SASW!I93+'Comm Stud Th Dan - OLD'!I93+Stats!I90</f>
        <v>0</v>
      </c>
      <c r="J97" s="220">
        <f>I97/$D$76</f>
        <v>0</v>
      </c>
      <c r="K97" s="284">
        <f>Dean_AS!K145+Art!K86+Biochem!K89+Biology!K96+Chemistry!K90+Economics!K90+English!K88+Geography!K92+Geology!K87+Hist!K90+JMC!K87+Kinesiology!K90+Math!K89+'Modern Language'!K93+'Music -OLD'!K90+Philosophy!K86+Physics!K89+'Political Science'!K90+Psych!K88+SASW!K93+'Comm Stud Th Dan - OLD'!K93+Stats!K90</f>
        <v>0</v>
      </c>
      <c r="L97" s="312">
        <f>K97/L$76</f>
        <v>0</v>
      </c>
      <c r="M97" s="217">
        <f>Dean_AS!M145+'Amer Ethnic Stud'!M87+Art!M86+Biochem!M89+Biology!M96+Chemistry!M90+'Comm Stud Th Dan - OLD'!M93+Economics!M90+English!M88+Geography!M92+Geology!M87+Hist!M90+JMC!M87+Kinesiology!M90+Math!M89+'Modern Language'!M93+'Music -OLD'!M90+Philosophy!M86+Physics!M89+'Political Science'!M90+Psych!M88+SASW!M93+Stats!M90+'Women''s Studies'!M89</f>
        <v>0</v>
      </c>
      <c r="N97" s="397">
        <f>M97/N$76</f>
        <v>0</v>
      </c>
      <c r="O97" s="174">
        <f>Dean_AS!O145+'Amer Ethnic Stud'!O87+Art!O86+Biochem!O89+Biology!O96+Chemistry!O90+'Comm Stud Th Dan - OLD'!O93+Economics!O90+English!O88+Geography!O92+Geology!O87+Hist!O90+JMC!O87+Kinesiology!O90+Math!O89+'Modern Language'!O93+'Music -OLD'!O90+Philosophy!O86+Physics!O89+'Political Science'!O90+Psych!O88+SASW!O93+Stats!O90+'Women''s Studies'!O89</f>
        <v>0</v>
      </c>
      <c r="P97" s="397">
        <f>O97/P$76</f>
        <v>0</v>
      </c>
      <c r="Q97" s="174">
        <f>Dean_AS!Q145+'Amer Ethnic Stud'!Q87+Art!Q86+Biochem!Q89+Biology!Q96+Chemistry!Q90+'Comm Stud Th Dan - OLD'!Q93+Economics!Q90+English!Q88+Geography!Q92+Geology!Q87+Hist!Q90+JMC!Q87+Kinesiology!Q90+Math!Q89+'Modern Language'!Q93+'Music -OLD'!Q90+Philosophy!Q86+Physics!Q89+'Political Science'!Q90+Psych!Q88+SASW!Q93+Stats!Q90+'Women''s Studies'!Q89</f>
        <v>0</v>
      </c>
      <c r="R97" s="220">
        <f>Q97/R$76</f>
        <v>0</v>
      </c>
      <c r="S97" s="174">
        <f>Dean_AS!S145+'Amer Ethnic Stud'!S87+Art!S86+Biochem!S89+Biology!S96+Chemistry!S90+'Comm Stud Th Dan - OLD'!S93+Economics!S90+English!S88+Geography!S92+Geology!S87+Hist!S90+JMC!S87+Kinesiology!S90+Math!S89+'Modern Language'!S93+'Music -OLD'!S90+Philosophy!S86+Physics!S89+'Political Science'!S90+Psych!S88+SASW!S93+Stats!S90+'Women''s Studies'!S89</f>
        <v>0</v>
      </c>
      <c r="T97" s="220">
        <f>S97/T$76</f>
        <v>0</v>
      </c>
      <c r="U97" s="174">
        <f>Dean_AS!U145+'Amer Ethnic Stud'!U87+Art!U86+Biochem!U89+Biology!U96+Chemistry!U90+'Comm Studies '!U88+Economics!U90+English!U88+Geography!U92+Geology!U87+Hist!U90+JMC!U87+Kinesiology!U90+Math!U89+'Modern Language'!U93+'Music Theatre Dance'!U95+Philosophy!U86+Physics!U89+'Political Science'!U90+Psych!U88+SASW!U93+Stats!U90+'Women''s Studies'!U89</f>
        <v>0</v>
      </c>
      <c r="V97" s="220">
        <f>U97/V$76</f>
        <v>0</v>
      </c>
      <c r="W97" s="174">
        <f>Dean_AS!W145+'Amer Ethnic Stud'!W87+Art!W86+Biochem!W89+Biology!W96+Chemistry!W90+'Comm Studies '!W88+Economics!W90+English!W88+Geography!W92+Geology!W87+Hist!W90+JMC!W87+Math!W89+'Modern Language'!W93+'Music Theatre Dance'!W95+Philosophy!W86+Physics!W89+'Political Science'!W90+Psych!W88+SASW!W93+Stats!W90+'Women''s Studies'!W89</f>
        <v>0</v>
      </c>
      <c r="X97" s="220">
        <f>W97/X$76</f>
        <v>0</v>
      </c>
      <c r="Y97" s="174">
        <f>Dean_AS!Y145+'Amer Ethnic Stud'!Y87+Art!Y86+Biochem!Y89+Biology!Y96+Chemistry!Y90+'Comm Studies '!Y88+Economics!Y90+English!Y88+Geography!Y92+Geology!Y87+Hist!Y90+JMC!Y87+Math!Y89+'Modern Language'!Y93+'Music Theatre Dance'!Y95+Philosophy!Y86+Physics!Y89+'Political Science'!Y90+Psych!Y88+SASW!Y93+Stats!Y90+'Women''s Studies'!Y89</f>
        <v>0</v>
      </c>
      <c r="Z97" s="1495">
        <f>Y97/Z$76</f>
        <v>0</v>
      </c>
      <c r="AA97" s="410"/>
      <c r="AB97" s="1016">
        <f t="shared" si="26"/>
        <v>0</v>
      </c>
      <c r="AC97" s="863">
        <f t="shared" si="27"/>
        <v>0</v>
      </c>
    </row>
    <row r="98" spans="1:31" customFormat="1" ht="14.25" thickTop="1" thickBot="1" x14ac:dyDescent="0.25">
      <c r="A98" s="1"/>
      <c r="B98" s="956" t="s">
        <v>186</v>
      </c>
      <c r="C98" s="1992" t="s">
        <v>51</v>
      </c>
      <c r="D98" s="1993"/>
      <c r="E98" s="1992" t="s">
        <v>52</v>
      </c>
      <c r="F98" s="1993"/>
      <c r="G98" s="1989" t="s">
        <v>184</v>
      </c>
      <c r="H98" s="1990"/>
      <c r="I98" s="1989" t="s">
        <v>185</v>
      </c>
      <c r="J98" s="1990"/>
      <c r="K98" s="1989" t="s">
        <v>202</v>
      </c>
      <c r="L98" s="1990"/>
      <c r="M98" s="1991" t="s">
        <v>203</v>
      </c>
      <c r="N98" s="1979"/>
      <c r="O98" s="1970" t="s">
        <v>228</v>
      </c>
      <c r="P98" s="1979"/>
      <c r="Q98" s="1970" t="s">
        <v>238</v>
      </c>
      <c r="R98" s="1979"/>
      <c r="S98" s="1970" t="s">
        <v>273</v>
      </c>
      <c r="T98" s="1979"/>
      <c r="U98" s="1970" t="s">
        <v>275</v>
      </c>
      <c r="V98" s="1979"/>
      <c r="W98" s="1970" t="s">
        <v>281</v>
      </c>
      <c r="X98" s="1979"/>
      <c r="Y98" s="1970" t="s">
        <v>291</v>
      </c>
      <c r="Z98" s="1976"/>
      <c r="AB98" s="2003" t="s">
        <v>213</v>
      </c>
      <c r="AC98" s="2004"/>
    </row>
    <row r="99" spans="1:31" customFormat="1" x14ac:dyDescent="0.2">
      <c r="A99" s="1"/>
      <c r="B99" s="957"/>
      <c r="C99" s="958" t="s">
        <v>133</v>
      </c>
      <c r="D99" s="959" t="s">
        <v>17</v>
      </c>
      <c r="E99" s="958" t="s">
        <v>133</v>
      </c>
      <c r="F99" s="959" t="s">
        <v>17</v>
      </c>
      <c r="G99" s="958" t="s">
        <v>133</v>
      </c>
      <c r="H99" s="959" t="s">
        <v>17</v>
      </c>
      <c r="I99" s="958" t="s">
        <v>133</v>
      </c>
      <c r="J99" s="959" t="s">
        <v>17</v>
      </c>
      <c r="K99" s="958" t="s">
        <v>133</v>
      </c>
      <c r="L99" s="959" t="s">
        <v>17</v>
      </c>
      <c r="M99" s="958" t="s">
        <v>133</v>
      </c>
      <c r="N99" s="959" t="s">
        <v>17</v>
      </c>
      <c r="O99" s="1448" t="s">
        <v>133</v>
      </c>
      <c r="P99" s="1450" t="s">
        <v>17</v>
      </c>
      <c r="Q99" s="1451" t="s">
        <v>133</v>
      </c>
      <c r="R99" s="1450" t="s">
        <v>17</v>
      </c>
      <c r="S99" s="1451" t="s">
        <v>133</v>
      </c>
      <c r="T99" s="1450" t="s">
        <v>17</v>
      </c>
      <c r="U99" s="1451" t="s">
        <v>133</v>
      </c>
      <c r="V99" s="1450" t="s">
        <v>17</v>
      </c>
      <c r="W99" s="1451" t="s">
        <v>133</v>
      </c>
      <c r="X99" s="1450" t="s">
        <v>17</v>
      </c>
      <c r="Y99" s="1768" t="s">
        <v>133</v>
      </c>
      <c r="Z99" s="1452" t="s">
        <v>17</v>
      </c>
      <c r="AA99" s="1031"/>
      <c r="AB99" s="953" t="s">
        <v>133</v>
      </c>
      <c r="AC99" s="954" t="s">
        <v>17</v>
      </c>
    </row>
    <row r="100" spans="1:31" customFormat="1" x14ac:dyDescent="0.2">
      <c r="A100" s="1"/>
      <c r="B100" s="341" t="s">
        <v>187</v>
      </c>
      <c r="C100" s="960">
        <f>Dean_AS!C148+'Amer Ethnic Stud'!C90+Art!C89+Biochem!C92+Biology!C99+Chemistry!C93+'Comm Stud Th Dan - OLD'!C96+Economics!C93+English!C91+Geography!C95+Geology!C90+Hist!C93+JMC!C90+Kinesiology!C93+Math!C92+'Modern Language'!C96+'Music -OLD'!C93+Philosophy!C89+Physics!C92+'Political Science'!C93+Psych!C91+SASW!C96+Stats!C93+'Women''s Studies'!C92</f>
        <v>152</v>
      </c>
      <c r="D100" s="961">
        <f>Dean_AS!D148+'Amer Ethnic Stud'!D90+Art!D89+Biochem!D92+Biology!D99+Chemistry!D93+'Comm Stud Th Dan - OLD'!D96+Economics!D93+English!D91+Geography!D95+Geology!D90+Hist!D93+JMC!D90+Kinesiology!D93+Math!D92+'Modern Language'!D96+'Music -OLD'!D93+Philosophy!D89+Physics!D92+'Political Science'!D93+Psych!D91+SASW!D96+Stats!D93+'Women''s Studies'!D92</f>
        <v>71.599999999999994</v>
      </c>
      <c r="E100" s="960">
        <f>Dean_AS!E148+'Amer Ethnic Stud'!E90+Art!E89+Biochem!E92+Biology!E99+Chemistry!E93+'Comm Stud Th Dan - OLD'!E96+Economics!E93+English!E91+Geography!E95+Geology!E90+Hist!E93+JMC!E90+Kinesiology!E93+Math!E92+'Modern Language'!E96+'Music -OLD'!E93+Philosophy!E89+Physics!E92+'Political Science'!E93+Psych!E91+SASW!E96+Stats!E93+'Women''s Studies'!E92</f>
        <v>165</v>
      </c>
      <c r="F100" s="961">
        <f>Dean_AS!F148+'Amer Ethnic Stud'!F90+Art!F89+Biochem!F92+Biology!F99+Chemistry!F93+'Comm Stud Th Dan - OLD'!F96+Economics!F93+English!F91+Geography!F95+Geology!F90+Hist!F93+JMC!F90+Kinesiology!F93+Math!F92+'Modern Language'!F96+'Music -OLD'!F93+Philosophy!F89+Physics!F92+'Political Science'!F93+Psych!F91+SASW!F96+Stats!F93+'Women''s Studies'!F92</f>
        <v>76.649999999999991</v>
      </c>
      <c r="G100" s="960">
        <f>Dean_AS!G148+'Amer Ethnic Stud'!G90+Art!G89+Biochem!G92+Biology!G99+Chemistry!G93+'Comm Stud Th Dan - OLD'!G96+Economics!G93+English!G91+Geography!G95+Geology!G90+Hist!G93+JMC!G90+Kinesiology!G93+Math!G92+'Modern Language'!G96+'Music -OLD'!G93+Philosophy!G89+Physics!G92+'Political Science'!G93+Psych!G91+SASW!G96+Stats!G93+'Women''s Studies'!G92</f>
        <v>179</v>
      </c>
      <c r="H100" s="961">
        <f>Dean_AS!H148+'Amer Ethnic Stud'!H90+Art!H89+Biochem!H92+Biology!H99+Chemistry!H93+'Comm Stud Th Dan - OLD'!H96+Economics!H93+English!H91+Geography!H95+Geology!H90+Hist!H93+JMC!H90+Kinesiology!H93+Math!H92+'Modern Language'!H96+'Music -OLD'!H93+Philosophy!H89+Physics!H92+'Political Science'!H93+Psych!H91+SASW!H96+Stats!H93+'Women''s Studies'!H92</f>
        <v>82.25</v>
      </c>
      <c r="I100" s="960">
        <f>Dean_AS!I148+'Amer Ethnic Stud'!I90+Art!I89+Biochem!I92+Biology!I99+Chemistry!I93+'Comm Stud Th Dan - OLD'!I96+Economics!I93+English!I91+Geography!I95+Geology!I90+Hist!I93+JMC!I90+Kinesiology!I93+Math!I92+'Modern Language'!I96+'Music -OLD'!I93+Philosophy!I89+Physics!I92+'Political Science'!I93+Psych!I91+SASW!I96+Stats!I93+'Women''s Studies'!I92</f>
        <v>180</v>
      </c>
      <c r="J100" s="961">
        <f>Dean_AS!J148+'Amer Ethnic Stud'!J90+Art!J89+Biochem!J92+Biology!J99+Chemistry!J93+'Comm Stud Th Dan - OLD'!J96+Economics!J93+English!J91+Geography!J95+Geology!J90+Hist!J93+JMC!J90+Kinesiology!J93+Math!J92+'Modern Language'!J96+'Music -OLD'!J93+Philosophy!J89+Physics!J92+'Political Science'!J93+Psych!J91+SASW!J96+Stats!J93+'Women''s Studies'!J92</f>
        <v>84.049999999999983</v>
      </c>
      <c r="K100" s="960">
        <f>Dean_AS!K148+'Amer Ethnic Stud'!K90+Art!K89+Biochem!K92+Biology!K99+Chemistry!K93+'Comm Stud Th Dan - OLD'!K96+Economics!K93+English!K91+Geography!K95+Geology!K90+Hist!K93+JMC!K90+Kinesiology!K93+Math!K92+'Modern Language'!K96+'Music -OLD'!K93+Philosophy!K89+Physics!K92+'Political Science'!K93+Psych!K91+SASW!K96+Stats!K93+'Women''s Studies'!K92</f>
        <v>170</v>
      </c>
      <c r="L100" s="961">
        <f>Dean_AS!L148+'Amer Ethnic Stud'!L90+Art!L89+Biochem!L92+Biology!L99+Chemistry!L93+'Comm Stud Th Dan - OLD'!L96+Economics!L93+English!L91+Geography!L95+Geology!L90+Hist!L93+JMC!L90+Kinesiology!L93+Math!L92+'Modern Language'!L96+'Music -OLD'!L93+Philosophy!L89+Physics!L92+'Political Science'!L93+Psych!L91+SASW!L96+Stats!L93+'Women''s Studies'!L92</f>
        <v>80.399999999999991</v>
      </c>
      <c r="M100" s="960">
        <f>Dean_AS!M148+'Amer Ethnic Stud'!M90+Art!M89+Biochem!M92+Biology!M99+Chemistry!M93+'Comm Stud Th Dan - OLD'!M96+Economics!M93+English!M91+Geography!M95+Geology!M90+Hist!M93+JMC!M90+Kinesiology!M93+Math!M92+'Modern Language'!M96+'Music -OLD'!M93+Philosophy!M89+Physics!M92+'Political Science'!M93+Psych!M91+SASW!M96+Stats!M93+'Women''s Studies'!M92</f>
        <v>164</v>
      </c>
      <c r="N100" s="961">
        <f>Dean_AS!N148+'Amer Ethnic Stud'!N90+Art!N89+Biochem!N92+Biology!N99+Chemistry!N93+'Comm Stud Th Dan - OLD'!N96+Economics!N93+English!N91+Geography!N95+Geology!N90+Hist!N93+JMC!N90+Kinesiology!N93+Math!N92+'Modern Language'!N96+'Music -OLD'!N93+Philosophy!N89+Physics!N92+'Political Science'!N93+Psych!N91+SASW!N96+Stats!N93+'Women''s Studies'!N92</f>
        <v>78.849999999999994</v>
      </c>
      <c r="O100" s="960">
        <f>Dean_AS!O148+'Amer Ethnic Stud'!O90+Art!O89+Biochem!O92+Biology!O99+Chemistry!O93+'Comm Stud Th Dan - OLD'!O96+Economics!O93+English!O91+Geography!O95+Geology!O90+Hist!O93+JMC!O90+Kinesiology!O93+Math!O92+'Modern Language'!O96+'Music -OLD'!O93+Philosophy!O89+Physics!O92+'Political Science'!O93+Psych!O91+SASW!O96+Stats!O93+'Women''s Studies'!O92</f>
        <v>160</v>
      </c>
      <c r="P100" s="961">
        <f>SUM(Dean_AS!P148,'Amer Ethnic Stud'!P90,Art!P89,Biochem!P92,Biology!P99,Chemistry!P93,'Comm Stud Th Dan - OLD'!P96,Economics!P93,English!P91,Geography!P95,Geology!P90,Hist!P93,JMC!P90,Kinesiology!P93,Math!P92,'Modern Language'!P96,'Music -OLD'!P93,Philosophy!P89,Physics!P92,'Political Science'!P93,Psych!P91,SASW!P96,Stats!P93,'Women''s Studies'!P92)</f>
        <v>75.95</v>
      </c>
      <c r="Q100" s="960">
        <f>Dean_AS!Q148+'Amer Ethnic Stud'!Q90+Art!Q89+Biochem!Q92+Biology!Q99+Chemistry!Q93+'Comm Stud Th Dan - OLD'!Q96+Economics!Q93+English!Q91+Geography!Q95+Geology!Q90+Hist!Q93+JMC!Q90+Kinesiology!Q93+Math!Q92+'Modern Language'!Q96+'Music -OLD'!Q93+Philosophy!Q89+Physics!Q92+'Political Science'!Q93+Psych!Q91+SASW!Q96+Stats!Q93+'Women''s Studies'!Q92</f>
        <v>150</v>
      </c>
      <c r="R100" s="961">
        <f>SUM(Dean_AS!R148,'Amer Ethnic Stud'!R90,Art!R89,Biochem!R92,Biology!R99,Chemistry!R93,'Comm Stud Th Dan - OLD'!R96,Economics!R93,English!R91,Geography!R95,Geology!R90,Hist!R93,JMC!R90,Kinesiology!R93,Math!R92,'Modern Language'!R96,'Music -OLD'!R93,Philosophy!R89,Physics!R92,'Political Science'!R93,Psych!R91,SASW!R96,Stats!R93,'Women''s Studies'!R92)</f>
        <v>72.699999999999989</v>
      </c>
      <c r="S100" s="960">
        <f>Dean_AS!S148+'Amer Ethnic Stud'!S90+Art!S89+Biochem!S92+Biology!S99+Chemistry!S93+'Comm Stud Th Dan - OLD'!S96+Economics!S93+English!S91+Geography!S95+Geology!S90+Hist!S93+JMC!S90+Kinesiology!S93+Math!S92+'Modern Language'!S96+'Music -OLD'!S93+Philosophy!S89+Physics!S92+'Political Science'!S93+Psych!S91+SASW!S96+Stats!S93+'Women''s Studies'!S92</f>
        <v>176</v>
      </c>
      <c r="T100" s="961">
        <f>SUM(Dean_AS!T148,'Amer Ethnic Stud'!T90,Art!T89,Biochem!T92,Biology!T99,Chemistry!T93,'Comm Stud Th Dan - OLD'!T96,Economics!T93,English!T91,Geography!T95,Geology!T90,Hist!T93,JMC!T90,Kinesiology!T93,Math!T92,'Modern Language'!T96,'Music -OLD'!T93,Philosophy!T89,Physics!T92,'Political Science'!T93,Psych!T91,SASW!T96,Stats!T93,'Women''s Studies'!T92)</f>
        <v>84.300000000000011</v>
      </c>
      <c r="U100" s="960">
        <f>Dean_AS!U148+'Amer Ethnic Stud'!U90+Art!U89+Biochem!U92+Biology!U99+Chemistry!U93+'Comm Studies '!U91+Economics!U93+English!U91+Geography!U95+Geology!U90+Hist!U93+JMC!U90+Kinesiology!U93+Math!U92+'Modern Language'!U96+'Music Theatre Dance'!U98+Philosophy!U89+Physics!U92+'Political Science'!U93+Psych!U91+SASW!U96+Stats!U93+'Women''s Studies'!U92</f>
        <v>177</v>
      </c>
      <c r="V100" s="961">
        <f>Dean_AS!V148+'Amer Ethnic Stud'!V90+Art!V89+Biochem!V92+Biology!V99+Chemistry!V93+'Comm Studies '!V91+Economics!V93+English!V91+Geography!V95+Geology!V90+Hist!V93+JMC!V90+Kinesiology!V93+Math!V92+'Modern Language'!V96+'Music Theatre Dance'!V98+Philosophy!V89+Physics!V92+'Political Science'!V93+Psych!V91+SASW!V96+Stats!V93+'Women''s Studies'!V92</f>
        <v>82.25</v>
      </c>
      <c r="W100" s="960">
        <f>Dean_AS!W148+'Amer Ethnic Stud'!W90+Art!W89+Biochem!W92+Biology!W99+Chemistry!W93+'Comm Studies '!W91+Economics!W93+English!W91+Geography!W95+Geology!W90+Hist!W93+JMC!W90+Math!W92+'Modern Language'!W96+'Music Theatre Dance'!W98+Philosophy!W89+Physics!W92+'Political Science'!W93+Psych!W91+SASW!W96+Stats!W93+'Women''s Studies'!W92</f>
        <v>148</v>
      </c>
      <c r="X100" s="961">
        <f>Dean_AS!X148+'Amer Ethnic Stud'!X90+Art!X89+Biochem!X92+Biology!X99+Chemistry!X93+'Comm Studies '!X91+Economics!X93+English!X91+Geography!X95+Geology!X90+Hist!X93+JMC!X90+Math!X92+'Modern Language'!X96+'Music Theatre Dance'!X98+Philosophy!X89+Physics!X92+'Political Science'!X93+Psych!X91+SASW!X96+Stats!X93+'Women''s Studies'!X92</f>
        <v>70.400000000000006</v>
      </c>
      <c r="Y100" s="960">
        <f>Dean_AS!Y148+'Amer Ethnic Stud'!Y90+Art!Y89+Biochem!Y92+Biology!Y99+Chemistry!Y93+'Comm Studies '!Y91+Economics!Y93+English!Y91+Geography!Y95+Geology!Y90+Hist!Y93+JMC!Y90+Math!Y92+'Modern Language'!Y96+'Music Theatre Dance'!Y98+Philosophy!Y89+Physics!Y92+'Political Science'!Y93+Psych!Y91+SASW!Y96+Stats!Y93+'Women''s Studies'!Y92</f>
        <v>131</v>
      </c>
      <c r="Z100" s="1517">
        <f>Dean_AS!Z148+'Amer Ethnic Stud'!Z90+Art!Z89+Biochem!Z92+Biology!Z99+Chemistry!Z93+'Comm Studies '!Z91+Economics!Z93+English!Z91+Geography!Z95+Geology!Z90+Hist!Z93+JMC!Z90+Math!Z92+'Modern Language'!Z96+'Music Theatre Dance'!Z98+Philosophy!Z89+Physics!Z92+'Political Science'!Z93+Psych!Z91+SASW!Z96+Stats!Z93+'Women''s Studies'!Z92</f>
        <v>60.6</v>
      </c>
      <c r="AA100" s="1031"/>
      <c r="AB100" s="1170">
        <f t="shared" ref="AB100:AB102" si="31">AVERAGE(U100,S100,Q100,Y100,W100)</f>
        <v>156.4</v>
      </c>
      <c r="AC100" s="1171">
        <f t="shared" ref="AC100:AC102" si="32">AVERAGE(V100,T100,R100,Z100,X100)</f>
        <v>74.05</v>
      </c>
    </row>
    <row r="101" spans="1:31" customFormat="1" x14ac:dyDescent="0.2">
      <c r="A101" s="1"/>
      <c r="B101" s="341" t="s">
        <v>188</v>
      </c>
      <c r="C101" s="960">
        <f>Dean_AS!C149+'Amer Ethnic Stud'!C91+Art!C90+Biochem!C93+Biology!C100+Chemistry!C94+'Comm Stud Th Dan - OLD'!C97+Economics!C94+English!C92+Geography!C96+Geology!C91+Hist!C94+JMC!C91+Kinesiology!C94+Math!C93+'Modern Language'!C97+'Music -OLD'!C94+Philosophy!C90+Physics!C93+'Political Science'!C94+Psych!C92+SASW!C97+Stats!C94+'Women''s Studies'!C93</f>
        <v>379</v>
      </c>
      <c r="D101" s="961">
        <f>Dean_AS!D149+'Amer Ethnic Stud'!D91+Art!D90+Biochem!D93+Biology!D100+Chemistry!D94+'Comm Stud Th Dan - OLD'!D97+Economics!D94+English!D92+Geography!D96+Geology!D91+Hist!D94+JMC!D91+Kinesiology!D94+Math!D93+'Modern Language'!D97+'Music -OLD'!D94+Philosophy!D90+Physics!D93+'Political Science'!D94+Psych!D92+SASW!D97+Stats!D94+'Women''s Studies'!D93</f>
        <v>184.8</v>
      </c>
      <c r="E101" s="960">
        <f>Dean_AS!E149+'Amer Ethnic Stud'!E91+Art!E90+Biochem!E93+Biology!E100+Chemistry!E94+'Comm Stud Th Dan - OLD'!E97+Economics!E94+English!E92+Geography!E96+Geology!E91+Hist!E94+JMC!E91+Kinesiology!E94+Math!E93+'Modern Language'!E97+'Music -OLD'!E94+Philosophy!E90+Physics!E93+'Political Science'!E94+Psych!E92+SASW!E97+Stats!E94+'Women''s Studies'!E93</f>
        <v>405</v>
      </c>
      <c r="F101" s="961">
        <f>Dean_AS!F149+'Amer Ethnic Stud'!F91+Art!F90+Biochem!F93+Biology!F100+Chemistry!F94+'Comm Stud Th Dan - OLD'!F97+Economics!F94+English!F92+Geography!F96+Geology!F91+Hist!F94+JMC!F91+Kinesiology!F94+Math!F93+'Modern Language'!F97+'Music -OLD'!F94+Philosophy!F90+Physics!F93+'Political Science'!F94+Psych!F92+SASW!F97+Stats!F94+'Women''s Studies'!F93</f>
        <v>194.15</v>
      </c>
      <c r="G101" s="960">
        <f>Dean_AS!G149+'Amer Ethnic Stud'!G91+Art!G90+Biochem!G93+Biology!G100+Chemistry!G94+'Comm Stud Th Dan - OLD'!G97+Economics!G94+English!G92+Geography!G96+Geology!G91+Hist!G94+JMC!G91+Kinesiology!G94+Math!G93+'Modern Language'!G97+'Music -OLD'!G94+Philosophy!G90+Physics!G93+'Political Science'!G94+Psych!G92+SASW!G97+Stats!G94+'Women''s Studies'!G93</f>
        <v>430</v>
      </c>
      <c r="H101" s="961">
        <f>Dean_AS!H149+'Amer Ethnic Stud'!H91+Art!H90+Biochem!H93+Biology!H100+Chemistry!H94+'Comm Stud Th Dan - OLD'!H97+Economics!H94+English!H92+Geography!H96+Geology!H91+Hist!H94+JMC!H91+Kinesiology!H94+Math!H93+'Modern Language'!H97+'Music -OLD'!H94+Philosophy!H90+Physics!H93+'Political Science'!H94+Psych!H92+SASW!H97+Stats!H94+'Women''s Studies'!H93</f>
        <v>205.35</v>
      </c>
      <c r="I101" s="960">
        <f>Dean_AS!I149+'Amer Ethnic Stud'!I91+Art!I90+Biochem!I93+Biology!I100+Chemistry!I94+'Comm Stud Th Dan - OLD'!I97+Economics!I94+English!I92+Geography!I96+Geology!I91+Hist!I94+JMC!I91+Kinesiology!I94+Math!I93+'Modern Language'!I97+'Music -OLD'!I94+Philosophy!I90+Physics!I93+'Political Science'!I94+Psych!I92+SASW!I97+Stats!I94+'Women''s Studies'!I93</f>
        <v>403</v>
      </c>
      <c r="J101" s="961">
        <f>Dean_AS!J149+'Amer Ethnic Stud'!J91+Art!J90+Biochem!J93+Biology!J100+Chemistry!J94+'Comm Stud Th Dan - OLD'!J97+Economics!J94+English!J92+Geography!J96+Geology!J91+Hist!J94+JMC!J91+Kinesiology!J94+Math!J93+'Modern Language'!J97+'Music -OLD'!J94+Philosophy!J90+Physics!J93+'Political Science'!J94+Psych!J92+SASW!J97+Stats!J94+'Women''s Studies'!J93</f>
        <v>196.00000000000003</v>
      </c>
      <c r="K101" s="960">
        <f>Dean_AS!K149+'Amer Ethnic Stud'!K91+Art!K90+Biochem!K93+Biology!K100+Chemistry!K94+'Comm Stud Th Dan - OLD'!K97+Economics!K94+English!K92+Geography!K96+Geology!K91+Hist!K94+JMC!K91+Kinesiology!K94+Math!K93+'Modern Language'!K97+'Music -OLD'!K94+Philosophy!K90+Physics!K93+'Political Science'!K94+Psych!K92+SASW!K97+Stats!K94+'Women''s Studies'!K93</f>
        <v>418</v>
      </c>
      <c r="L101" s="961">
        <f>Dean_AS!L149+'Amer Ethnic Stud'!L91+Art!L90+Biochem!L93+Biology!L100+Chemistry!L94+'Comm Stud Th Dan - OLD'!L97+Economics!L94+English!L92+Geography!L96+Geology!L91+Hist!L94+JMC!L91+Kinesiology!L94+Math!L93+'Modern Language'!L97+'Music -OLD'!L94+Philosophy!L90+Physics!L93+'Political Science'!L94+Psych!L92+SASW!L97+Stats!L94+'Women''s Studies'!L93</f>
        <v>200.55</v>
      </c>
      <c r="M101" s="960">
        <f>Dean_AS!M149+'Amer Ethnic Stud'!M91+Art!M90+Biochem!M93+Biology!M100+Chemistry!M94+'Comm Stud Th Dan - OLD'!M97+Economics!M94+English!M92+Geography!M96+Geology!M91+Hist!M94+JMC!M91+Kinesiology!M94+Math!M93+'Modern Language'!M97+'Music -OLD'!M94+Philosophy!M90+Physics!M93+'Political Science'!M94+Psych!M92+SASW!M97+Stats!M94+'Women''s Studies'!M93</f>
        <v>432</v>
      </c>
      <c r="N101" s="961">
        <f>Dean_AS!N149+'Amer Ethnic Stud'!N91+Art!N90+Biochem!N93+Biology!N100+Chemistry!N94+'Comm Stud Th Dan - OLD'!N97+Economics!N94+English!N92+Geography!N96+Geology!N91+Hist!N94+JMC!N91+Kinesiology!N94+Math!N93+'Modern Language'!N97+'Music -OLD'!N94+Philosophy!N90+Physics!N93+'Political Science'!N94+Psych!N92+SASW!N97+Stats!N94+'Women''s Studies'!N93</f>
        <v>216.70000000000002</v>
      </c>
      <c r="O101" s="960">
        <f>Dean_AS!O149+'Amer Ethnic Stud'!O91+Art!O90+Biochem!O93+Biology!O100+Chemistry!O94+'Comm Stud Th Dan - OLD'!O97+Economics!O94+English!O92+Geography!O96+Geology!O91+Hist!O94+JMC!O91+Kinesiology!O94+Math!O93+'Modern Language'!O97+'Music -OLD'!O94+Philosophy!O90+Physics!O93+'Political Science'!O94+Psych!O92+SASW!O97+Stats!O94+'Women''s Studies'!O93</f>
        <v>402</v>
      </c>
      <c r="P101" s="961">
        <f>Dean_AS!P149+'Amer Ethnic Stud'!P91+Art!P90+Biochem!P93+Biology!P100+Chemistry!P94+'Comm Stud Th Dan - OLD'!P97+Economics!P94+English!P92+Geography!P96+Geology!P91+Hist!P94+JMC!P91+Kinesiology!P94+Math!P93+'Modern Language'!P97+'Music -OLD'!P94+Philosophy!P90+Physics!P93+'Political Science'!P94+Psych!P92+SASW!P97+Stats!P94+'Women''s Studies'!P93</f>
        <v>191.3</v>
      </c>
      <c r="Q101" s="960">
        <f>Dean_AS!Q149+'Amer Ethnic Stud'!Q91+Art!Q90+Biochem!Q93+Biology!Q100+Chemistry!Q94+'Comm Stud Th Dan - OLD'!Q97+Economics!Q94+English!Q92+Geography!Q96+Geology!Q91+Hist!Q94+JMC!Q91+Kinesiology!Q94+Math!Q93+'Modern Language'!Q97+'Music -OLD'!Q94+Philosophy!Q90+Physics!Q93+'Political Science'!Q94+Psych!Q92+SASW!Q97+Stats!Q94+'Women''s Studies'!Q93</f>
        <v>374</v>
      </c>
      <c r="R101" s="961">
        <f>Dean_AS!R149+'Amer Ethnic Stud'!R91+Art!R90+Biochem!R93+Biology!R100+Chemistry!R94+'Comm Stud Th Dan - OLD'!R97+Economics!R94+English!R92+Geography!R96+Geology!R91+Hist!R94+JMC!R91+Kinesiology!R94+Math!R93+'Modern Language'!R97+'Music -OLD'!R94+Philosophy!R90+Physics!R93+'Political Science'!R94+Psych!R92+SASW!R97+Stats!R94+'Women''s Studies'!R93</f>
        <v>192.29999999999998</v>
      </c>
      <c r="S101" s="960">
        <f>Dean_AS!S149+'Amer Ethnic Stud'!S91+Art!S90+Biochem!S93+Biology!S100+Chemistry!S94+'Comm Stud Th Dan - OLD'!S97+Economics!S94+English!S92+Geography!S96+Geology!S91+Hist!S94+JMC!S91+Kinesiology!S94+Math!S93+'Modern Language'!S97+'Music -OLD'!S94+Philosophy!S90+Physics!S93+'Political Science'!S94+Psych!S92+SASW!S97+Stats!S94+'Women''s Studies'!S93</f>
        <v>390</v>
      </c>
      <c r="T101" s="961">
        <f>Dean_AS!T149+'Amer Ethnic Stud'!T91+Art!T90+Biochem!T93+Biology!T100+Chemistry!T94+'Comm Stud Th Dan - OLD'!T97+Economics!T94+English!T92+Geography!T96+Geology!T91+Hist!T94+JMC!T91+Kinesiology!T94+Math!T93+'Modern Language'!T97+'Music -OLD'!T94+Philosophy!T90+Physics!T93+'Political Science'!T94+Psych!T92+SASW!T97+Stats!T94+'Women''s Studies'!T93</f>
        <v>191.10000000000002</v>
      </c>
      <c r="U101" s="960">
        <f>Dean_AS!U149+'Amer Ethnic Stud'!U91+Art!U90+Biochem!U93+Biology!U100+Chemistry!U94+'Comm Studies '!U92+Economics!U94+English!U92+Geography!U96+Geology!U91+Hist!U94+JMC!U91+Kinesiology!U94+Math!U93+'Modern Language'!U97+'Music Theatre Dance'!U99+Philosophy!U90+Physics!U93+'Political Science'!U94+Psych!U92+SASW!U97+Stats!U94+'Women''s Studies'!U93</f>
        <v>407</v>
      </c>
      <c r="V101" s="961">
        <f>Dean_AS!V149+'Amer Ethnic Stud'!V91+Art!V90+Biochem!V93+Biology!V100+Chemistry!V94+'Comm Studies '!V92+Economics!V94+English!V92+Geography!V96+Geology!V91+Hist!V94+JMC!V91+Kinesiology!V94+Math!V93+'Modern Language'!V97+'Music Theatre Dance'!V99+Philosophy!V90+Physics!V93+'Political Science'!V94+Psych!V92+SASW!V97+Stats!V94+'Women''s Studies'!V93</f>
        <v>197.65</v>
      </c>
      <c r="W101" s="960">
        <f>Dean_AS!W149+'Amer Ethnic Stud'!W91+Art!W90+Biochem!W93+Biology!W100+Chemistry!W94+'Comm Studies '!W92+Economics!W94+English!W92+Geography!W96+Geology!W91+Hist!W94+JMC!W91+Math!W93+'Modern Language'!W97+'Music Theatre Dance'!W99+Philosophy!W90+Physics!W93+'Political Science'!W94+Psych!W92+SASW!W97+Stats!W94+'Women''s Studies'!W93</f>
        <v>407</v>
      </c>
      <c r="X101" s="961">
        <f>Dean_AS!X149+'Amer Ethnic Stud'!X91+Art!X90+Biochem!X93+Biology!X100+Chemistry!X94+'Comm Studies '!X92+Economics!X94+English!X92+Geography!X96+Geology!X91+Hist!X94+JMC!X91+Math!X93+'Modern Language'!X97+'Music Theatre Dance'!X99+Philosophy!X90+Physics!X93+'Political Science'!X94+Psych!X92+SASW!X97+Stats!X94+'Women''s Studies'!X93</f>
        <v>198.65</v>
      </c>
      <c r="Y101" s="960">
        <f>Dean_AS!Y149+'Amer Ethnic Stud'!Y91+Art!Y90+Biochem!Y93+Biology!Y100+Chemistry!Y94+'Comm Studies '!Y92+Economics!Y94+English!Y92+Geography!Y96+Geology!Y91+Hist!Y94+JMC!Y91+Math!Y93+'Modern Language'!Y97+'Music Theatre Dance'!Y99+Philosophy!Y90+Physics!Y93+'Political Science'!Y94+Psych!Y92+SASW!Y97+Stats!Y94+'Women''s Studies'!Y93</f>
        <v>425</v>
      </c>
      <c r="Z101" s="1517">
        <f>Dean_AS!Z149+'Amer Ethnic Stud'!Z91+Art!Z90+Biochem!Z93+Biology!Z100+Chemistry!Z94+'Comm Studies '!Z92+Economics!Z94+English!Z92+Geography!Z96+Geology!Z91+Hist!Z94+JMC!Z91+Math!Z93+'Modern Language'!Z97+'Music Theatre Dance'!Z99+Philosophy!Z90+Physics!Z93+'Political Science'!Z94+Psych!Z92+SASW!Z97+Stats!Z94+'Women''s Studies'!Z93</f>
        <v>206.1</v>
      </c>
      <c r="AB101" s="1170">
        <f t="shared" si="31"/>
        <v>400.6</v>
      </c>
      <c r="AC101" s="1171">
        <f t="shared" si="32"/>
        <v>197.16</v>
      </c>
    </row>
    <row r="102" spans="1:31" customFormat="1" ht="13.5" thickBot="1" x14ac:dyDescent="0.25">
      <c r="A102" s="1"/>
      <c r="B102" s="344" t="s">
        <v>211</v>
      </c>
      <c r="C102" s="960">
        <f>Dean_AS!C150+'Amer Ethnic Stud'!C92+Art!C91+Biochem!C94+Biology!C101+Chemistry!C95+'Comm Stud Th Dan - OLD'!C98+Economics!C95+English!C93+Geography!C97+Geology!C92+Hist!C95+JMC!C92+Kinesiology!C95+Math!C94+'Modern Language'!C98+'Music -OLD'!C95+Philosophy!C91+Physics!C94+'Political Science'!C95+Psych!C93+SASW!C98+Stats!C95+'Women''s Studies'!C94</f>
        <v>1</v>
      </c>
      <c r="D102" s="963">
        <f>Dean_AS!D150+'Amer Ethnic Stud'!D92+Art!D91+Biochem!D94+Biology!D101+Chemistry!D95+'Comm Stud Th Dan - OLD'!D98+Economics!D95+English!D93+Geography!D97+Geology!D92+Hist!D95+JMC!D92+Kinesiology!D95+Math!D94+'Modern Language'!D98+'Music -OLD'!D95+Philosophy!D91+Physics!D94+'Political Science'!D95+Psych!D93+SASW!D98+Stats!D95+'Women''s Studies'!D94</f>
        <v>0.5</v>
      </c>
      <c r="E102" s="960">
        <f>Dean_AS!E150+'Amer Ethnic Stud'!E92+Art!E91+Biochem!E94+Biology!E101+Chemistry!E95+'Comm Stud Th Dan - OLD'!E98+Economics!E95+English!E93+Geography!E97+Geology!E92+Hist!E95+JMC!E92+Kinesiology!E95+Math!E94+'Modern Language'!E98+'Music -OLD'!E95+Philosophy!E91+Physics!E94+'Political Science'!E95+Psych!E93+SASW!E98+Stats!E95+'Women''s Studies'!E94</f>
        <v>1</v>
      </c>
      <c r="F102" s="963">
        <f>Dean_AS!F150+'Amer Ethnic Stud'!F92+Art!F91+Biochem!F94+Biology!F101+Chemistry!F95+'Comm Stud Th Dan - OLD'!F98+Economics!F95+English!F93+Geography!F97+Geology!F92+Hist!F95+JMC!F92+Kinesiology!F95+Math!F94+'Modern Language'!F98+'Music -OLD'!F95+Philosophy!F91+Physics!F94+'Political Science'!F95+Psych!F93+SASW!F98+Stats!F95+'Women''s Studies'!F94</f>
        <v>0.4</v>
      </c>
      <c r="G102" s="960">
        <f>Dean_AS!G150+'Amer Ethnic Stud'!G92+Art!G91+Biochem!G94+Biology!G101+Chemistry!G95+'Comm Stud Th Dan - OLD'!G98+Economics!G95+English!G93+Geography!G97+Geology!G92+Hist!G95+JMC!G92+Kinesiology!G95+Math!G94+'Modern Language'!G98+'Music -OLD'!G95+Philosophy!G91+Physics!G94+'Political Science'!G95+Psych!G93+SASW!G98+Stats!G95+'Women''s Studies'!G94</f>
        <v>0</v>
      </c>
      <c r="H102" s="963">
        <f>Dean_AS!H150+'Amer Ethnic Stud'!H92+Art!H91+Biochem!H94+Biology!H101+Chemistry!H95+'Comm Stud Th Dan - OLD'!H98+Economics!H95+English!H93+Geography!H97+Geology!H92+Hist!H95+JMC!H92+Kinesiology!H95+Math!H94+'Modern Language'!H98+'Music -OLD'!H95+Philosophy!H91+Physics!H94+'Political Science'!H95+Psych!H93+SASW!H98+Stats!H95+'Women''s Studies'!H94</f>
        <v>0</v>
      </c>
      <c r="I102" s="960">
        <f>Dean_AS!I150+'Amer Ethnic Stud'!I92+Art!I91+Biochem!I94+Biology!I101+Chemistry!I95+'Comm Stud Th Dan - OLD'!I98+Economics!I95+English!I93+Geography!I97+Geology!I92+Hist!I95+JMC!I92+Kinesiology!I95+Math!I94+'Modern Language'!I98+'Music -OLD'!I95+Philosophy!I91+Physics!I94+'Political Science'!I95+Psych!I93+SASW!I98+Stats!I95+'Women''s Studies'!I94</f>
        <v>3</v>
      </c>
      <c r="J102" s="963">
        <f>Dean_AS!J150+'Amer Ethnic Stud'!J92+Art!J91+Biochem!J94+Biology!J101+Chemistry!J95+'Comm Stud Th Dan - OLD'!J98+Economics!J95+English!J93+Geography!J97+Geology!J92+Hist!J95+JMC!J92+Kinesiology!J95+Math!J94+'Modern Language'!J98+'Music -OLD'!J95+Philosophy!J91+Physics!J94+'Political Science'!J95+Psych!J93+SASW!J98+Stats!J95+'Women''s Studies'!J94</f>
        <v>0.7</v>
      </c>
      <c r="K102" s="960">
        <f>Dean_AS!K150+'Amer Ethnic Stud'!K92+Art!K91+Biochem!K94+Biology!K101+Chemistry!K95+'Comm Stud Th Dan - OLD'!K98+Economics!K95+English!K93+Geography!K97+Geology!K92+Hist!K95+JMC!K92+Kinesiology!K95+Math!K94+'Modern Language'!K98+'Music -OLD'!K95+Philosophy!K91+Physics!K94+'Political Science'!K95+Psych!K93+SASW!K98+Stats!K95+'Women''s Studies'!K94</f>
        <v>0</v>
      </c>
      <c r="L102" s="963">
        <f>Dean_AS!L150+'Amer Ethnic Stud'!L92+Art!L91+Biochem!L94+Biology!L101+Chemistry!L95+'Comm Stud Th Dan - OLD'!L98+Economics!L95+English!L93+Geography!L97+Geology!L92+Hist!L95+JMC!L92+Kinesiology!L95+Math!L94+'Modern Language'!L98+'Music -OLD'!L95+Philosophy!L91+Physics!L94+'Political Science'!L95+Psych!L93+SASW!L98+Stats!L95+'Women''s Studies'!L94</f>
        <v>0</v>
      </c>
      <c r="M102" s="960">
        <f>Dean_AS!M150+'Amer Ethnic Stud'!M92+Art!M91+Biochem!M94+Biology!M101+Chemistry!M95+'Comm Stud Th Dan - OLD'!M98+Economics!M95+English!M93+Geography!M97+Geology!M92+Hist!M95+JMC!M92+Kinesiology!M95+Math!M94+'Modern Language'!M98+'Music -OLD'!M95+Philosophy!M91+Physics!M94+'Political Science'!M95+Psych!M93+SASW!M98+Stats!M95+'Women''s Studies'!M94</f>
        <v>1</v>
      </c>
      <c r="N102" s="963">
        <f>Dean_AS!N150+'Amer Ethnic Stud'!N92+Art!N91+Biochem!N94+Biology!N101+Chemistry!N95+'Comm Stud Th Dan - OLD'!N98+Economics!N95+English!N93+Geography!N97+Geology!N92+Hist!N95+JMC!N92+Kinesiology!N95+Math!N94+'Modern Language'!N98+'Music -OLD'!N95+Philosophy!N91+Physics!N94+'Political Science'!N95+Psych!N93+SASW!N98+Stats!N95+'Women''s Studies'!N94</f>
        <v>0.4</v>
      </c>
      <c r="O102" s="960">
        <f>Dean_AS!O150+'Amer Ethnic Stud'!O92+Art!O91+Biochem!O94+Biology!O101+Chemistry!O95+'Comm Stud Th Dan - OLD'!O98+Economics!O95+English!O93+Geography!O97+Geology!O92+Hist!O95+JMC!O92+Kinesiology!O95+Math!O94+'Modern Language'!O98+'Music -OLD'!O95+Philosophy!O91+Physics!O94+'Political Science'!O95+Psych!O93+SASW!O98+Stats!O95+'Women''s Studies'!O94</f>
        <v>0</v>
      </c>
      <c r="P102" s="963">
        <f>Dean_AS!P150+'Amer Ethnic Stud'!P92+Art!P91+Biochem!P94+Biology!P101+Chemistry!P95+'Comm Stud Th Dan - OLD'!P98+Economics!P95+English!P93+Geography!P97+Geology!P92+Hist!P95+JMC!P92+Kinesiology!P95+Math!P94+'Modern Language'!P98+'Music -OLD'!P95+Philosophy!P91+Physics!P94+'Political Science'!P95+Psych!P93+SASW!P98+Stats!P95+'Women''s Studies'!P94</f>
        <v>0</v>
      </c>
      <c r="Q102" s="960">
        <f>Dean_AS!Q150+'Amer Ethnic Stud'!Q92+Art!Q91+Biochem!Q94+Biology!Q101+Chemistry!Q95+'Comm Stud Th Dan - OLD'!Q98+Economics!Q95+English!Q93+Geography!Q97+Geology!Q92+Hist!Q95+JMC!Q92+Kinesiology!Q95+Math!Q94+'Modern Language'!Q98+'Music -OLD'!Q95+Philosophy!Q91+Physics!Q94+'Political Science'!Q95+Psych!Q93+SASW!Q98+Stats!Q95+'Women''s Studies'!Q94</f>
        <v>0</v>
      </c>
      <c r="R102" s="963">
        <f>Dean_AS!R150+'Amer Ethnic Stud'!R92+Art!R91+Biochem!R94+Biology!R101+Chemistry!R95+'Comm Stud Th Dan - OLD'!R98+Economics!R95+English!R93+Geography!R97+Geology!R92+Hist!R95+JMC!R92+Kinesiology!R95+Math!R94+'Modern Language'!R98+'Music -OLD'!R95+Philosophy!R91+Physics!R94+'Political Science'!R95+Psych!R93+SASW!R98+Stats!R95+'Women''s Studies'!R94</f>
        <v>0</v>
      </c>
      <c r="S102" s="960">
        <f>Dean_AS!S150+'Amer Ethnic Stud'!S92+Art!S91+Biochem!S94+Biology!S101+Chemistry!S95+'Comm Stud Th Dan - OLD'!S98+Economics!S95+English!S93+Geography!S97+Geology!S92+Hist!S95+JMC!S92+Kinesiology!S95+Math!S94+'Modern Language'!S98+'Music -OLD'!S95+Philosophy!S91+Physics!S94+'Political Science'!S95+Psych!S93+SASW!S98+Stats!S95+'Women''s Studies'!S94</f>
        <v>0</v>
      </c>
      <c r="T102" s="963">
        <f>Dean_AS!T150+'Amer Ethnic Stud'!T92+Art!T91+Biochem!T94+Biology!T101+Chemistry!T95+'Comm Stud Th Dan - OLD'!T98+Economics!T95+English!T93+Geography!T97+Geology!T92+Hist!T95+JMC!T92+Kinesiology!T95+Math!T94+'Modern Language'!T98+'Music -OLD'!T95+Philosophy!T91+Physics!T94+'Political Science'!T95+Psych!T93+SASW!T98+Stats!T95+'Women''s Studies'!T94</f>
        <v>0</v>
      </c>
      <c r="U102" s="960">
        <f>Dean_AS!U150+'Amer Ethnic Stud'!U92+Art!U91+Biochem!U94+Biology!U101+Chemistry!U95+'Comm Studies '!U93+Economics!U95+English!U93+Geography!U97+Geology!U92+Hist!U95+JMC!U92+Kinesiology!U95+Math!U94+'Modern Language'!U98+'Music Theatre Dance'!U100+Philosophy!U91+Physics!U94+'Political Science'!U95+Psych!U93+SASW!U98+Stats!U95+'Women''s Studies'!U94</f>
        <v>2</v>
      </c>
      <c r="V102" s="963">
        <f>Dean_AS!V150+'Amer Ethnic Stud'!V92+Art!V91+Biochem!V94+Biology!V101+Chemistry!V95+'Comm Studies '!V93+Economics!V95+English!V93+Geography!V97+Geology!V92+Hist!V95+JMC!V92+Kinesiology!V95+Math!V94+'Modern Language'!V98+'Music Theatre Dance'!V100+Philosophy!V91+Physics!V94+'Political Science'!V95+Psych!V93+SASW!V98+Stats!V95+'Women''s Studies'!V94</f>
        <v>1</v>
      </c>
      <c r="W102" s="960">
        <f>Dean_AS!W150+'Amer Ethnic Stud'!W92+Art!W91+Biochem!W94+Biology!W101+Chemistry!W95+'Comm Studies '!W93+Economics!W95+English!W93+Geography!W97+Geology!W92+Hist!W95+JMC!W92+Math!W94+'Modern Language'!W98+'Music Theatre Dance'!W100+Philosophy!W91+Physics!W94+'Political Science'!W95+Psych!W93+SASW!W98+Stats!W95+'Women''s Studies'!W94</f>
        <v>1</v>
      </c>
      <c r="X102" s="963">
        <f>Dean_AS!X150+'Amer Ethnic Stud'!X92+Art!X91+Biochem!X94+Biology!X101+Chemistry!X95+'Comm Studies '!X93+Economics!X95+English!X93+Geography!X97+Geology!X92+Hist!X95+JMC!X92+Math!X94+'Modern Language'!X98+'Music Theatre Dance'!X100+Philosophy!X91+Physics!X94+'Political Science'!X95+Psych!X93+SASW!X98+Stats!X95+'Women''s Studies'!X94</f>
        <v>0.5</v>
      </c>
      <c r="Y102" s="960">
        <f>Dean_AS!Y150+'Amer Ethnic Stud'!Y92+Art!Y91+Biochem!Y94+Biology!Y101+Chemistry!Y95+'Comm Studies '!Y93+Economics!Y95+English!Y93+Geography!Y97+Geology!Y92+Hist!Y95+JMC!Y92+Math!Y94+'Modern Language'!Y98+'Music Theatre Dance'!Y100+Philosophy!Y91+Physics!Y94+'Political Science'!Y95+Psych!Y93+SASW!Y98+Stats!Y95+'Women''s Studies'!Y94</f>
        <v>2</v>
      </c>
      <c r="Z102" s="1518">
        <f>Dean_AS!Z150+'Amer Ethnic Stud'!Z92+Art!Z91+Biochem!Z94+Biology!Z101+Chemistry!Z95+'Comm Studies '!Z93+Economics!Z95+English!Z93+Geography!Z97+Geology!Z92+Hist!Z95+JMC!Z92+Math!Z94+'Modern Language'!Z98+'Music Theatre Dance'!Z100+Philosophy!Z91+Physics!Z94+'Political Science'!Z95+Psych!Z93+SASW!Z98+Stats!Z95+'Women''s Studies'!Z94</f>
        <v>0.2</v>
      </c>
      <c r="AB102" s="1170">
        <f t="shared" si="31"/>
        <v>1</v>
      </c>
      <c r="AC102" s="1171">
        <f t="shared" si="32"/>
        <v>0.33999999999999997</v>
      </c>
    </row>
    <row r="103" spans="1:31" customFormat="1" ht="17.25" thickTop="1" thickBot="1" x14ac:dyDescent="0.3">
      <c r="A103" s="966"/>
      <c r="B103" s="967"/>
      <c r="C103" s="1992" t="s">
        <v>51</v>
      </c>
      <c r="D103" s="1993"/>
      <c r="E103" s="1992" t="s">
        <v>52</v>
      </c>
      <c r="F103" s="1993"/>
      <c r="G103" s="1989" t="s">
        <v>184</v>
      </c>
      <c r="H103" s="1990"/>
      <c r="I103" s="2126" t="s">
        <v>185</v>
      </c>
      <c r="J103" s="2127"/>
      <c r="K103" s="1989" t="s">
        <v>202</v>
      </c>
      <c r="L103" s="1990"/>
      <c r="M103" s="1991" t="s">
        <v>203</v>
      </c>
      <c r="N103" s="1979"/>
      <c r="O103" s="1970" t="s">
        <v>254</v>
      </c>
      <c r="P103" s="1979"/>
      <c r="Q103" s="1970" t="s">
        <v>238</v>
      </c>
      <c r="R103" s="1979"/>
      <c r="S103" s="1970" t="s">
        <v>273</v>
      </c>
      <c r="T103" s="1979"/>
      <c r="U103" s="1970" t="s">
        <v>275</v>
      </c>
      <c r="V103" s="1979"/>
      <c r="W103" s="1970" t="s">
        <v>281</v>
      </c>
      <c r="X103" s="1979"/>
      <c r="Y103" s="1970" t="s">
        <v>291</v>
      </c>
      <c r="Z103" s="1976"/>
      <c r="AA103" s="932"/>
      <c r="AB103" s="1987"/>
      <c r="AC103" s="1988"/>
      <c r="AD103" s="28"/>
      <c r="AE103" s="3"/>
    </row>
    <row r="104" spans="1:31" customFormat="1" x14ac:dyDescent="0.2">
      <c r="A104" s="3"/>
      <c r="B104" s="342" t="s">
        <v>210</v>
      </c>
      <c r="C104" s="3"/>
      <c r="D104" s="969"/>
      <c r="E104" s="970"/>
      <c r="F104" s="971"/>
      <c r="G104" s="972"/>
      <c r="H104" s="973"/>
      <c r="I104" s="974"/>
      <c r="J104" s="593"/>
      <c r="K104" s="975"/>
      <c r="L104" s="976"/>
      <c r="M104" s="975"/>
      <c r="N104" s="991"/>
      <c r="O104" s="1469"/>
      <c r="P104" s="1422"/>
      <c r="Q104" s="975"/>
      <c r="R104" s="991"/>
      <c r="S104" s="975"/>
      <c r="T104" s="991"/>
      <c r="U104" s="117"/>
      <c r="V104" s="1422"/>
      <c r="W104" s="975"/>
      <c r="X104" s="991"/>
      <c r="Y104" s="975"/>
      <c r="Z104" s="977"/>
      <c r="AA104" s="28"/>
      <c r="AB104" s="28"/>
      <c r="AC104" s="28"/>
      <c r="AD104" s="3"/>
      <c r="AE104" s="3"/>
    </row>
    <row r="105" spans="1:31" customFormat="1" x14ac:dyDescent="0.2">
      <c r="A105" s="930"/>
      <c r="B105" s="1331" t="s">
        <v>192</v>
      </c>
      <c r="C105" s="2128">
        <f>Dean_AS!C153+'Amer Ethnic Stud'!C95+Art!C94+Biochem!C97+Biology!C104+Chemistry!C98+'Comm Stud Th Dan - OLD'!C101+Economics!C98+English!C96+Geography!C100+Geology!C95+Hist!C98+JMC!C95+Kinesiology!C98+Math!C97+'Modern Language'!C101+'Music -OLD'!C98+Philosophy!C94+Physics!C97+'Political Science'!C98+Psych!C96+SASW!C101+Stats!C98+'Women''s Studies'!C97</f>
        <v>175.44499999999999</v>
      </c>
      <c r="D105" s="2129">
        <f>Dean_AS!D153+'Amer Ethnic Stud'!D95+Art!D94+Biochem!D97+Biology!D104+Chemistry!D98+'Comm Stud Th Dan - OLD'!D101+Economics!D98+English!D96+Geography!D100+Geology!D95+Hist!D98+JMC!D95+Kinesiology!D98+Math!D97+'Modern Language'!D101+'Music -OLD'!D98+Philosophy!D94+Physics!D97+'Political Science'!D98+Psych!D96+SASW!D101+Stats!D98+'Women''s Studies'!D97</f>
        <v>0</v>
      </c>
      <c r="E105" s="980"/>
      <c r="F105" s="981"/>
      <c r="G105" s="982"/>
      <c r="H105" s="983"/>
      <c r="I105" s="2128">
        <f>Dean_AS!I153+'Amer Ethnic Stud'!I95:J95+Art!I94+Biochem!I97+Biology!I104+Chemistry!I98+'Comm Stud Th Dan - OLD'!I101+Economics!I98+English!I96+Geography!I100+Geology!I95+Hist!I98+JMC!I95+Kinesiology!I98+Math!I97+'Modern Language'!I101+'Music -OLD'!I98+Philosophy!I94+Physics!I97+'Political Science'!I98+Psych!I96+SASW!I101+Stats!I98+'Women''s Studies'!I97</f>
        <v>174.14000000000001</v>
      </c>
      <c r="J105" s="2129">
        <f>Dean_AS!J153+'Amer Ethnic Stud'!J95+Art!J94+Biochem!J97+Biology!J104+Chemistry!J98+'Comm Stud Th Dan - OLD'!J101+Economics!J98+English!J96+Geography!J100+Geology!J95+Hist!J98+JMC!J95+Kinesiology!J98+Math!J97+'Modern Language'!J101+'Music -OLD'!J98+Philosophy!J94+Physics!J97+'Political Science'!J98+Psych!J96+SASW!J101+Stats!J98+'Women''s Studies'!J97</f>
        <v>0</v>
      </c>
      <c r="K105" s="984"/>
      <c r="L105" s="985"/>
      <c r="M105" s="984"/>
      <c r="N105" s="991"/>
      <c r="O105" s="367"/>
      <c r="P105" s="1422">
        <f>'Amer Ethnic Stud'!P95+Art!P94+Biochem!P97+Biology!P104+Chemistry!P98+'Comm Stud Th Dan - OLD'!P101+Economics!P98+English!P96+Geography!P100+Geology!P95+Hist!P98+JMC!P95+Kinesiology!P98+Math!P97+'Modern Language'!P101+'Music -OLD'!P98+Philosophy!P94+Physics!O97+'Political Science'!O98+Psych!O96+SASW!O101+Stats!O98+'Women''s Studies'!O97+Dean_AS!P153</f>
        <v>271.39999999999998</v>
      </c>
      <c r="Q105" s="984"/>
      <c r="R105" s="991"/>
      <c r="S105" s="984"/>
      <c r="T105" s="991"/>
      <c r="U105" s="136"/>
      <c r="V105" s="1422">
        <v>390.13</v>
      </c>
      <c r="W105" s="984"/>
      <c r="X105" s="991"/>
      <c r="Y105" s="984"/>
      <c r="Z105" s="977"/>
      <c r="AA105" s="28"/>
      <c r="AB105" s="28"/>
      <c r="AC105" s="1478"/>
      <c r="AD105" s="3"/>
      <c r="AE105" s="3"/>
    </row>
    <row r="106" spans="1:31" customFormat="1" x14ac:dyDescent="0.2">
      <c r="A106" s="930"/>
      <c r="B106" s="1332" t="s">
        <v>193</v>
      </c>
      <c r="C106" s="2128"/>
      <c r="D106" s="2129"/>
      <c r="E106" s="980"/>
      <c r="F106" s="981"/>
      <c r="G106" s="982"/>
      <c r="H106" s="983"/>
      <c r="I106" s="2128"/>
      <c r="J106" s="2129"/>
      <c r="K106" s="984"/>
      <c r="L106" s="985"/>
      <c r="M106" s="984"/>
      <c r="N106" s="991"/>
      <c r="O106" s="367"/>
      <c r="P106" s="1422"/>
      <c r="Q106" s="984"/>
      <c r="R106" s="991"/>
      <c r="S106" s="984"/>
      <c r="T106" s="991"/>
      <c r="U106" s="136"/>
      <c r="V106" s="1422"/>
      <c r="W106" s="984"/>
      <c r="X106" s="991"/>
      <c r="Y106" s="984"/>
      <c r="Z106" s="977"/>
      <c r="AA106" s="28"/>
      <c r="AB106" s="28"/>
      <c r="AC106" s="1478"/>
      <c r="AD106" s="3"/>
      <c r="AE106" s="3"/>
    </row>
    <row r="107" spans="1:31" customFormat="1" x14ac:dyDescent="0.2">
      <c r="A107" s="930"/>
      <c r="B107" s="1332" t="s">
        <v>194</v>
      </c>
      <c r="C107" s="2128">
        <f>Dean_AS!C155+'Amer Ethnic Stud'!C97+Art!C96+Biochem!C99+Biology!C106+Chemistry!C100+'Comm Stud Th Dan - OLD'!C103+Economics!C100+English!C98+Geography!C102+Geology!C97+Hist!C100+JMC!C97+Kinesiology!C100+Math!C99+'Modern Language'!C103+'Music -OLD'!C100+Philosophy!C96+Physics!C99+'Political Science'!C100+Psych!C98+SASW!C103+Stats!C100+'Women''s Studies'!C99</f>
        <v>132.53</v>
      </c>
      <c r="D107" s="2129">
        <f>Dean_AS!D155+'Amer Ethnic Stud'!D97+Art!D96+Biochem!D99+Biology!D106+Chemistry!D100+'Comm Stud Th Dan - OLD'!D103+Economics!D100+English!D98+Geography!D102+Geology!D97+Hist!D100+JMC!D97+Kinesiology!D100+Math!D99+'Modern Language'!D103+'Music -OLD'!D100+Philosophy!D96+Physics!D99+'Political Science'!D100+Psych!D98+SASW!D103+Stats!D100+'Women''s Studies'!D99</f>
        <v>0</v>
      </c>
      <c r="E107" s="980"/>
      <c r="F107" s="981"/>
      <c r="G107" s="982"/>
      <c r="H107" s="983"/>
      <c r="I107" s="2128">
        <f>Dean_AS!I155+'Amer Ethnic Stud'!I97:J97+Art!I96+Biochem!I99+Biology!I106+Chemistry!I100+'Comm Stud Th Dan - OLD'!I103+Economics!I100+English!I98+Geography!I102+Geology!I97+Hist!I100+JMC!I97+Kinesiology!I100+Math!I99+'Modern Language'!I103+'Music -OLD'!I100+Philosophy!I96+Physics!I99+'Political Science'!I100+Psych!I98+SASW!I103+Stats!I100+'Women''s Studies'!I99</f>
        <v>144.80000000000001</v>
      </c>
      <c r="J107" s="2129">
        <f>Dean_AS!J155+'Amer Ethnic Stud'!J97+Art!J96+Biochem!J99+Biology!J106+Chemistry!J100+'Comm Stud Th Dan - OLD'!J103+Economics!J100+English!J98+Geography!J102+Geology!J97+Hist!J100+JMC!J97+Kinesiology!J100+Math!J99+'Modern Language'!J103+'Music -OLD'!J100+Philosophy!J96+Physics!J99+'Political Science'!J100+Psych!J98+SASW!J103+Stats!J100+'Women''s Studies'!J99</f>
        <v>0</v>
      </c>
      <c r="K107" s="984"/>
      <c r="L107" s="985"/>
      <c r="M107" s="984"/>
      <c r="N107" s="991"/>
      <c r="O107" s="367"/>
      <c r="P107" s="1422">
        <f>'Amer Ethnic Stud'!P97+Art!P96+Biochem!P99+Biology!P106+Chemistry!P100+'Comm Stud Th Dan - OLD'!P103+Economics!P100+English!P98+Geography!P102+Geology!P97+Hist!P100+JMC!P97+Kinesiology!P100+Math!P99+'Modern Language'!P103+'Music -OLD'!P100+Philosophy!P96+Physics!O99+'Political Science'!O100+Psych!O98+SASW!O103+Stats!O100+'Women''s Studies'!O99+Dean_AS!P155</f>
        <v>111.3</v>
      </c>
      <c r="Q107" s="984"/>
      <c r="R107" s="991"/>
      <c r="S107" s="984"/>
      <c r="T107" s="991"/>
      <c r="U107" s="136"/>
      <c r="V107" s="1422">
        <v>156.55000000000001</v>
      </c>
      <c r="W107" s="984"/>
      <c r="X107" s="991"/>
      <c r="Y107" s="984"/>
      <c r="Z107" s="977"/>
      <c r="AA107" s="28"/>
      <c r="AB107" s="28"/>
      <c r="AC107" s="1478"/>
      <c r="AD107" s="3"/>
      <c r="AE107" s="3"/>
    </row>
    <row r="108" spans="1:31" customFormat="1" x14ac:dyDescent="0.2">
      <c r="A108" s="930"/>
      <c r="B108" s="1331" t="s">
        <v>195</v>
      </c>
      <c r="C108" s="2128">
        <f>Dean_AS!C156+'Amer Ethnic Stud'!C98+Art!C97+Biochem!C100+Biology!C107+Chemistry!C101+'Comm Stud Th Dan - OLD'!C104+Economics!C101+English!C99+Geography!C103+Geology!C98+Hist!C101+JMC!C98+Kinesiology!C101+Math!C100+'Modern Language'!C104+'Music -OLD'!C101+Philosophy!C97+Physics!C100+'Political Science'!C101+Psych!C99+SASW!C104+Stats!C101+'Women''s Studies'!C100</f>
        <v>60.59</v>
      </c>
      <c r="D108" s="2129">
        <f>Dean_AS!D156+'Amer Ethnic Stud'!D98+Art!D97+Biochem!D100+Biology!D107+Chemistry!D101+'Comm Stud Th Dan - OLD'!D104+Economics!D101+English!D99+Geography!D103+Geology!D98+Hist!D101+JMC!D98+Kinesiology!D101+Math!D100+'Modern Language'!D104+'Music -OLD'!D101+Philosophy!D97+Physics!D100+'Political Science'!D101+Psych!D99+SASW!D104+Stats!D101+'Women''s Studies'!D100</f>
        <v>0</v>
      </c>
      <c r="E108" s="980"/>
      <c r="F108" s="981"/>
      <c r="G108" s="982"/>
      <c r="H108" s="983"/>
      <c r="I108" s="2128">
        <f>Dean_AS!I156+'Amer Ethnic Stud'!I98:J98+Art!I97+Biochem!I100+Biology!I107+Chemistry!I101+'Comm Stud Th Dan - OLD'!I104+Economics!I101+English!I99+Geography!I103+Geology!I98+Hist!I101+JMC!I98+Kinesiology!I101+Math!I100+'Modern Language'!I104+'Music -OLD'!I101+Philosophy!I97+Physics!I100+'Political Science'!I101+Psych!I99+SASW!I104+Stats!I101+'Women''s Studies'!I100</f>
        <v>60.099999999999994</v>
      </c>
      <c r="J108" s="2129">
        <f>Dean_AS!J156+'Amer Ethnic Stud'!J98+Art!J97+Biochem!J100+Biology!J107+Chemistry!J101+'Comm Stud Th Dan - OLD'!J104+Economics!J101+English!J99+Geography!J103+Geology!J98+Hist!J101+JMC!J98+Kinesiology!J101+Math!J100+'Modern Language'!J104+'Music -OLD'!J101+Philosophy!J97+Physics!J100+'Political Science'!J101+Psych!J99+SASW!J104+Stats!J101+'Women''s Studies'!J100</f>
        <v>0</v>
      </c>
      <c r="K108" s="984"/>
      <c r="L108" s="985"/>
      <c r="M108" s="984"/>
      <c r="N108" s="991"/>
      <c r="O108" s="367"/>
      <c r="P108" s="1422">
        <f>'Amer Ethnic Stud'!P98+Art!P97+Biochem!P100+Biology!P107+Chemistry!P101+'Comm Stud Th Dan - OLD'!P104+Economics!P101+English!P99+Geography!P103+Geology!P98+Hist!P101+JMC!P98+Kinesiology!P101+Math!P100+'Modern Language'!P104+'Music -OLD'!P101+Philosophy!P97+Physics!O100+'Political Science'!O101+Psych!O99+SASW!O104+Stats!O101+'Women''s Studies'!O100+Dean_AS!P156</f>
        <v>37.1</v>
      </c>
      <c r="Q108" s="984"/>
      <c r="R108" s="991"/>
      <c r="S108" s="984"/>
      <c r="T108" s="991"/>
      <c r="U108" s="136"/>
      <c r="V108" s="1422">
        <v>55.4</v>
      </c>
      <c r="W108" s="984"/>
      <c r="X108" s="991"/>
      <c r="Y108" s="984"/>
      <c r="Z108" s="977"/>
      <c r="AA108" s="28"/>
      <c r="AB108" s="28"/>
      <c r="AC108" s="1478"/>
      <c r="AD108" s="28"/>
      <c r="AE108" s="3"/>
    </row>
    <row r="109" spans="1:31" customFormat="1" x14ac:dyDescent="0.2">
      <c r="A109" s="930"/>
      <c r="B109" s="1333" t="s">
        <v>196</v>
      </c>
      <c r="C109" s="2128">
        <f>Dean_AS!C157+'Amer Ethnic Stud'!C99+Art!C98+Biochem!C101+Biology!C108+Chemistry!C102+'Comm Stud Th Dan - OLD'!C105+Economics!C102+English!C100+Geography!C104+Geology!C99+Hist!C102+JMC!C99+Kinesiology!C102+Math!C101+'Modern Language'!C105+'Music -OLD'!C102+Philosophy!C98+Physics!C101+'Political Science'!C102+Psych!C100+SASW!C105+Stats!C102+'Women''s Studies'!C101</f>
        <v>81.13000000000001</v>
      </c>
      <c r="D109" s="2129">
        <f>Dean_AS!D157+'Amer Ethnic Stud'!D99+Art!D98+Biochem!D101+Biology!D108+Chemistry!D102+'Comm Stud Th Dan - OLD'!D105+Economics!D102+English!D100+Geography!D104+Geology!D99+Hist!D102+JMC!D99+Kinesiology!D102+Math!D101+'Modern Language'!D105+'Music -OLD'!D102+Philosophy!D98+Physics!D101+'Political Science'!D102+Psych!D100+SASW!D105+Stats!D102+'Women''s Studies'!D101</f>
        <v>0</v>
      </c>
      <c r="E109" s="980"/>
      <c r="F109" s="981"/>
      <c r="G109" s="982"/>
      <c r="H109" s="983"/>
      <c r="I109" s="2128">
        <f>Dean_AS!I157+'Amer Ethnic Stud'!I99:J99+Art!I98+Biochem!I101+Biology!I108+Chemistry!I102+'Comm Stud Th Dan - OLD'!I105+Economics!I102+English!I100+Geography!I104+Geology!I99+Hist!I102+JMC!I99+Kinesiology!I102+Math!I101+'Modern Language'!I105+'Music -OLD'!I102+Philosophy!I98+Physics!I101+'Political Science'!I102+Psych!I100+SASW!I105+Stats!I102+'Women''s Studies'!I101</f>
        <v>99.009999999999991</v>
      </c>
      <c r="J109" s="2129">
        <f>Dean_AS!J157+'Amer Ethnic Stud'!J99+Art!J98+Biochem!J101+Biology!J108+Chemistry!J102+'Comm Stud Th Dan - OLD'!J105+Economics!J102+English!J100+Geography!J104+Geology!J99+Hist!J102+JMC!J99+Kinesiology!J102+Math!J101+'Modern Language'!J105+'Music -OLD'!J102+Philosophy!J98+Physics!J101+'Political Science'!J102+Psych!J100+SASW!J105+Stats!J102+'Women''s Studies'!J101</f>
        <v>0</v>
      </c>
      <c r="K109" s="984"/>
      <c r="L109" s="985"/>
      <c r="M109" s="984"/>
      <c r="N109" s="991"/>
      <c r="O109" s="367"/>
      <c r="P109" s="1422">
        <f>'Amer Ethnic Stud'!P99+Art!P98+Biochem!P101+Biology!P108+Chemistry!P102+'Comm Stud Th Dan - OLD'!P105+Economics!P102+English!P100+Geography!P104+Geology!P99+Hist!P102+JMC!P99+Kinesiology!P102+Math!P101+'Modern Language'!P105+'Music -OLD'!P102+Philosophy!P98+Physics!O101+'Political Science'!O102+Psych!O100+SASW!O105+Stats!O102+'Women''s Studies'!O101+Dean_AS!P157</f>
        <v>142.30000000000001</v>
      </c>
      <c r="Q109" s="984"/>
      <c r="R109" s="991"/>
      <c r="S109" s="984"/>
      <c r="T109" s="991"/>
      <c r="U109" s="136"/>
      <c r="V109" s="1422">
        <f>69.36+103.5+3.4</f>
        <v>176.26000000000002</v>
      </c>
      <c r="W109" s="984"/>
      <c r="X109" s="991"/>
      <c r="Y109" s="984"/>
      <c r="Z109" s="977"/>
      <c r="AA109" s="28"/>
      <c r="AB109" s="28"/>
      <c r="AC109" s="720"/>
      <c r="AD109" s="28"/>
      <c r="AE109" s="3"/>
    </row>
    <row r="110" spans="1:31" customFormat="1" x14ac:dyDescent="0.2">
      <c r="A110" s="930"/>
      <c r="B110" s="1333" t="s">
        <v>197</v>
      </c>
      <c r="C110" s="2128">
        <f>Dean_AS!C158+'Amer Ethnic Stud'!C100+Art!C99+Biochem!C102+Biology!C109+Chemistry!C103+'Comm Stud Th Dan - OLD'!C106+Economics!C103+English!C101+Geography!C105+Geology!C100+Hist!C103+JMC!C100+Kinesiology!C103+Math!C102+'Modern Language'!C106+'Music -OLD'!C103+Philosophy!C99+Physics!C102+'Political Science'!C103+Psych!C101+SASW!C106+Stats!C103+'Women''s Studies'!C102</f>
        <v>449.69500000000005</v>
      </c>
      <c r="D110" s="2129">
        <f>Dean_AS!D158+'Amer Ethnic Stud'!D100+Art!D99+Biochem!D102+Biology!D109+Chemistry!D103+'Comm Stud Th Dan - OLD'!D106+Economics!D103+English!D101+Geography!D105+Geology!D100+Hist!D103+JMC!D100+Kinesiology!D103+Math!D102+'Modern Language'!D106+'Music -OLD'!D103+Philosophy!D99+Physics!D102+'Political Science'!D103+Psych!D101+SASW!D106+Stats!D103+'Women''s Studies'!D102</f>
        <v>0</v>
      </c>
      <c r="E110" s="980"/>
      <c r="F110" s="981"/>
      <c r="G110" s="982"/>
      <c r="H110" s="983"/>
      <c r="I110" s="2128">
        <f>Dean_AS!I158+'Amer Ethnic Stud'!I100:J100+Art!I99+Biochem!I102+Biology!I109+Chemistry!I103+'Comm Stud Th Dan - OLD'!I106+Economics!I103+English!I101+Geography!I105+Geology!I100+Hist!I103+JMC!I100+Kinesiology!I103+Math!I102+'Modern Language'!I106+'Music -OLD'!I103+Philosophy!I99+Physics!I102+'Political Science'!I103+Psych!I101+SASW!I106+Stats!I103+'Women''s Studies'!I102</f>
        <v>478.05</v>
      </c>
      <c r="J110" s="2129">
        <f>Dean_AS!J158+'Amer Ethnic Stud'!J100+Art!J99+Biochem!J102+Biology!J109+Chemistry!J103+'Comm Stud Th Dan - OLD'!J106+Economics!J103+English!J101+Geography!J105+Geology!J100+Hist!J103+JMC!J100+Kinesiology!J103+Math!J102+'Modern Language'!J106+'Music -OLD'!J103+Philosophy!J99+Physics!J102+'Political Science'!J103+Psych!J101+SASW!J106+Stats!J103+'Women''s Studies'!J102</f>
        <v>0</v>
      </c>
      <c r="K110" s="984"/>
      <c r="L110" s="985"/>
      <c r="M110" s="984"/>
      <c r="N110" s="991"/>
      <c r="O110" s="367"/>
      <c r="P110" s="1422">
        <f>'Amer Ethnic Stud'!P100+Art!P99+Biochem!P102+Biology!P109+Chemistry!P103+'Comm Stud Th Dan - OLD'!P106+Economics!P103+English!P101+Geography!P105+Geology!P100+Hist!P103+JMC!P100+Kinesiology!P103+Math!P102+'Modern Language'!P106+'Music -OLD'!P103+Philosophy!P99+Physics!O102+'Political Science'!O103+Psych!O101+SASW!O106+Stats!O103+'Women''s Studies'!O102+Dean_AS!P158</f>
        <v>562.1</v>
      </c>
      <c r="Q110" s="984"/>
      <c r="R110" s="991"/>
      <c r="S110" s="984"/>
      <c r="T110" s="991"/>
      <c r="U110" s="136"/>
      <c r="V110" s="1422">
        <f>SUM(V105:V109)</f>
        <v>778.34</v>
      </c>
      <c r="W110" s="984"/>
      <c r="X110" s="991"/>
      <c r="Y110" s="984"/>
      <c r="Z110" s="977"/>
      <c r="AA110" s="28"/>
      <c r="AB110" s="28"/>
      <c r="AC110" s="1478"/>
      <c r="AD110" s="3"/>
      <c r="AE110" s="3"/>
    </row>
    <row r="111" spans="1:31" customFormat="1" ht="13.5" thickBot="1" x14ac:dyDescent="0.25">
      <c r="A111" s="930"/>
      <c r="B111" s="1334" t="s">
        <v>204</v>
      </c>
      <c r="C111" s="2128"/>
      <c r="D111" s="2129"/>
      <c r="E111" s="989"/>
      <c r="F111" s="990"/>
      <c r="G111" s="975"/>
      <c r="H111" s="991"/>
      <c r="I111" s="2128"/>
      <c r="J111" s="2129"/>
      <c r="K111" s="984"/>
      <c r="L111" s="985"/>
      <c r="M111" s="984"/>
      <c r="N111" s="991"/>
      <c r="O111" s="367"/>
      <c r="P111" s="1422"/>
      <c r="Q111" s="984"/>
      <c r="R111" s="991"/>
      <c r="S111" s="984"/>
      <c r="T111" s="991"/>
      <c r="U111" s="136"/>
      <c r="V111" s="1422"/>
      <c r="W111" s="984"/>
      <c r="X111" s="991"/>
      <c r="Y111" s="984"/>
      <c r="Z111" s="977"/>
      <c r="AA111" s="28"/>
      <c r="AB111" s="28"/>
      <c r="AC111" s="1473"/>
      <c r="AD111" s="3"/>
      <c r="AE111" s="3"/>
    </row>
    <row r="112" spans="1:31" customFormat="1" x14ac:dyDescent="0.2">
      <c r="A112" s="930"/>
      <c r="B112" s="979" t="s">
        <v>198</v>
      </c>
      <c r="C112" s="2043">
        <f>Dean_AS!C160+'Amer Ethnic Stud'!C102+Art!C101+Biochem!C104+Biology!C111+Chemistry!C105+'Comm Stud Th Dan - OLD'!C108+Economics!C105+English!C103+Geography!C107+Geology!C102+Hist!C105+JMC!C102+Kinesiology!C105+Math!C104+'Modern Language'!C108+'Music -OLD'!C105+Philosophy!C101+Physics!C104+'Political Science'!C105+Psych!C103+SASW!C108+Stats!C105+'Women''s Studies'!C104</f>
        <v>75592</v>
      </c>
      <c r="D112" s="2044">
        <f>Dean_AS!D160+'Amer Ethnic Stud'!D102+Art!D101+Biochem!D104+Biology!D111+Chemistry!D105+'Comm Stud Th Dan - OLD'!D108+Economics!D105+English!D103+Geography!D107+Geology!D102+Hist!D105+JMC!D102+Kinesiology!D105+Math!D104+'Modern Language'!D108+'Music -OLD'!D105+Philosophy!D101+Physics!D104+'Political Science'!D105+Psych!D103+SASW!D108+Stats!D105+'Women''s Studies'!D104</f>
        <v>0</v>
      </c>
      <c r="E112" s="992"/>
      <c r="F112" s="993"/>
      <c r="G112" s="994"/>
      <c r="H112" s="995"/>
      <c r="I112" s="2043">
        <f>Dean_AS!I160+'Amer Ethnic Stud'!I102:J102+Art!I101+Biochem!I104+Biology!I111+Chemistry!I105+'Comm Stud Th Dan - OLD'!I108+Economics!I105+English!I103+Geography!I107+Geology!I102+Hist!I105+JMC!I102+Kinesiology!I105+Math!I104+'Modern Language'!I108+'Music -OLD'!I105+Philosophy!I101+Physics!I104+'Political Science'!I105+Psych!I103+SASW!I108+Stats!I105+'Women''s Studies'!I104</f>
        <v>66415</v>
      </c>
      <c r="J112" s="2044">
        <f>Dean_AS!J160+'Amer Ethnic Stud'!J102+Art!J101+Biochem!J104+Biology!J111+Chemistry!J105+'Comm Stud Th Dan - OLD'!J108+Economics!J105+English!J103+Geography!J107+Geology!J102+Hist!J105+JMC!J102+Kinesiology!J105+Math!J104+'Modern Language'!J108+'Music -OLD'!J105+Philosophy!J101+Physics!J104+'Political Science'!J105+Psych!J103+SASW!J108+Stats!J105+'Women''s Studies'!J104</f>
        <v>0</v>
      </c>
      <c r="K112" s="984"/>
      <c r="L112" s="985"/>
      <c r="M112" s="984"/>
      <c r="N112" s="991"/>
      <c r="O112" s="367"/>
      <c r="P112" s="1462">
        <f>'Amer Ethnic Stud'!P102+Art!P101+Biochem!P104+Biology!P111+Chemistry!P105+'Comm Stud Th Dan - OLD'!P108+Economics!P105+English!P103+Geography!P107+Geology!P102+Hist!P105+JMC!P102+Kinesiology!P105+Math!P104+'Modern Language'!P108+'Music -OLD'!P105+Philosophy!P101+Physics!O104+'Political Science'!O105+Psych!O103+SASW!O108+Stats!O105+'Women''s Studies'!O104+Dean_AS!P160</f>
        <v>49589</v>
      </c>
      <c r="Q112" s="984"/>
      <c r="R112" s="991"/>
      <c r="S112" s="984"/>
      <c r="T112" s="991"/>
      <c r="U112" s="136"/>
      <c r="V112" s="1462">
        <v>67766</v>
      </c>
      <c r="W112" s="984"/>
      <c r="X112" s="991"/>
      <c r="Y112" s="984"/>
      <c r="Z112" s="977"/>
      <c r="AA112" s="28"/>
      <c r="AB112" s="28"/>
      <c r="AC112" s="1473"/>
      <c r="AD112" s="3"/>
      <c r="AE112" s="3"/>
    </row>
    <row r="113" spans="1:31" customFormat="1" x14ac:dyDescent="0.2">
      <c r="A113" s="930"/>
      <c r="B113" s="987" t="s">
        <v>199</v>
      </c>
      <c r="C113" s="2043">
        <f>Dean_AS!C161+'Amer Ethnic Stud'!C103+Art!C102+Biochem!C105+Biology!C112+Chemistry!C106+'Comm Stud Th Dan - OLD'!C109+Economics!C106+English!C104+Geography!C108+Geology!C103+Hist!C106+JMC!C103+Kinesiology!C106+Math!C105+'Modern Language'!C109+'Music -OLD'!C106+Philosophy!C102+Physics!C105+'Political Science'!C106+Psych!C104+SASW!C109+Stats!C106+'Women''s Studies'!C105</f>
        <v>38003</v>
      </c>
      <c r="D113" s="2044">
        <f>Dean_AS!D161+'Amer Ethnic Stud'!D103+Art!D102+Biochem!D105+Biology!D112+Chemistry!D106+'Comm Stud Th Dan - OLD'!D109+Economics!D106+English!D104+Geography!D108+Geology!D103+Hist!D106+JMC!D103+Kinesiology!D106+Math!D105+'Modern Language'!D109+'Music -OLD'!D106+Philosophy!D102+Physics!D105+'Political Science'!D106+Psych!D104+SASW!D109+Stats!D106+'Women''s Studies'!D105</f>
        <v>0</v>
      </c>
      <c r="E113" s="992"/>
      <c r="F113" s="993"/>
      <c r="G113" s="994"/>
      <c r="H113" s="995"/>
      <c r="I113" s="2043">
        <f>Dean_AS!I161+'Amer Ethnic Stud'!I103:J103+Art!I102+Biochem!I105+Biology!I112+Chemistry!I106+'Comm Stud Th Dan - OLD'!I109+Economics!I106+English!I104+Geography!I108+Geology!I103+Hist!I106+JMC!I103+Kinesiology!I106+Math!I105+'Modern Language'!I109+'Music -OLD'!I106+Philosophy!I102+Physics!I105+'Political Science'!I106+Psych!I104+SASW!I109+Stats!I106+'Women''s Studies'!I105</f>
        <v>35890</v>
      </c>
      <c r="J113" s="2044">
        <f>Dean_AS!J161+'Amer Ethnic Stud'!J103+Art!J102+Biochem!J105+Biology!J112+Chemistry!J106+'Comm Stud Th Dan - OLD'!J109+Economics!J106+English!J104+Geography!J108+Geology!J103+Hist!J106+JMC!J103+Kinesiology!J106+Math!J105+'Modern Language'!J109+'Music -OLD'!J106+Philosophy!J102+Physics!J105+'Political Science'!J106+Psych!J104+SASW!J109+Stats!J106+'Women''s Studies'!J105</f>
        <v>0</v>
      </c>
      <c r="K113" s="984"/>
      <c r="L113" s="985"/>
      <c r="M113" s="984"/>
      <c r="N113" s="991"/>
      <c r="O113" s="367"/>
      <c r="P113" s="1462">
        <f>'Amer Ethnic Stud'!P103+Art!P102+Biochem!P105+Biology!P112+Chemistry!P106+'Comm Stud Th Dan - OLD'!P109+Economics!P106+English!P104+Geography!P108+Geology!P103+Hist!P106+JMC!P103+Kinesiology!P106+Math!P105+'Modern Language'!P109+'Music -OLD'!P106+Philosophy!P102+Physics!O105+'Political Science'!O106+Psych!O104+SASW!O109+Stats!O106+'Women''s Studies'!O105+Dean_AS!P161</f>
        <v>24174</v>
      </c>
      <c r="Q113" s="984"/>
      <c r="R113" s="991"/>
      <c r="S113" s="984"/>
      <c r="T113" s="991"/>
      <c r="U113" s="136"/>
      <c r="V113" s="1462">
        <v>29824</v>
      </c>
      <c r="W113" s="984"/>
      <c r="X113" s="991"/>
      <c r="Y113" s="984"/>
      <c r="Z113" s="977"/>
      <c r="AA113" s="28"/>
      <c r="AB113" s="28"/>
      <c r="AC113" s="1473"/>
      <c r="AD113" s="3"/>
      <c r="AE113" s="3"/>
    </row>
    <row r="114" spans="1:31" customFormat="1" x14ac:dyDescent="0.2">
      <c r="A114" s="930"/>
      <c r="B114" s="987" t="s">
        <v>200</v>
      </c>
      <c r="C114" s="2043">
        <f>Dean_AS!C162+'Amer Ethnic Stud'!C104+Art!C103+Biochem!C106+Biology!C113+Chemistry!C107+'Comm Stud Th Dan - OLD'!C110+Economics!C107+English!C105+Geography!C109+Geology!C104+Hist!C107+JMC!C104+Kinesiology!C107+Math!C106+'Modern Language'!C110+'Music -OLD'!C107+Philosophy!C103+Physics!C106+'Political Science'!C107+Psych!C105+SASW!C110+Stats!C107+'Women''s Studies'!C106</f>
        <v>32906</v>
      </c>
      <c r="D114" s="2044">
        <f>Dean_AS!D162+'Amer Ethnic Stud'!D104+Art!D103+Biochem!D106+Biology!D113+Chemistry!D107+'Comm Stud Th Dan - OLD'!D110+Economics!D107+English!D105+Geography!D109+Geology!D104+Hist!D107+JMC!D104+Kinesiology!D107+Math!D106+'Modern Language'!D110+'Music -OLD'!D107+Philosophy!D103+Physics!D106+'Political Science'!D107+Psych!D105+SASW!D110+Stats!D107+'Women''s Studies'!D106</f>
        <v>0</v>
      </c>
      <c r="E114" s="992"/>
      <c r="F114" s="993"/>
      <c r="G114" s="994"/>
      <c r="H114" s="995"/>
      <c r="I114" s="2043">
        <f>Dean_AS!I162+'Amer Ethnic Stud'!I104:J104+Art!I103+Biochem!I106+Biology!I113+Chemistry!I107+'Comm Stud Th Dan - OLD'!I110+Economics!I107+English!I105+Geography!I109+Geology!I104+Hist!I107+JMC!I104+Kinesiology!I107+Math!I106+'Modern Language'!I110+'Music -OLD'!I107+Philosophy!I103+Physics!I106+'Political Science'!I107+Psych!I105+SASW!I110+Stats!I107+'Women''s Studies'!I106</f>
        <v>40070</v>
      </c>
      <c r="J114" s="2044">
        <f>Dean_AS!J162+'Amer Ethnic Stud'!J104+Art!J103+Biochem!J106+Biology!J113+Chemistry!J107+'Comm Stud Th Dan - OLD'!J110+Economics!J107+English!J105+Geography!J109+Geology!J104+Hist!J107+JMC!J104+Kinesiology!J107+Math!J106+'Modern Language'!J110+'Music -OLD'!J107+Philosophy!J103+Physics!J106+'Political Science'!J107+Psych!J105+SASW!J110+Stats!J107+'Women''s Studies'!J106</f>
        <v>0</v>
      </c>
      <c r="K114" s="984"/>
      <c r="L114" s="985"/>
      <c r="M114" s="984"/>
      <c r="N114" s="991"/>
      <c r="O114" s="367"/>
      <c r="P114" s="1462">
        <f>'Amer Ethnic Stud'!P104+Art!P103+Biochem!P106+Biology!P113+Chemistry!P107+'Comm Stud Th Dan - OLD'!P110+Economics!P107+English!P105+Geography!P109+Geology!P104+Hist!P107+JMC!P104+Kinesiology!P107+Math!P106+'Modern Language'!P110+'Music -OLD'!P107+Philosophy!P103+Physics!O106+'Political Science'!O107+Psych!O105+SASW!O110+Stats!O107+'Women''s Studies'!O106+Dean_AS!P162</f>
        <v>38871</v>
      </c>
      <c r="Q114" s="984"/>
      <c r="R114" s="991"/>
      <c r="S114" s="984"/>
      <c r="T114" s="991"/>
      <c r="U114" s="136"/>
      <c r="V114" s="1462">
        <f>18873+33430+405</f>
        <v>52708</v>
      </c>
      <c r="W114" s="984"/>
      <c r="X114" s="991"/>
      <c r="Y114" s="984"/>
      <c r="Z114" s="977"/>
      <c r="AA114" s="28"/>
      <c r="AB114" s="28"/>
      <c r="AC114" s="1473"/>
      <c r="AD114" s="3"/>
      <c r="AE114" s="3"/>
    </row>
    <row r="115" spans="1:31" customFormat="1" x14ac:dyDescent="0.2">
      <c r="A115" s="930"/>
      <c r="B115" s="987" t="s">
        <v>209</v>
      </c>
      <c r="C115" s="2043">
        <f>Dean_AS!C163+'Amer Ethnic Stud'!C105+Art!C104+Biochem!C107+Biology!C114+Chemistry!C108+'Comm Stud Th Dan - OLD'!C111+Economics!C108+English!C106+Geography!C110+Geology!C105+Hist!C108+JMC!C105+Kinesiology!C108+Math!C107+'Modern Language'!C111+'Music -OLD'!C108+Philosophy!C104+Physics!C107+'Political Science'!C108+Psych!C106+SASW!C111+Stats!C108+'Women''s Studies'!C107</f>
        <v>146501</v>
      </c>
      <c r="D115" s="2044">
        <f>Dean_AS!D163+'Amer Ethnic Stud'!D105+Art!D104+Biochem!D107+Biology!D114+Chemistry!D108+'Comm Stud Th Dan - OLD'!D111+Economics!D108+English!D106+Geography!D110+Geology!D105+Hist!D108+JMC!D105+Kinesiology!D108+Math!D107+'Modern Language'!D111+'Music -OLD'!D108+Philosophy!D104+Physics!D107+'Political Science'!D108+Psych!D106+SASW!D111+Stats!D108+'Women''s Studies'!D107</f>
        <v>0</v>
      </c>
      <c r="E115" s="992"/>
      <c r="F115" s="993"/>
      <c r="G115" s="994"/>
      <c r="H115" s="995"/>
      <c r="I115" s="2043">
        <f>Dean_AS!I163+'Amer Ethnic Stud'!I105:J105+Art!I104+Biochem!I107+Biology!I114+Chemistry!I108+'Comm Stud Th Dan - OLD'!I111+Economics!I108+English!I106+Geography!I110+Geology!I105+Hist!I108+JMC!I105+Kinesiology!I108+Math!I107+'Modern Language'!I111+'Music -OLD'!I108+Philosophy!I104+Physics!I107+'Political Science'!I108+Psych!I106+SASW!I111+Stats!I108+'Women''s Studies'!I107</f>
        <v>142375</v>
      </c>
      <c r="J115" s="2044">
        <f>Dean_AS!J163+'Amer Ethnic Stud'!J105+Art!J104+Biochem!J107+Biology!J114+Chemistry!J108+'Comm Stud Th Dan - OLD'!J111+Economics!J108+English!J106+Geography!J110+Geology!J105+Hist!J108+JMC!J105+Kinesiology!J108+Math!J107+'Modern Language'!J111+'Music -OLD'!J108+Philosophy!J104+Physics!J107+'Political Science'!J108+Psych!J106+SASW!J111+Stats!J108+'Women''s Studies'!J107</f>
        <v>0</v>
      </c>
      <c r="K115" s="984"/>
      <c r="L115" s="985"/>
      <c r="M115" s="984"/>
      <c r="N115" s="991"/>
      <c r="O115" s="367"/>
      <c r="P115" s="1462">
        <f>'Amer Ethnic Stud'!P105+Art!P104+Biochem!P107+Biology!P114+Chemistry!P108+'Comm Stud Th Dan - OLD'!P111+Economics!P108+English!P106+Geography!P110+Geology!P105+Hist!P108+JMC!P105+Kinesiology!P108+Math!P107+'Modern Language'!P111+'Music -OLD'!P108+Philosophy!P104+Physics!O107+'Political Science'!O108+Psych!O106+SASW!O111+Stats!O108+'Women''s Studies'!O107+Dean_AS!P163</f>
        <v>112634</v>
      </c>
      <c r="Q115" s="1466"/>
      <c r="R115" s="991"/>
      <c r="S115" s="1590"/>
      <c r="T115" s="991"/>
      <c r="U115" s="134"/>
      <c r="V115" s="1462">
        <f>SUM(V112:V114)</f>
        <v>150298</v>
      </c>
      <c r="W115" s="1590"/>
      <c r="X115" s="991"/>
      <c r="Y115" s="1590"/>
      <c r="Z115" s="977"/>
      <c r="AA115" s="28"/>
      <c r="AB115" s="28"/>
      <c r="AC115" s="1473"/>
      <c r="AD115" s="3"/>
      <c r="AE115" s="3"/>
    </row>
    <row r="116" spans="1:31" customFormat="1" ht="13.5" thickBot="1" x14ac:dyDescent="0.25">
      <c r="A116" s="930"/>
      <c r="B116" s="988" t="s">
        <v>205</v>
      </c>
      <c r="C116" s="2043"/>
      <c r="D116" s="2044"/>
      <c r="E116" s="989"/>
      <c r="F116" s="990"/>
      <c r="G116" s="975"/>
      <c r="H116" s="991"/>
      <c r="I116" s="2043"/>
      <c r="J116" s="2044"/>
      <c r="K116" s="984"/>
      <c r="L116" s="985"/>
      <c r="M116" s="984"/>
      <c r="N116" s="991"/>
      <c r="O116" s="367"/>
      <c r="P116" s="1422"/>
      <c r="Q116" s="984"/>
      <c r="R116" s="991"/>
      <c r="S116" s="984"/>
      <c r="T116" s="991"/>
      <c r="U116" s="136"/>
      <c r="V116" s="1422"/>
      <c r="W116" s="984"/>
      <c r="X116" s="991"/>
      <c r="Y116" s="984"/>
      <c r="Z116" s="977"/>
      <c r="AA116" s="28"/>
      <c r="AB116" s="28"/>
      <c r="AC116" s="1473"/>
      <c r="AD116" s="28"/>
      <c r="AE116" s="28"/>
    </row>
    <row r="117" spans="1:31" customFormat="1" x14ac:dyDescent="0.2">
      <c r="A117" s="930"/>
      <c r="B117" s="979" t="s">
        <v>206</v>
      </c>
      <c r="C117" s="2043">
        <f>C112/C105</f>
        <v>430.85867365841148</v>
      </c>
      <c r="D117" s="2044">
        <f>Dean_AS!D165+'Amer Ethnic Stud'!D107+Art!D106+Biochem!D109+Biology!D116+Chemistry!D110+'Comm Stud Th Dan - OLD'!D113+Economics!D110+English!D108+Geography!D112+Geology!D107+Hist!D110+JMC!D107+Kinesiology!D110+Math!D109+'Modern Language'!D113+'Music -OLD'!D110+Philosophy!D106+Physics!D109+'Political Science'!D110+Psych!D108+SASW!D113+Stats!D110+'Women''s Studies'!D109</f>
        <v>0</v>
      </c>
      <c r="E117" s="996"/>
      <c r="F117" s="997"/>
      <c r="G117" s="998"/>
      <c r="H117" s="999"/>
      <c r="I117" s="2043">
        <f>I112/I105</f>
        <v>381.38853795796484</v>
      </c>
      <c r="J117" s="2044" t="e">
        <f>Dean_AS!J165+'Amer Ethnic Stud'!J107+Art!J106+Biochem!J109+Biology!J116+Chemistry!J110+'Comm Stud Th Dan - OLD'!J113+Economics!J110+English!J108+Geography!J112+Geology!J107+Hist!J110+JMC!J107+Kinesiology!J110+Math!J109+'Modern Language'!J113+'Music -OLD'!J110+Philosophy!J106+Physics!J109+'Political Science'!J110+Psych!J108+SASW!J113+Stats!J110+'Women''s Studies'!J109</f>
        <v>#DIV/0!</v>
      </c>
      <c r="K117" s="1000"/>
      <c r="L117" s="1001"/>
      <c r="M117" s="1000"/>
      <c r="N117" s="999"/>
      <c r="O117" s="1464"/>
      <c r="P117" s="1402">
        <f>P112/P105</f>
        <v>182.71554900515846</v>
      </c>
      <c r="Q117" s="1000"/>
      <c r="R117" s="999"/>
      <c r="S117" s="1000"/>
      <c r="T117" s="999"/>
      <c r="U117" s="494"/>
      <c r="V117" s="1402">
        <f>V112/V105</f>
        <v>173.70107400097405</v>
      </c>
      <c r="W117" s="1000"/>
      <c r="X117" s="999"/>
      <c r="Y117" s="1000"/>
      <c r="Z117" s="1460"/>
      <c r="AA117" s="668"/>
      <c r="AB117" s="668"/>
      <c r="AC117" s="1473"/>
      <c r="AD117" s="21"/>
      <c r="AE117" s="21"/>
    </row>
    <row r="118" spans="1:31" customFormat="1" x14ac:dyDescent="0.2">
      <c r="A118" s="930"/>
      <c r="B118" s="987" t="s">
        <v>207</v>
      </c>
      <c r="C118" s="2043">
        <f>C113/C107</f>
        <v>286.75016977288163</v>
      </c>
      <c r="D118" s="2044">
        <f>Dean_AS!D166+'Amer Ethnic Stud'!D108+Art!D107+Biochem!D110+Biology!D117+Chemistry!D111+'Comm Stud Th Dan - OLD'!D114+Economics!D111+English!D109+Geography!D113+Geology!D108+Hist!D111+JMC!D108+Kinesiology!D111+Math!D110+'Modern Language'!D114+'Music -OLD'!D111+Philosophy!D107+Physics!D110+'Political Science'!D111+Psych!D109+SASW!D114+Stats!D111+'Women''s Studies'!D110</f>
        <v>0</v>
      </c>
      <c r="E118" s="996"/>
      <c r="F118" s="997"/>
      <c r="G118" s="998"/>
      <c r="H118" s="999"/>
      <c r="I118" s="2043">
        <f>I113/I107</f>
        <v>247.85911602209941</v>
      </c>
      <c r="J118" s="2044">
        <f>Dean_AS!J166+'Amer Ethnic Stud'!J108+Art!J107+Biochem!J110+Biology!J117+Chemistry!J111+'Comm Stud Th Dan - OLD'!J114+Economics!J111+English!J109+Geography!J113+Geology!J108+Hist!J111+JMC!J108+Kinesiology!J111+Math!J110+'Modern Language'!J114+'Music -OLD'!J111+Philosophy!J107+Physics!J110+'Political Science'!J111+Psych!J109+SASW!J114+Stats!J111+'Women''s Studies'!J110</f>
        <v>0</v>
      </c>
      <c r="K118" s="1000"/>
      <c r="L118" s="1001"/>
      <c r="M118" s="1000"/>
      <c r="N118" s="999"/>
      <c r="O118" s="1464"/>
      <c r="P118" s="1402">
        <f>P113/P107</f>
        <v>217.1967654986523</v>
      </c>
      <c r="Q118" s="1000"/>
      <c r="R118" s="999"/>
      <c r="S118" s="1000"/>
      <c r="T118" s="999"/>
      <c r="U118" s="494"/>
      <c r="V118" s="1402">
        <f>V113/(V107+V108)</f>
        <v>140.71243217740033</v>
      </c>
      <c r="W118" s="1000"/>
      <c r="X118" s="999"/>
      <c r="Y118" s="1000"/>
      <c r="Z118" s="1460"/>
      <c r="AA118" s="668"/>
      <c r="AB118" s="668"/>
      <c r="AC118" s="1473"/>
      <c r="AD118" s="21"/>
      <c r="AE118" s="21"/>
    </row>
    <row r="119" spans="1:31" customFormat="1" x14ac:dyDescent="0.2">
      <c r="A119" s="930"/>
      <c r="B119" s="987" t="s">
        <v>208</v>
      </c>
      <c r="C119" s="2043">
        <f>C114/C109</f>
        <v>405.59595710587939</v>
      </c>
      <c r="D119" s="2044">
        <f>Dean_AS!D167+'Amer Ethnic Stud'!D109+Art!D108+Biochem!D111+Biology!D118+Chemistry!D112+'Comm Stud Th Dan - OLD'!D115+Economics!D112+English!D110+Geography!D114+Geology!D109+Hist!D112+JMC!D109+Kinesiology!D112+Math!D111+'Modern Language'!D115+'Music -OLD'!D112+Philosophy!D108+Physics!D111+'Political Science'!D112+Psych!D110+SASW!D115+Stats!D112+'Women''s Studies'!D111</f>
        <v>0</v>
      </c>
      <c r="E119" s="996"/>
      <c r="F119" s="997"/>
      <c r="G119" s="998"/>
      <c r="H119" s="999"/>
      <c r="I119" s="2043">
        <f>I114/I109</f>
        <v>404.70659529340475</v>
      </c>
      <c r="J119" s="2044" t="e">
        <f>Dean_AS!J167+'Amer Ethnic Stud'!J109+Art!J108+Biochem!J111+Biology!J118+Chemistry!J112+'Comm Stud Th Dan - OLD'!J115+Economics!J112+English!J110+Geography!J114+Geology!J109+Hist!J112+JMC!J109+Kinesiology!J112+Math!J111+'Modern Language'!J115+'Music -OLD'!J112+Philosophy!J108+Physics!J111+'Political Science'!J112+Psych!J110+SASW!J115+Stats!J112+'Women''s Studies'!J111</f>
        <v>#DIV/0!</v>
      </c>
      <c r="K119" s="1000"/>
      <c r="L119" s="1001"/>
      <c r="M119" s="1000"/>
      <c r="N119" s="999"/>
      <c r="O119" s="1464"/>
      <c r="P119" s="1402">
        <f>P114/P109</f>
        <v>273.16233309908642</v>
      </c>
      <c r="Q119" s="1000"/>
      <c r="R119" s="999"/>
      <c r="S119" s="1000"/>
      <c r="T119" s="999"/>
      <c r="U119" s="494"/>
      <c r="V119" s="1402">
        <f>V114/V109</f>
        <v>299.03551571542039</v>
      </c>
      <c r="W119" s="1000"/>
      <c r="X119" s="999"/>
      <c r="Y119" s="1000"/>
      <c r="Z119" s="1460"/>
      <c r="AA119" s="668"/>
      <c r="AB119" s="668"/>
      <c r="AC119" s="1473"/>
      <c r="AD119" s="21"/>
      <c r="AE119" s="21"/>
    </row>
    <row r="120" spans="1:31" customFormat="1" ht="13.5" thickBot="1" x14ac:dyDescent="0.25">
      <c r="A120" s="930"/>
      <c r="B120" s="1002" t="s">
        <v>201</v>
      </c>
      <c r="C120" s="2072">
        <f>C115/C110</f>
        <v>325.77858326198867</v>
      </c>
      <c r="D120" s="2073">
        <f>Dean_AS!D168+'Amer Ethnic Stud'!D110+Art!D109+Biochem!D112+Biology!D119+Chemistry!D113+'Comm Stud Th Dan - OLD'!D116+Economics!D113+English!D111+Geography!D115+Geology!D110+Hist!D113+JMC!D110+Kinesiology!D113+Math!D112+'Modern Language'!D116+'Music -OLD'!D113+Philosophy!D109+Physics!D112+'Political Science'!D113+Psych!D111+SASW!D116+Stats!D113+'Women''s Studies'!D112</f>
        <v>0</v>
      </c>
      <c r="E120" s="1003"/>
      <c r="F120" s="1004"/>
      <c r="G120" s="1005"/>
      <c r="H120" s="1006"/>
      <c r="I120" s="2072">
        <f>I115/I110</f>
        <v>297.82449534567513</v>
      </c>
      <c r="J120" s="2073" t="e">
        <f>Dean_AS!J168+'Amer Ethnic Stud'!J110+Art!J109+Biochem!J112+Biology!J119+Chemistry!J113+'Comm Stud Th Dan - OLD'!J116+Economics!J113+English!J111+Geography!J115+Geology!J110+Hist!J113+JMC!J110+Kinesiology!J113+Math!J112+'Modern Language'!J116+'Music -OLD'!J113+Philosophy!J109+Physics!J112+'Political Science'!J113+Psych!J111+SASW!J116+Stats!J113+'Women''s Studies'!J112</f>
        <v>#DIV/0!</v>
      </c>
      <c r="K120" s="1005"/>
      <c r="L120" s="1006"/>
      <c r="M120" s="1005"/>
      <c r="N120" s="1006"/>
      <c r="O120" s="1465"/>
      <c r="P120" s="1423">
        <f>P115/P110</f>
        <v>200.38071517523571</v>
      </c>
      <c r="Q120" s="1005"/>
      <c r="R120" s="1006"/>
      <c r="S120" s="1005"/>
      <c r="T120" s="1006"/>
      <c r="U120" s="1233"/>
      <c r="V120" s="1423">
        <f>V115/V110</f>
        <v>193.10070149292082</v>
      </c>
      <c r="W120" s="1005"/>
      <c r="X120" s="1006"/>
      <c r="Y120" s="1005"/>
      <c r="Z120" s="1461"/>
      <c r="AA120" s="668"/>
      <c r="AB120" s="668"/>
      <c r="AC120" s="1473"/>
      <c r="AD120" s="21"/>
      <c r="AE120" s="21"/>
    </row>
    <row r="121" spans="1:31" ht="13.5" thickTop="1" x14ac:dyDescent="0.2">
      <c r="B121" s="115" t="str">
        <f>Dean_AS!B169</f>
        <v>*Note: Beginning with the 2009 collection cycle, Instructional FTE was defined according to the national Delaware Study of Instructional Costs and Productivity</v>
      </c>
      <c r="AC121" s="1477"/>
    </row>
    <row r="122" spans="1:31" x14ac:dyDescent="0.2">
      <c r="F122" s="115" t="s">
        <v>29</v>
      </c>
    </row>
    <row r="123" spans="1:31" x14ac:dyDescent="0.2">
      <c r="O123" s="116"/>
    </row>
    <row r="124" spans="1:31" x14ac:dyDescent="0.2">
      <c r="O124" s="116"/>
    </row>
    <row r="125" spans="1:31" x14ac:dyDescent="0.2">
      <c r="N125" s="116" t="s">
        <v>29</v>
      </c>
    </row>
  </sheetData>
  <mergeCells count="141">
    <mergeCell ref="C120:D120"/>
    <mergeCell ref="I120:J120"/>
    <mergeCell ref="AB5:AC5"/>
    <mergeCell ref="AB19:AC19"/>
    <mergeCell ref="AB34:AC34"/>
    <mergeCell ref="AB68:AC68"/>
    <mergeCell ref="AB30:AC30"/>
    <mergeCell ref="AB27:AC27"/>
    <mergeCell ref="C117:D117"/>
    <mergeCell ref="U98:V98"/>
    <mergeCell ref="U103:V103"/>
    <mergeCell ref="U5:V5"/>
    <mergeCell ref="U19:V19"/>
    <mergeCell ref="U27:V27"/>
    <mergeCell ref="U30:V30"/>
    <mergeCell ref="U34:V34"/>
    <mergeCell ref="U68:V68"/>
    <mergeCell ref="C118:D118"/>
    <mergeCell ref="I118:J118"/>
    <mergeCell ref="C111:D111"/>
    <mergeCell ref="I111:J111"/>
    <mergeCell ref="C112:D112"/>
    <mergeCell ref="I112:J112"/>
    <mergeCell ref="I117:J117"/>
    <mergeCell ref="C119:D119"/>
    <mergeCell ref="I119:J119"/>
    <mergeCell ref="C114:D114"/>
    <mergeCell ref="I114:J114"/>
    <mergeCell ref="C115:D115"/>
    <mergeCell ref="I115:J115"/>
    <mergeCell ref="C116:D116"/>
    <mergeCell ref="I116:J116"/>
    <mergeCell ref="C109:D109"/>
    <mergeCell ref="I109:J109"/>
    <mergeCell ref="C110:D110"/>
    <mergeCell ref="I110:J110"/>
    <mergeCell ref="C107:D107"/>
    <mergeCell ref="I107:J107"/>
    <mergeCell ref="C108:D108"/>
    <mergeCell ref="I108:J108"/>
    <mergeCell ref="C113:D113"/>
    <mergeCell ref="I113:J113"/>
    <mergeCell ref="C105:D105"/>
    <mergeCell ref="I105:J105"/>
    <mergeCell ref="C106:D106"/>
    <mergeCell ref="I106:J106"/>
    <mergeCell ref="AB98:AC98"/>
    <mergeCell ref="C103:D103"/>
    <mergeCell ref="E103:F103"/>
    <mergeCell ref="G103:H103"/>
    <mergeCell ref="I103:J103"/>
    <mergeCell ref="K103:L103"/>
    <mergeCell ref="E68:F68"/>
    <mergeCell ref="C68:D68"/>
    <mergeCell ref="C98:D98"/>
    <mergeCell ref="E98:F98"/>
    <mergeCell ref="G98:H98"/>
    <mergeCell ref="I98:J98"/>
    <mergeCell ref="M103:N103"/>
    <mergeCell ref="AB103:AC103"/>
    <mergeCell ref="O98:P98"/>
    <mergeCell ref="O103:P103"/>
    <mergeCell ref="K98:L98"/>
    <mergeCell ref="M98:N98"/>
    <mergeCell ref="Q98:R98"/>
    <mergeCell ref="Q103:R103"/>
    <mergeCell ref="S98:T98"/>
    <mergeCell ref="S103:T103"/>
    <mergeCell ref="Q68:R68"/>
    <mergeCell ref="K68:L68"/>
    <mergeCell ref="C19:D19"/>
    <mergeCell ref="E19:F19"/>
    <mergeCell ref="C27:D27"/>
    <mergeCell ref="E27:F27"/>
    <mergeCell ref="C28:D28"/>
    <mergeCell ref="E28:F28"/>
    <mergeCell ref="M5:N5"/>
    <mergeCell ref="M19:N19"/>
    <mergeCell ref="G19:H19"/>
    <mergeCell ref="I5:J5"/>
    <mergeCell ref="K5:L5"/>
    <mergeCell ref="K19:L19"/>
    <mergeCell ref="I19:J19"/>
    <mergeCell ref="G28:H28"/>
    <mergeCell ref="G27:H27"/>
    <mergeCell ref="I27:J27"/>
    <mergeCell ref="C29:D29"/>
    <mergeCell ref="E29:F29"/>
    <mergeCell ref="G29:H29"/>
    <mergeCell ref="I29:J29"/>
    <mergeCell ref="C34:D34"/>
    <mergeCell ref="E34:F34"/>
    <mergeCell ref="C30:D30"/>
    <mergeCell ref="G34:H34"/>
    <mergeCell ref="E30:F30"/>
    <mergeCell ref="S19:T19"/>
    <mergeCell ref="S27:T27"/>
    <mergeCell ref="S30:T30"/>
    <mergeCell ref="S34:T34"/>
    <mergeCell ref="S68:T68"/>
    <mergeCell ref="K34:L34"/>
    <mergeCell ref="G30:H30"/>
    <mergeCell ref="G68:H68"/>
    <mergeCell ref="K27:L27"/>
    <mergeCell ref="I28:J28"/>
    <mergeCell ref="M27:N27"/>
    <mergeCell ref="O68:P68"/>
    <mergeCell ref="I30:J30"/>
    <mergeCell ref="I68:J68"/>
    <mergeCell ref="M34:N34"/>
    <mergeCell ref="M68:N68"/>
    <mergeCell ref="M30:N30"/>
    <mergeCell ref="I34:J34"/>
    <mergeCell ref="K30:L30"/>
    <mergeCell ref="O27:P27"/>
    <mergeCell ref="O30:P30"/>
    <mergeCell ref="O34:P34"/>
    <mergeCell ref="O5:P5"/>
    <mergeCell ref="O19:P19"/>
    <mergeCell ref="Y68:Z68"/>
    <mergeCell ref="Y98:Z98"/>
    <mergeCell ref="Y103:Z103"/>
    <mergeCell ref="W98:X98"/>
    <mergeCell ref="W103:X103"/>
    <mergeCell ref="W5:X5"/>
    <mergeCell ref="W19:X19"/>
    <mergeCell ref="W27:X27"/>
    <mergeCell ref="W30:X30"/>
    <mergeCell ref="W34:X34"/>
    <mergeCell ref="W68:X68"/>
    <mergeCell ref="Q5:R5"/>
    <mergeCell ref="Q19:R19"/>
    <mergeCell ref="Q27:R27"/>
    <mergeCell ref="Q30:R30"/>
    <mergeCell ref="Q34:R34"/>
    <mergeCell ref="Y5:Z5"/>
    <mergeCell ref="Y19:Z19"/>
    <mergeCell ref="Y27:Z27"/>
    <mergeCell ref="Y30:Z30"/>
    <mergeCell ref="Y34:Z34"/>
    <mergeCell ref="S5:T5"/>
  </mergeCells>
  <phoneticPr fontId="3" type="noConversion"/>
  <printOptions horizontalCentered="1"/>
  <pageMargins left="0.5" right="0.5" top="0.3" bottom="0.25" header="0.25" footer="0.28999999999999998"/>
  <pageSetup scale="68" fitToHeight="2" orientation="landscape" r:id="rId1"/>
  <headerFooter alignWithMargins="0">
    <oddFooter>&amp;R&amp;P of &amp;N
&amp;D</oddFooter>
  </headerFooter>
  <rowBreaks count="1" manualBreakCount="1">
    <brk id="65" max="16383" man="1"/>
  </rowBreaks>
  <colBreaks count="1" manualBreakCount="1">
    <brk id="26" max="121" man="1"/>
  </colBreaks>
  <ignoredErrors>
    <ignoredError sqref="M85:R97 M78:R83 I78:K78 S78:S97 U78:U94 U95:U97 T55 W78:X97 Y78:Y97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B239"/>
  <sheetViews>
    <sheetView view="pageBreakPreview" zoomScaleNormal="100" workbookViewId="0">
      <pane xSplit="2" ySplit="1" topLeftCell="C74" activePane="bottomRight" state="frozen"/>
      <selection activeCell="V50" sqref="V50"/>
      <selection pane="topRight" activeCell="V50" sqref="V50"/>
      <selection pane="bottomLeft" activeCell="V50" sqref="V50"/>
      <selection pane="bottomRight" activeCell="V50" sqref="V50"/>
    </sheetView>
  </sheetViews>
  <sheetFormatPr defaultColWidth="10.28515625" defaultRowHeight="12.75" x14ac:dyDescent="0.2"/>
  <cols>
    <col min="1" max="1" width="3.7109375" customWidth="1"/>
    <col min="2" max="2" width="29.7109375" customWidth="1"/>
    <col min="3" max="3" width="7.7109375" hidden="1" customWidth="1"/>
    <col min="4" max="4" width="10.7109375" hidden="1" customWidth="1"/>
    <col min="5" max="5" width="7.7109375" hidden="1" customWidth="1"/>
    <col min="6" max="6" width="10.7109375" hidden="1" customWidth="1"/>
    <col min="7" max="7" width="7.7109375" style="115" hidden="1" customWidth="1"/>
    <col min="8" max="8" width="10.7109375" style="115" hidden="1" customWidth="1"/>
    <col min="9" max="9" width="7.7109375" style="115" hidden="1" customWidth="1"/>
    <col min="10" max="10" width="10.7109375" style="115" hidden="1" customWidth="1"/>
    <col min="11" max="11" width="7.7109375" customWidth="1"/>
    <col min="12" max="12" width="10.7109375" customWidth="1"/>
    <col min="13" max="13" width="7.7109375" customWidth="1"/>
    <col min="14" max="14" width="10.7109375" customWidth="1"/>
    <col min="15" max="15" width="7.7109375" customWidth="1"/>
    <col min="16" max="16" width="10.7109375" customWidth="1"/>
    <col min="17" max="17" width="7.7109375" customWidth="1"/>
    <col min="18" max="18" width="10.7109375" customWidth="1"/>
    <col min="19" max="19" width="7.7109375" customWidth="1"/>
    <col min="20" max="20" width="10.7109375" customWidth="1"/>
    <col min="21" max="21" width="7.7109375" customWidth="1"/>
    <col min="22" max="22" width="10.7109375" customWidth="1"/>
    <col min="23" max="23" width="2.140625" customWidth="1"/>
    <col min="24" max="24" width="7.7109375" customWidth="1"/>
    <col min="25" max="25" width="10.7109375" customWidth="1"/>
    <col min="26" max="26" width="1.85546875" customWidth="1"/>
  </cols>
  <sheetData>
    <row r="1" spans="1:26" ht="18" x14ac:dyDescent="0.25">
      <c r="A1" s="1183" t="str">
        <f>Dean_AS!A1</f>
        <v>Department Profile Report - FY 2015</v>
      </c>
      <c r="B1" s="1183"/>
      <c r="C1" s="1183"/>
      <c r="D1" s="1183"/>
      <c r="E1" s="1183"/>
      <c r="F1" s="1183"/>
      <c r="G1" s="1183"/>
      <c r="H1" s="1183"/>
      <c r="I1" s="1181"/>
      <c r="J1" s="1181"/>
      <c r="K1" s="1182"/>
      <c r="L1" s="1182"/>
      <c r="M1" s="1182"/>
      <c r="N1" s="1182"/>
      <c r="O1" s="1182"/>
      <c r="P1" s="1182"/>
      <c r="Q1" s="1182"/>
      <c r="R1" s="1182"/>
      <c r="S1" s="1182"/>
      <c r="T1" s="1182"/>
      <c r="U1" s="1182"/>
      <c r="V1" s="1182"/>
      <c r="W1" s="1182"/>
      <c r="X1" s="1182"/>
      <c r="Y1" s="1182"/>
    </row>
    <row r="2" spans="1:26" ht="12" customHeight="1" x14ac:dyDescent="0.2">
      <c r="A2" s="3"/>
      <c r="B2" s="3"/>
      <c r="C2" s="3"/>
      <c r="D2" s="3"/>
      <c r="E2" s="3"/>
      <c r="F2" s="3"/>
      <c r="G2" s="117"/>
      <c r="H2" s="117"/>
      <c r="I2" s="117"/>
      <c r="J2" s="117"/>
    </row>
    <row r="3" spans="1:26" x14ac:dyDescent="0.2">
      <c r="A3" s="2" t="s">
        <v>24</v>
      </c>
      <c r="B3" s="117"/>
      <c r="C3" s="3"/>
      <c r="D3" s="3"/>
      <c r="E3" s="3"/>
      <c r="F3" s="3"/>
      <c r="G3" s="117"/>
      <c r="H3" s="117"/>
      <c r="I3" s="117"/>
      <c r="J3" s="117"/>
    </row>
    <row r="4" spans="1:26" ht="12" customHeight="1" x14ac:dyDescent="0.2">
      <c r="A4" s="3"/>
      <c r="B4" s="3"/>
      <c r="C4" s="3"/>
      <c r="D4" s="3"/>
      <c r="E4" s="3"/>
      <c r="F4" s="3"/>
      <c r="G4" s="117"/>
      <c r="H4" s="117"/>
      <c r="I4" s="117"/>
      <c r="J4" s="117"/>
      <c r="Y4" t="s">
        <v>29</v>
      </c>
    </row>
    <row r="5" spans="1:26" x14ac:dyDescent="0.2">
      <c r="A5" s="2" t="s">
        <v>77</v>
      </c>
      <c r="B5" s="3"/>
      <c r="C5" s="3"/>
      <c r="D5" s="3"/>
      <c r="E5" s="3"/>
      <c r="F5" s="3"/>
      <c r="G5" s="117"/>
      <c r="H5" s="117"/>
      <c r="I5" s="117"/>
      <c r="J5" s="117"/>
    </row>
    <row r="6" spans="1:26" ht="12" customHeight="1" thickBot="1" x14ac:dyDescent="0.25">
      <c r="A6" s="4"/>
      <c r="B6" s="3"/>
      <c r="C6" s="3"/>
      <c r="D6" s="3"/>
      <c r="E6" s="3"/>
      <c r="F6" s="3"/>
      <c r="G6" s="117"/>
      <c r="H6" s="117"/>
      <c r="I6" s="117"/>
      <c r="J6" s="117"/>
    </row>
    <row r="7" spans="1:26" ht="14.25" thickTop="1" thickBot="1" x14ac:dyDescent="0.25">
      <c r="A7" s="3"/>
      <c r="B7" s="22"/>
      <c r="C7" s="29" t="s">
        <v>49</v>
      </c>
      <c r="D7" s="51"/>
      <c r="E7" s="29" t="s">
        <v>50</v>
      </c>
      <c r="F7" s="7"/>
      <c r="G7" s="302" t="s">
        <v>141</v>
      </c>
      <c r="H7" s="121"/>
      <c r="I7" s="1968" t="s">
        <v>152</v>
      </c>
      <c r="J7" s="1968"/>
      <c r="K7" s="1994" t="s">
        <v>154</v>
      </c>
      <c r="L7" s="1968"/>
      <c r="M7" s="1994" t="s">
        <v>171</v>
      </c>
      <c r="N7" s="1980"/>
      <c r="O7" s="1968" t="s">
        <v>227</v>
      </c>
      <c r="P7" s="1980"/>
      <c r="Q7" s="1968" t="s">
        <v>237</v>
      </c>
      <c r="R7" s="1980"/>
      <c r="S7" s="1968" t="s">
        <v>272</v>
      </c>
      <c r="T7" s="1980"/>
      <c r="U7" s="1968" t="s">
        <v>274</v>
      </c>
      <c r="V7" s="1969"/>
      <c r="X7" s="2003" t="s">
        <v>213</v>
      </c>
      <c r="Y7" s="2004"/>
    </row>
    <row r="8" spans="1:26" x14ac:dyDescent="0.2">
      <c r="A8" s="3"/>
      <c r="B8" s="71"/>
      <c r="C8" s="42" t="s">
        <v>1</v>
      </c>
      <c r="D8" s="47" t="s">
        <v>2</v>
      </c>
      <c r="E8" s="42" t="s">
        <v>1</v>
      </c>
      <c r="F8" s="8" t="s">
        <v>2</v>
      </c>
      <c r="G8" s="303" t="s">
        <v>1</v>
      </c>
      <c r="H8" s="125" t="s">
        <v>2</v>
      </c>
      <c r="I8" s="124" t="s">
        <v>1</v>
      </c>
      <c r="J8" s="300" t="s">
        <v>2</v>
      </c>
      <c r="K8" s="303" t="s">
        <v>1</v>
      </c>
      <c r="L8" s="300" t="s">
        <v>2</v>
      </c>
      <c r="M8" s="303" t="s">
        <v>1</v>
      </c>
      <c r="N8" s="125" t="s">
        <v>2</v>
      </c>
      <c r="O8" s="124" t="s">
        <v>1</v>
      </c>
      <c r="P8" s="125" t="s">
        <v>2</v>
      </c>
      <c r="Q8" s="124" t="s">
        <v>1</v>
      </c>
      <c r="R8" s="125" t="s">
        <v>2</v>
      </c>
      <c r="S8" s="124" t="s">
        <v>1</v>
      </c>
      <c r="T8" s="125" t="s">
        <v>2</v>
      </c>
      <c r="U8" s="124" t="s">
        <v>1</v>
      </c>
      <c r="V8" s="126" t="s">
        <v>2</v>
      </c>
      <c r="X8" s="921" t="s">
        <v>214</v>
      </c>
      <c r="Y8" s="922" t="s">
        <v>215</v>
      </c>
    </row>
    <row r="9" spans="1:26" ht="13.5" thickBot="1" x14ac:dyDescent="0.25">
      <c r="A9" s="3"/>
      <c r="B9" s="72"/>
      <c r="C9" s="46" t="s">
        <v>3</v>
      </c>
      <c r="D9" s="48" t="s">
        <v>4</v>
      </c>
      <c r="E9" s="46" t="s">
        <v>3</v>
      </c>
      <c r="F9" s="26" t="s">
        <v>4</v>
      </c>
      <c r="G9" s="304" t="s">
        <v>3</v>
      </c>
      <c r="H9" s="123" t="s">
        <v>4</v>
      </c>
      <c r="I9" s="127" t="s">
        <v>3</v>
      </c>
      <c r="J9" s="301" t="s">
        <v>4</v>
      </c>
      <c r="K9" s="304" t="s">
        <v>3</v>
      </c>
      <c r="L9" s="301" t="s">
        <v>4</v>
      </c>
      <c r="M9" s="304" t="s">
        <v>3</v>
      </c>
      <c r="N9" s="123" t="s">
        <v>4</v>
      </c>
      <c r="O9" s="127" t="s">
        <v>3</v>
      </c>
      <c r="P9" s="123" t="s">
        <v>4</v>
      </c>
      <c r="Q9" s="127" t="s">
        <v>3</v>
      </c>
      <c r="R9" s="123" t="s">
        <v>4</v>
      </c>
      <c r="S9" s="127" t="s">
        <v>3</v>
      </c>
      <c r="T9" s="123" t="s">
        <v>4</v>
      </c>
      <c r="U9" s="127" t="s">
        <v>3</v>
      </c>
      <c r="V9" s="128" t="s">
        <v>4</v>
      </c>
      <c r="X9" s="923" t="s">
        <v>3</v>
      </c>
      <c r="Y9" s="924" t="s">
        <v>4</v>
      </c>
    </row>
    <row r="10" spans="1:26" x14ac:dyDescent="0.2">
      <c r="A10" s="3"/>
      <c r="B10" s="73" t="s">
        <v>5</v>
      </c>
      <c r="C10" s="15"/>
      <c r="D10" s="49"/>
      <c r="E10" s="15"/>
      <c r="F10" s="13"/>
      <c r="G10" s="305"/>
      <c r="H10" s="131"/>
      <c r="I10" s="130"/>
      <c r="J10" s="150"/>
      <c r="K10" s="305"/>
      <c r="L10" s="150"/>
      <c r="M10" s="305"/>
      <c r="N10" s="131"/>
      <c r="O10" s="130"/>
      <c r="P10" s="131"/>
      <c r="Q10" s="130"/>
      <c r="R10" s="131"/>
      <c r="S10" s="130"/>
      <c r="T10" s="131"/>
      <c r="U10" s="690"/>
      <c r="V10" s="296"/>
      <c r="X10" s="925"/>
      <c r="Y10" s="581"/>
    </row>
    <row r="11" spans="1:26" s="617" customFormat="1" x14ac:dyDescent="0.2">
      <c r="A11" s="618"/>
      <c r="B11" s="789" t="s">
        <v>268</v>
      </c>
      <c r="C11" s="693"/>
      <c r="D11" s="694"/>
      <c r="E11" s="693"/>
      <c r="F11" s="695"/>
      <c r="G11" s="649"/>
      <c r="H11" s="696"/>
      <c r="I11" s="650"/>
      <c r="J11" s="697"/>
      <c r="K11" s="649"/>
      <c r="L11" s="697"/>
      <c r="M11" s="649"/>
      <c r="N11" s="696"/>
      <c r="O11" s="650"/>
      <c r="P11" s="696"/>
      <c r="Q11" s="650"/>
      <c r="R11" s="696"/>
      <c r="S11" s="650"/>
      <c r="T11" s="696"/>
      <c r="U11" s="650"/>
      <c r="V11" s="698"/>
      <c r="X11" s="926"/>
      <c r="Y11" s="927"/>
      <c r="Z11" s="917"/>
    </row>
    <row r="12" spans="1:26" s="617" customFormat="1" x14ac:dyDescent="0.2">
      <c r="A12" s="618"/>
      <c r="B12" s="654" t="s">
        <v>221</v>
      </c>
      <c r="C12" s="672">
        <v>463</v>
      </c>
      <c r="D12" s="700">
        <v>76</v>
      </c>
      <c r="E12" s="672">
        <v>498</v>
      </c>
      <c r="F12" s="701">
        <f>87+2</f>
        <v>89</v>
      </c>
      <c r="G12" s="1425">
        <v>559</v>
      </c>
      <c r="H12" s="746">
        <f>99+1</f>
        <v>100</v>
      </c>
      <c r="I12" s="1426">
        <v>408</v>
      </c>
      <c r="J12" s="748">
        <f>113+1</f>
        <v>114</v>
      </c>
      <c r="K12" s="1427">
        <v>380</v>
      </c>
      <c r="L12" s="665">
        <f>99+1</f>
        <v>100</v>
      </c>
      <c r="M12" s="1427">
        <v>363</v>
      </c>
      <c r="N12" s="663">
        <v>102</v>
      </c>
      <c r="O12" s="1428">
        <v>361</v>
      </c>
      <c r="P12" s="663">
        <v>87</v>
      </c>
      <c r="Q12" s="758">
        <v>386</v>
      </c>
      <c r="R12" s="663">
        <f>105-11</f>
        <v>94</v>
      </c>
      <c r="S12" s="758">
        <v>431</v>
      </c>
      <c r="T12" s="663">
        <v>93</v>
      </c>
      <c r="U12" s="758">
        <v>511</v>
      </c>
      <c r="V12" s="1887">
        <v>101</v>
      </c>
      <c r="X12" s="926">
        <f>AVERAGE(M12,U12,S12,Q12,O12)</f>
        <v>410.4</v>
      </c>
      <c r="Y12" s="928">
        <f>AVERAGE(L12,T12,R12,P12,N12)</f>
        <v>95.2</v>
      </c>
      <c r="Z12" s="917"/>
    </row>
    <row r="13" spans="1:26" s="617" customFormat="1" x14ac:dyDescent="0.2">
      <c r="A13" s="618"/>
      <c r="B13" s="781" t="s">
        <v>80</v>
      </c>
      <c r="C13" s="705"/>
      <c r="D13" s="703"/>
      <c r="E13" s="705"/>
      <c r="F13" s="704"/>
      <c r="G13" s="1430"/>
      <c r="H13" s="1431"/>
      <c r="I13" s="1432"/>
      <c r="J13" s="1433"/>
      <c r="K13" s="1434"/>
      <c r="L13" s="1435" t="s">
        <v>240</v>
      </c>
      <c r="M13" s="1434" t="s">
        <v>228</v>
      </c>
      <c r="N13" s="1436"/>
      <c r="O13" s="1245">
        <v>0</v>
      </c>
      <c r="P13" s="1424">
        <v>1</v>
      </c>
      <c r="Q13" s="1245">
        <v>1</v>
      </c>
      <c r="R13" s="729">
        <v>0</v>
      </c>
      <c r="S13" s="1245">
        <v>41</v>
      </c>
      <c r="T13" s="729">
        <v>24</v>
      </c>
      <c r="U13" s="1245">
        <v>29</v>
      </c>
      <c r="V13" s="1888">
        <v>17</v>
      </c>
      <c r="X13" s="926"/>
      <c r="Y13" s="928">
        <f>AVERAGE(L13,T13,R13,P13,N13)</f>
        <v>8.3333333333333339</v>
      </c>
      <c r="Z13" s="917"/>
    </row>
    <row r="14" spans="1:26" s="617" customFormat="1" x14ac:dyDescent="0.2">
      <c r="A14" s="618"/>
      <c r="B14" s="1552" t="s">
        <v>167</v>
      </c>
      <c r="C14" s="705">
        <v>22</v>
      </c>
      <c r="D14" s="703">
        <v>11</v>
      </c>
      <c r="E14" s="705">
        <v>20</v>
      </c>
      <c r="F14" s="704">
        <v>5</v>
      </c>
      <c r="G14" s="724">
        <v>20</v>
      </c>
      <c r="H14" s="750">
        <v>9</v>
      </c>
      <c r="I14" s="725">
        <v>22</v>
      </c>
      <c r="J14" s="751">
        <v>4</v>
      </c>
      <c r="K14" s="657">
        <v>21</v>
      </c>
      <c r="L14" s="730">
        <f>13</f>
        <v>13</v>
      </c>
      <c r="M14" s="657">
        <v>16</v>
      </c>
      <c r="N14" s="729">
        <v>8</v>
      </c>
      <c r="O14" s="758">
        <v>15</v>
      </c>
      <c r="P14" s="729">
        <v>8</v>
      </c>
      <c r="Q14" s="758">
        <v>14</v>
      </c>
      <c r="R14" s="729">
        <v>4</v>
      </c>
      <c r="S14" s="758">
        <v>19</v>
      </c>
      <c r="T14" s="729">
        <v>5</v>
      </c>
      <c r="U14" s="758">
        <v>30</v>
      </c>
      <c r="V14" s="1888">
        <v>11</v>
      </c>
      <c r="X14" s="926">
        <f>AVERAGE(M14,U14,S14,Q14,O14)</f>
        <v>18.8</v>
      </c>
      <c r="Y14" s="928">
        <f>AVERAGE(L14,T14,R14,P14,N14)</f>
        <v>7.6</v>
      </c>
      <c r="Z14" s="917"/>
    </row>
    <row r="15" spans="1:26" s="617" customFormat="1" x14ac:dyDescent="0.2">
      <c r="A15" s="618"/>
      <c r="B15" s="645" t="s">
        <v>232</v>
      </c>
      <c r="C15" s="672"/>
      <c r="D15" s="700"/>
      <c r="E15" s="670"/>
      <c r="F15" s="701"/>
      <c r="G15" s="745"/>
      <c r="H15" s="746"/>
      <c r="I15" s="747"/>
      <c r="J15" s="748"/>
      <c r="K15" s="749"/>
      <c r="L15" s="665"/>
      <c r="M15" s="749"/>
      <c r="N15" s="663"/>
      <c r="O15" s="1245"/>
      <c r="P15" s="663"/>
      <c r="Q15" s="1245"/>
      <c r="R15" s="663"/>
      <c r="S15" s="1245"/>
      <c r="T15" s="663"/>
      <c r="U15" s="1245"/>
      <c r="V15" s="1887"/>
      <c r="X15" s="926"/>
      <c r="Y15" s="928"/>
      <c r="Z15" s="917"/>
    </row>
    <row r="16" spans="1:26" s="617" customFormat="1" ht="13.5" thickBot="1" x14ac:dyDescent="0.25">
      <c r="A16" s="618"/>
      <c r="B16" s="737" t="s">
        <v>221</v>
      </c>
      <c r="C16" s="714">
        <v>79</v>
      </c>
      <c r="D16" s="712">
        <v>15</v>
      </c>
      <c r="E16" s="753"/>
      <c r="F16" s="713">
        <v>17</v>
      </c>
      <c r="G16" s="754"/>
      <c r="H16" s="755">
        <v>25</v>
      </c>
      <c r="I16" s="732">
        <v>121</v>
      </c>
      <c r="J16" s="771">
        <v>30</v>
      </c>
      <c r="K16" s="741">
        <v>112</v>
      </c>
      <c r="L16" s="718">
        <v>19</v>
      </c>
      <c r="M16" s="741">
        <v>79</v>
      </c>
      <c r="N16" s="716">
        <v>4</v>
      </c>
      <c r="O16" s="766">
        <v>98</v>
      </c>
      <c r="P16" s="716">
        <v>11</v>
      </c>
      <c r="Q16" s="766">
        <v>89</v>
      </c>
      <c r="R16" s="716">
        <v>11</v>
      </c>
      <c r="S16" s="766">
        <v>98</v>
      </c>
      <c r="T16" s="716">
        <v>12</v>
      </c>
      <c r="U16" s="766">
        <v>92</v>
      </c>
      <c r="V16" s="1889">
        <v>9</v>
      </c>
      <c r="X16" s="929">
        <f>AVERAGE(M16,U16,S16,Q16,O16)</f>
        <v>91.2</v>
      </c>
      <c r="Y16" s="1021">
        <f>AVERAGE(L16,T16,R16,P16,N16)</f>
        <v>11.4</v>
      </c>
      <c r="Z16" s="917"/>
    </row>
    <row r="17" spans="1:28" ht="13.5" thickTop="1" x14ac:dyDescent="0.2">
      <c r="A17" s="3"/>
      <c r="B17" s="57" t="s">
        <v>236</v>
      </c>
      <c r="C17" s="33"/>
      <c r="D17" s="34"/>
      <c r="E17" s="33"/>
      <c r="F17" s="34"/>
      <c r="G17" s="298"/>
      <c r="H17" s="135"/>
      <c r="I17" s="616"/>
      <c r="J17" s="135"/>
      <c r="K17" s="298"/>
      <c r="L17" s="135"/>
      <c r="M17" s="298"/>
      <c r="N17" s="135"/>
      <c r="O17" s="298"/>
      <c r="P17" s="135"/>
      <c r="Q17" s="298"/>
      <c r="R17" s="135"/>
      <c r="S17" s="298"/>
      <c r="T17" s="135"/>
      <c r="U17" s="298"/>
      <c r="V17" s="135"/>
      <c r="X17" s="917"/>
      <c r="Y17" s="917"/>
      <c r="Z17" s="917"/>
    </row>
    <row r="18" spans="1:28" x14ac:dyDescent="0.2">
      <c r="A18" s="3"/>
      <c r="B18" s="70" t="s">
        <v>170</v>
      </c>
      <c r="C18" s="33"/>
      <c r="D18" s="34"/>
      <c r="E18" s="33"/>
      <c r="F18" s="34"/>
      <c r="G18" s="133"/>
      <c r="H18" s="135"/>
      <c r="I18" s="133"/>
      <c r="J18" s="135"/>
      <c r="K18" s="133"/>
      <c r="L18" s="135"/>
      <c r="M18" s="667" t="s">
        <v>29</v>
      </c>
      <c r="N18" s="135"/>
      <c r="O18" s="667"/>
      <c r="P18" s="135"/>
      <c r="Q18" s="667"/>
      <c r="R18" s="135"/>
      <c r="S18" s="667"/>
      <c r="T18" s="135"/>
      <c r="U18" s="667"/>
      <c r="V18" s="135"/>
      <c r="X18" s="917"/>
      <c r="Y18" s="917"/>
      <c r="Z18" s="917"/>
    </row>
    <row r="19" spans="1:28" ht="12" customHeight="1" thickBot="1" x14ac:dyDescent="0.25">
      <c r="A19" s="3"/>
      <c r="B19" s="3"/>
      <c r="C19" s="3"/>
      <c r="D19" s="3"/>
      <c r="E19" s="3"/>
      <c r="F19" s="3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X19" s="917"/>
      <c r="Y19" s="917"/>
      <c r="Z19" s="917"/>
    </row>
    <row r="20" spans="1:28" ht="14.25" thickTop="1" thickBot="1" x14ac:dyDescent="0.25">
      <c r="A20" s="3"/>
      <c r="B20" s="340"/>
      <c r="C20" s="2013" t="s">
        <v>49</v>
      </c>
      <c r="D20" s="2014"/>
      <c r="E20" s="2015" t="s">
        <v>50</v>
      </c>
      <c r="F20" s="2015"/>
      <c r="G20" s="2002" t="s">
        <v>141</v>
      </c>
      <c r="H20" s="1982"/>
      <c r="I20" s="2081" t="s">
        <v>152</v>
      </c>
      <c r="J20" s="2081"/>
      <c r="K20" s="2082" t="s">
        <v>154</v>
      </c>
      <c r="L20" s="2081"/>
      <c r="M20" s="2082" t="s">
        <v>171</v>
      </c>
      <c r="N20" s="2083"/>
      <c r="O20" s="2081" t="s">
        <v>227</v>
      </c>
      <c r="P20" s="2083"/>
      <c r="Q20" s="2081" t="s">
        <v>237</v>
      </c>
      <c r="R20" s="2083"/>
      <c r="S20" s="2081" t="s">
        <v>272</v>
      </c>
      <c r="T20" s="2083"/>
      <c r="U20" s="2081" t="s">
        <v>274</v>
      </c>
      <c r="V20" s="2084"/>
      <c r="X20" s="2003" t="s">
        <v>213</v>
      </c>
      <c r="Y20" s="2004"/>
      <c r="Z20" s="917"/>
    </row>
    <row r="21" spans="1:28" x14ac:dyDescent="0.2">
      <c r="A21" s="3"/>
      <c r="B21" s="73" t="s">
        <v>7</v>
      </c>
      <c r="C21" s="54"/>
      <c r="D21" s="92"/>
      <c r="E21" s="30"/>
      <c r="F21" s="30"/>
      <c r="G21" s="243"/>
      <c r="H21" s="244"/>
      <c r="I21" s="151"/>
      <c r="J21" s="151"/>
      <c r="K21" s="265"/>
      <c r="L21" s="151"/>
      <c r="M21" s="265"/>
      <c r="N21" s="248"/>
      <c r="O21" s="151"/>
      <c r="P21" s="248"/>
      <c r="Q21" s="151"/>
      <c r="R21" s="248"/>
      <c r="S21" s="151"/>
      <c r="T21" s="248"/>
      <c r="U21" s="151"/>
      <c r="V21" s="152"/>
      <c r="X21" s="831"/>
      <c r="Y21" s="930"/>
      <c r="Z21" s="917"/>
    </row>
    <row r="22" spans="1:28" ht="12.75" customHeight="1" x14ac:dyDescent="0.2">
      <c r="A22" s="3"/>
      <c r="B22" s="78" t="s">
        <v>8</v>
      </c>
      <c r="C22" s="184"/>
      <c r="D22" s="93"/>
      <c r="E22" s="31"/>
      <c r="F22" s="31"/>
      <c r="G22" s="239"/>
      <c r="H22" s="245"/>
      <c r="I22" s="139"/>
      <c r="J22" s="139"/>
      <c r="K22" s="239"/>
      <c r="L22" s="139"/>
      <c r="M22" s="239"/>
      <c r="N22" s="245"/>
      <c r="O22" s="139"/>
      <c r="P22" s="245"/>
      <c r="Q22" s="139"/>
      <c r="R22" s="245"/>
      <c r="S22" s="139"/>
      <c r="T22" s="245"/>
      <c r="U22" s="139"/>
      <c r="V22" s="141"/>
      <c r="X22" s="831"/>
      <c r="Y22" s="930"/>
      <c r="Z22" s="917"/>
    </row>
    <row r="23" spans="1:28" x14ac:dyDescent="0.2">
      <c r="A23" s="3"/>
      <c r="B23" s="78" t="s">
        <v>9</v>
      </c>
      <c r="C23" s="184"/>
      <c r="D23" s="165">
        <v>2542</v>
      </c>
      <c r="E23" s="31"/>
      <c r="F23" s="171">
        <v>2728</v>
      </c>
      <c r="G23" s="239"/>
      <c r="H23" s="261">
        <v>2223</v>
      </c>
      <c r="I23" s="139"/>
      <c r="J23" s="183">
        <v>2109</v>
      </c>
      <c r="K23" s="239"/>
      <c r="L23" s="183">
        <v>1992</v>
      </c>
      <c r="M23" s="239"/>
      <c r="N23" s="261">
        <v>2113</v>
      </c>
      <c r="O23" s="139"/>
      <c r="P23" s="261">
        <v>2042</v>
      </c>
      <c r="Q23" s="139"/>
      <c r="R23" s="261">
        <v>2163</v>
      </c>
      <c r="S23" s="139"/>
      <c r="T23" s="261">
        <v>2113</v>
      </c>
      <c r="U23" s="139"/>
      <c r="V23" s="142">
        <v>3063</v>
      </c>
      <c r="X23" s="24"/>
      <c r="Y23" s="947">
        <f>AVERAGE(L23,T23,R23,P23,N23)</f>
        <v>2084.6</v>
      </c>
      <c r="Z23" s="917"/>
    </row>
    <row r="24" spans="1:28" x14ac:dyDescent="0.2">
      <c r="A24" s="3"/>
      <c r="B24" s="78" t="s">
        <v>10</v>
      </c>
      <c r="C24" s="184"/>
      <c r="D24" s="165">
        <v>2874</v>
      </c>
      <c r="E24" s="31"/>
      <c r="F24" s="171">
        <v>3538</v>
      </c>
      <c r="G24" s="239"/>
      <c r="H24" s="261">
        <v>4656</v>
      </c>
      <c r="I24" s="139"/>
      <c r="J24" s="183">
        <v>4484</v>
      </c>
      <c r="K24" s="239"/>
      <c r="L24" s="183">
        <v>4800</v>
      </c>
      <c r="M24" s="239"/>
      <c r="N24" s="261">
        <v>4826</v>
      </c>
      <c r="O24" s="139"/>
      <c r="P24" s="261">
        <v>4998</v>
      </c>
      <c r="Q24" s="139"/>
      <c r="R24" s="261">
        <v>5332</v>
      </c>
      <c r="S24" s="139"/>
      <c r="T24" s="261">
        <v>5830</v>
      </c>
      <c r="U24" s="139"/>
      <c r="V24" s="142">
        <v>6267</v>
      </c>
      <c r="X24" s="12"/>
      <c r="Y24" s="947">
        <f>AVERAGE(L24,T24,R24,P24,N24)</f>
        <v>5157.2</v>
      </c>
      <c r="Z24" s="917"/>
    </row>
    <row r="25" spans="1:28" x14ac:dyDescent="0.2">
      <c r="A25" s="3"/>
      <c r="B25" s="78" t="s">
        <v>11</v>
      </c>
      <c r="C25" s="184"/>
      <c r="D25" s="165">
        <v>348</v>
      </c>
      <c r="E25" s="31"/>
      <c r="F25" s="171">
        <v>340</v>
      </c>
      <c r="G25" s="239"/>
      <c r="H25" s="261">
        <v>257</v>
      </c>
      <c r="I25" s="139"/>
      <c r="J25" s="183">
        <v>292</v>
      </c>
      <c r="K25" s="239"/>
      <c r="L25" s="183">
        <v>382</v>
      </c>
      <c r="M25" s="239"/>
      <c r="N25" s="261">
        <v>280</v>
      </c>
      <c r="O25" s="139"/>
      <c r="P25" s="261">
        <v>382</v>
      </c>
      <c r="Q25" s="139"/>
      <c r="R25" s="261">
        <v>437</v>
      </c>
      <c r="S25" s="139"/>
      <c r="T25" s="261">
        <v>467</v>
      </c>
      <c r="U25" s="139"/>
      <c r="V25" s="142">
        <v>659</v>
      </c>
      <c r="W25" s="1031"/>
      <c r="X25" s="31"/>
      <c r="Y25" s="947">
        <f>AVERAGE(L25,T25,R25,P25,N25)</f>
        <v>389.6</v>
      </c>
    </row>
    <row r="26" spans="1:28" x14ac:dyDescent="0.2">
      <c r="A26" s="3"/>
      <c r="B26" s="78" t="s">
        <v>12</v>
      </c>
      <c r="C26" s="184"/>
      <c r="D26" s="94">
        <v>0</v>
      </c>
      <c r="E26" s="31"/>
      <c r="F26" s="39">
        <v>0</v>
      </c>
      <c r="G26" s="239"/>
      <c r="H26" s="240">
        <v>0</v>
      </c>
      <c r="I26" s="139"/>
      <c r="J26" s="241">
        <v>0</v>
      </c>
      <c r="K26" s="239"/>
      <c r="L26" s="241">
        <v>0</v>
      </c>
      <c r="M26" s="239"/>
      <c r="N26" s="240">
        <v>0</v>
      </c>
      <c r="O26" s="139"/>
      <c r="P26" s="240">
        <v>0</v>
      </c>
      <c r="Q26" s="139"/>
      <c r="R26" s="240">
        <v>0</v>
      </c>
      <c r="S26" s="139"/>
      <c r="T26" s="240">
        <v>0</v>
      </c>
      <c r="U26" s="139"/>
      <c r="V26" s="143">
        <v>0</v>
      </c>
      <c r="W26" s="1031"/>
      <c r="X26" s="31"/>
      <c r="Y26" s="947">
        <f>AVERAGE(L26,T26,R26,P26,N26)</f>
        <v>0</v>
      </c>
    </row>
    <row r="27" spans="1:28" ht="13.5" thickBot="1" x14ac:dyDescent="0.25">
      <c r="A27" s="3"/>
      <c r="B27" s="79" t="s">
        <v>13</v>
      </c>
      <c r="C27" s="185"/>
      <c r="D27" s="186">
        <f>SUM(D23:D26)</f>
        <v>5764</v>
      </c>
      <c r="E27" s="90"/>
      <c r="F27" s="58">
        <f>SUM(F23:F26)</f>
        <v>6606</v>
      </c>
      <c r="G27" s="246"/>
      <c r="H27" s="247">
        <f>SUM(H23:H26)</f>
        <v>7136</v>
      </c>
      <c r="I27" s="164"/>
      <c r="J27" s="242">
        <f>SUM(J23:J26)</f>
        <v>6885</v>
      </c>
      <c r="K27" s="246"/>
      <c r="L27" s="242">
        <f>SUM(L23:L26)</f>
        <v>7174</v>
      </c>
      <c r="M27" s="246"/>
      <c r="N27" s="247">
        <f>SUM(N23:N26)</f>
        <v>7219</v>
      </c>
      <c r="O27" s="164"/>
      <c r="P27" s="247">
        <f>SUM(P23:P26)</f>
        <v>7422</v>
      </c>
      <c r="Q27" s="164"/>
      <c r="R27" s="247">
        <f>SUM(R23:R26)</f>
        <v>7932</v>
      </c>
      <c r="S27" s="164"/>
      <c r="T27" s="247">
        <f>SUM(T23:T26)</f>
        <v>8410</v>
      </c>
      <c r="U27" s="164"/>
      <c r="V27" s="1890">
        <f>SUM(V23:V26)</f>
        <v>9989</v>
      </c>
      <c r="W27" s="1031"/>
      <c r="X27" s="182"/>
      <c r="Y27" s="1008">
        <f>AVERAGE(L27,T27,R27,P27,N27)</f>
        <v>7631.4</v>
      </c>
    </row>
    <row r="28" spans="1:28" ht="12" customHeight="1" thickTop="1" thickBot="1" x14ac:dyDescent="0.25">
      <c r="A28" s="930"/>
      <c r="B28" s="931" t="s">
        <v>212</v>
      </c>
      <c r="C28" s="1992" t="s">
        <v>51</v>
      </c>
      <c r="D28" s="1997"/>
      <c r="E28" s="1992" t="s">
        <v>52</v>
      </c>
      <c r="F28" s="1997"/>
      <c r="G28" s="1989" t="s">
        <v>184</v>
      </c>
      <c r="H28" s="1981"/>
      <c r="I28" s="1989" t="s">
        <v>185</v>
      </c>
      <c r="J28" s="2005"/>
      <c r="K28" s="1989" t="s">
        <v>202</v>
      </c>
      <c r="L28" s="2005"/>
      <c r="M28" s="1991" t="s">
        <v>203</v>
      </c>
      <c r="N28" s="1981"/>
      <c r="O28" s="1991" t="s">
        <v>228</v>
      </c>
      <c r="P28" s="1981"/>
      <c r="Q28" s="1991" t="s">
        <v>238</v>
      </c>
      <c r="R28" s="1981"/>
      <c r="S28" s="1991" t="s">
        <v>273</v>
      </c>
      <c r="T28" s="1981"/>
      <c r="U28" s="1991" t="s">
        <v>275</v>
      </c>
      <c r="V28" s="1981"/>
      <c r="W28" s="932"/>
      <c r="X28" s="2009"/>
      <c r="Y28" s="2010"/>
      <c r="Z28" s="293"/>
      <c r="AA28" s="293"/>
      <c r="AB28" s="21"/>
    </row>
    <row r="29" spans="1:28" ht="12" customHeight="1" x14ac:dyDescent="0.2">
      <c r="A29" s="930"/>
      <c r="B29" s="933" t="s">
        <v>189</v>
      </c>
      <c r="C29" s="2016">
        <v>0.61899999999999999</v>
      </c>
      <c r="D29" s="2017"/>
      <c r="E29" s="1995">
        <v>0.5</v>
      </c>
      <c r="F29" s="1996"/>
      <c r="G29" s="1995">
        <v>0.59099999999999997</v>
      </c>
      <c r="H29" s="1996"/>
      <c r="I29" s="1995">
        <v>0.54300000000000004</v>
      </c>
      <c r="J29" s="2006"/>
      <c r="K29" s="934"/>
      <c r="L29" s="935">
        <v>0.52600000000000002</v>
      </c>
      <c r="M29" s="936"/>
      <c r="N29" s="1178">
        <v>0.64400000000000002</v>
      </c>
      <c r="O29" s="1176"/>
      <c r="P29" s="1178">
        <v>0.51100000000000001</v>
      </c>
      <c r="Q29" s="1271"/>
      <c r="R29" s="1178">
        <v>0.52100000000000002</v>
      </c>
      <c r="S29" s="1271"/>
      <c r="T29" s="1178">
        <v>0.57299999999999995</v>
      </c>
      <c r="U29" s="1271"/>
      <c r="V29" s="1479">
        <v>0.55600000000000005</v>
      </c>
      <c r="W29" s="937"/>
      <c r="X29" s="938"/>
      <c r="Y29" s="1048">
        <f>AVERAGE(N29,V29,T29,R29,P29)</f>
        <v>0.56100000000000005</v>
      </c>
      <c r="Z29" s="293"/>
      <c r="AA29" s="293"/>
      <c r="AB29" s="21"/>
    </row>
    <row r="30" spans="1:28" ht="12" customHeight="1" x14ac:dyDescent="0.2">
      <c r="A30" s="930"/>
      <c r="B30" s="940" t="s">
        <v>190</v>
      </c>
      <c r="C30" s="2018">
        <v>6.5000000000000002E-2</v>
      </c>
      <c r="D30" s="2019"/>
      <c r="E30" s="2000">
        <v>4.1000000000000002E-2</v>
      </c>
      <c r="F30" s="2001"/>
      <c r="G30" s="2000">
        <v>3.2000000000000001E-2</v>
      </c>
      <c r="H30" s="2001"/>
      <c r="I30" s="2000">
        <v>3.7999999999999999E-2</v>
      </c>
      <c r="J30" s="2011"/>
      <c r="K30" s="941"/>
      <c r="L30" s="942">
        <v>4.2000000000000003E-2</v>
      </c>
      <c r="M30" s="941"/>
      <c r="N30" s="1179">
        <v>2.7E-2</v>
      </c>
      <c r="O30" s="1177"/>
      <c r="P30" s="1179">
        <v>0.03</v>
      </c>
      <c r="Q30" s="1272"/>
      <c r="R30" s="1179">
        <v>2.8000000000000001E-2</v>
      </c>
      <c r="S30" s="1272"/>
      <c r="T30" s="1179">
        <v>2.9000000000000001E-2</v>
      </c>
      <c r="U30" s="1272"/>
      <c r="V30" s="1480">
        <v>4.2000000000000003E-2</v>
      </c>
      <c r="W30" s="937"/>
      <c r="X30" s="938"/>
      <c r="Y30" s="1048">
        <f>AVERAGE(N30,V30,T30,R30,P30)</f>
        <v>3.1199999999999999E-2</v>
      </c>
      <c r="Z30" s="293"/>
      <c r="AA30" s="293"/>
      <c r="AB30" s="21"/>
    </row>
    <row r="31" spans="1:28" ht="12.75" customHeight="1" thickBot="1" x14ac:dyDescent="0.25">
      <c r="A31" s="3"/>
      <c r="B31" s="943" t="s">
        <v>191</v>
      </c>
      <c r="C31" s="1998">
        <f>1-C29-C30</f>
        <v>0.316</v>
      </c>
      <c r="D31" s="1999"/>
      <c r="E31" s="1998">
        <f>1-E29-E30</f>
        <v>0.45900000000000002</v>
      </c>
      <c r="F31" s="1999"/>
      <c r="G31" s="1998">
        <f>1-G29-G30</f>
        <v>0.377</v>
      </c>
      <c r="H31" s="1999"/>
      <c r="I31" s="1998">
        <f>1-I29-I30</f>
        <v>0.41899999999999998</v>
      </c>
      <c r="J31" s="1999"/>
      <c r="K31" s="1998">
        <f>1-L29-L30</f>
        <v>0.432</v>
      </c>
      <c r="L31" s="1999"/>
      <c r="M31" s="1998">
        <f>1-N29-N30</f>
        <v>0.32899999999999996</v>
      </c>
      <c r="N31" s="1999"/>
      <c r="O31" s="1998">
        <f>1-P29-P30</f>
        <v>0.45899999999999996</v>
      </c>
      <c r="P31" s="1999"/>
      <c r="Q31" s="1972">
        <f>1-R29-R30</f>
        <v>0.45099999999999996</v>
      </c>
      <c r="R31" s="1973"/>
      <c r="S31" s="1972">
        <f>1-T29-T30</f>
        <v>0.39800000000000002</v>
      </c>
      <c r="T31" s="1973"/>
      <c r="U31" s="1972">
        <f>1-V29-V30</f>
        <v>0.40199999999999997</v>
      </c>
      <c r="V31" s="1973"/>
      <c r="W31" s="937"/>
      <c r="X31" s="2007">
        <f>1-Y29-Y30</f>
        <v>0.40779999999999994</v>
      </c>
      <c r="Y31" s="2008"/>
      <c r="Z31" s="1050"/>
      <c r="AA31" s="293"/>
      <c r="AB31" s="21"/>
    </row>
    <row r="32" spans="1:28" s="3" customFormat="1" thickTop="1" x14ac:dyDescent="0.2">
      <c r="B32" s="109"/>
      <c r="C32" s="110"/>
      <c r="D32" s="111"/>
      <c r="E32" s="110"/>
      <c r="F32" s="111"/>
      <c r="G32" s="146"/>
      <c r="H32" s="147"/>
      <c r="I32" s="146"/>
      <c r="J32" s="147"/>
      <c r="K32" s="146"/>
      <c r="L32" s="147"/>
      <c r="M32" s="146"/>
      <c r="N32" s="147"/>
      <c r="O32" s="146"/>
      <c r="P32" s="147"/>
      <c r="Q32" s="146"/>
      <c r="R32" s="147"/>
      <c r="S32" s="146"/>
      <c r="T32" s="147"/>
      <c r="U32" s="146"/>
      <c r="V32" s="147"/>
    </row>
    <row r="33" spans="1:25" s="3" customFormat="1" x14ac:dyDescent="0.2">
      <c r="A33" s="112" t="s">
        <v>68</v>
      </c>
      <c r="B33" s="96"/>
      <c r="C33" s="28"/>
      <c r="D33" s="28"/>
      <c r="E33" s="28"/>
      <c r="F33" s="28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</row>
    <row r="34" spans="1:25" s="3" customFormat="1" ht="13.5" thickBot="1" x14ac:dyDescent="0.25">
      <c r="A34" s="112"/>
      <c r="B34" s="96"/>
      <c r="C34" s="28"/>
      <c r="D34" s="28"/>
      <c r="E34" s="28"/>
      <c r="F34" s="28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</row>
    <row r="35" spans="1:25" s="3" customFormat="1" ht="14.25" thickTop="1" thickBot="1" x14ac:dyDescent="0.25">
      <c r="A35" s="2"/>
      <c r="B35" s="329" t="s">
        <v>69</v>
      </c>
      <c r="C35" s="2013" t="s">
        <v>49</v>
      </c>
      <c r="D35" s="2014"/>
      <c r="E35" s="2015" t="s">
        <v>50</v>
      </c>
      <c r="F35" s="2015"/>
      <c r="G35" s="2002" t="s">
        <v>141</v>
      </c>
      <c r="H35" s="1982"/>
      <c r="I35" s="1974" t="s">
        <v>152</v>
      </c>
      <c r="J35" s="1974"/>
      <c r="K35" s="2002" t="s">
        <v>154</v>
      </c>
      <c r="L35" s="1974"/>
      <c r="M35" s="2002" t="s">
        <v>171</v>
      </c>
      <c r="N35" s="1982"/>
      <c r="O35" s="1974" t="s">
        <v>227</v>
      </c>
      <c r="P35" s="1982"/>
      <c r="Q35" s="1974" t="s">
        <v>237</v>
      </c>
      <c r="R35" s="1982"/>
      <c r="S35" s="1974" t="s">
        <v>272</v>
      </c>
      <c r="T35" s="1982"/>
      <c r="U35" s="1974" t="s">
        <v>274</v>
      </c>
      <c r="V35" s="1975"/>
      <c r="W35" s="955"/>
      <c r="X35" s="2015" t="s">
        <v>213</v>
      </c>
      <c r="Y35" s="2004"/>
    </row>
    <row r="36" spans="1:25" s="3" customFormat="1" x14ac:dyDescent="0.2">
      <c r="A36" s="2"/>
      <c r="B36" s="330" t="s">
        <v>70</v>
      </c>
      <c r="C36" s="184"/>
      <c r="D36" s="93"/>
      <c r="E36" s="31"/>
      <c r="F36" s="31"/>
      <c r="G36" s="239"/>
      <c r="H36" s="245"/>
      <c r="I36" s="138"/>
      <c r="J36" s="138"/>
      <c r="K36" s="243"/>
      <c r="L36" s="138"/>
      <c r="M36" s="243"/>
      <c r="N36" s="244"/>
      <c r="O36" s="138"/>
      <c r="P36" s="244"/>
      <c r="Q36" s="138"/>
      <c r="R36" s="244"/>
      <c r="S36" s="138"/>
      <c r="T36" s="244"/>
      <c r="U36" s="138"/>
      <c r="V36" s="140"/>
      <c r="W36" s="955"/>
      <c r="X36" s="28"/>
      <c r="Y36" s="930"/>
    </row>
    <row r="37" spans="1:25" s="3" customFormat="1" x14ac:dyDescent="0.2">
      <c r="A37" s="2"/>
      <c r="B37" s="331" t="s">
        <v>71</v>
      </c>
      <c r="C37" s="54"/>
      <c r="D37" s="188">
        <v>732761</v>
      </c>
      <c r="E37" s="30"/>
      <c r="F37" s="205">
        <v>801609</v>
      </c>
      <c r="G37" s="243"/>
      <c r="H37" s="416">
        <v>808269</v>
      </c>
      <c r="I37" s="138"/>
      <c r="J37" s="451">
        <v>808643</v>
      </c>
      <c r="K37" s="243"/>
      <c r="L37" s="451">
        <f>886252+35538</f>
        <v>921790</v>
      </c>
      <c r="M37" s="243"/>
      <c r="N37" s="416">
        <f>996473+37978</f>
        <v>1034451</v>
      </c>
      <c r="O37" s="138"/>
      <c r="P37" s="416">
        <v>1110200</v>
      </c>
      <c r="Q37" s="138"/>
      <c r="R37" s="416">
        <v>1134128</v>
      </c>
      <c r="S37" s="138"/>
      <c r="T37" s="416">
        <v>1146054</v>
      </c>
      <c r="U37" s="138"/>
      <c r="V37" s="294">
        <v>1177637</v>
      </c>
      <c r="W37" s="955"/>
      <c r="X37" s="30"/>
      <c r="Y37" s="947">
        <f>AVERAGE(V37,J37,R37,P37,N37)</f>
        <v>1053011.8</v>
      </c>
    </row>
    <row r="38" spans="1:25" s="3" customFormat="1" x14ac:dyDescent="0.2">
      <c r="A38" s="2"/>
      <c r="B38" s="331" t="s">
        <v>247</v>
      </c>
      <c r="C38" s="54"/>
      <c r="D38" s="188"/>
      <c r="E38" s="30"/>
      <c r="F38" s="205"/>
      <c r="G38" s="243"/>
      <c r="H38" s="416"/>
      <c r="I38" s="138"/>
      <c r="J38" s="451"/>
      <c r="K38" s="243"/>
      <c r="L38" s="451"/>
      <c r="M38" s="243"/>
      <c r="N38" s="416"/>
      <c r="O38" s="138"/>
      <c r="P38" s="416"/>
      <c r="Q38" s="138"/>
      <c r="R38" s="416"/>
      <c r="S38" s="138"/>
      <c r="T38" s="416"/>
      <c r="U38" s="138"/>
      <c r="V38" s="294"/>
      <c r="W38" s="955"/>
      <c r="X38" s="30"/>
      <c r="Y38" s="947"/>
    </row>
    <row r="39" spans="1:25" s="3" customFormat="1" ht="36" x14ac:dyDescent="0.2">
      <c r="A39" s="2"/>
      <c r="B39" s="332" t="s">
        <v>248</v>
      </c>
      <c r="C39" s="184"/>
      <c r="D39" s="189">
        <v>83619</v>
      </c>
      <c r="E39" s="31"/>
      <c r="F39" s="206">
        <v>84606</v>
      </c>
      <c r="G39" s="239"/>
      <c r="H39" s="369">
        <v>99753</v>
      </c>
      <c r="I39" s="139"/>
      <c r="J39" s="347">
        <v>89677</v>
      </c>
      <c r="K39" s="239"/>
      <c r="L39" s="347">
        <v>74672</v>
      </c>
      <c r="M39" s="239"/>
      <c r="N39" s="369">
        <v>74632</v>
      </c>
      <c r="O39" s="139"/>
      <c r="P39" s="369">
        <v>152215</v>
      </c>
      <c r="Q39" s="139"/>
      <c r="R39" s="369">
        <v>153009</v>
      </c>
      <c r="S39" s="139"/>
      <c r="T39" s="369">
        <v>153806</v>
      </c>
      <c r="U39" s="139"/>
      <c r="V39" s="282">
        <v>154246</v>
      </c>
      <c r="W39" s="955"/>
      <c r="X39" s="31"/>
      <c r="Y39" s="947">
        <f>AVERAGE(V39,J39,R39,P39,N39)</f>
        <v>124755.8</v>
      </c>
    </row>
    <row r="40" spans="1:25" s="3" customFormat="1" x14ac:dyDescent="0.2">
      <c r="A40" s="2"/>
      <c r="B40" s="333" t="s">
        <v>72</v>
      </c>
      <c r="C40" s="187"/>
      <c r="D40" s="190">
        <f>SUM(D37:D39)</f>
        <v>816380</v>
      </c>
      <c r="E40" s="90"/>
      <c r="F40" s="207">
        <f>SUM(F37:F39)</f>
        <v>886215</v>
      </c>
      <c r="G40" s="262"/>
      <c r="H40" s="263">
        <f>SUM(H37:H39)</f>
        <v>908022</v>
      </c>
      <c r="I40" s="250"/>
      <c r="J40" s="249">
        <f>SUM(J37:J39)</f>
        <v>898320</v>
      </c>
      <c r="K40" s="262"/>
      <c r="L40" s="249">
        <f>SUM(L37:L39)</f>
        <v>996462</v>
      </c>
      <c r="M40" s="262"/>
      <c r="N40" s="263">
        <f>SUM(N37:N39)</f>
        <v>1109083</v>
      </c>
      <c r="O40" s="250"/>
      <c r="P40" s="263">
        <f>SUM(P37:P39)</f>
        <v>1262415</v>
      </c>
      <c r="Q40" s="250"/>
      <c r="R40" s="263">
        <f>SUM(R37:R39)</f>
        <v>1287137</v>
      </c>
      <c r="S40" s="250"/>
      <c r="T40" s="263">
        <f>SUM(T37:T39)</f>
        <v>1299860</v>
      </c>
      <c r="U40" s="250"/>
      <c r="V40" s="149">
        <f>SUM(V37:V39)</f>
        <v>1331883</v>
      </c>
      <c r="W40" s="955"/>
      <c r="X40" s="31"/>
      <c r="Y40" s="947">
        <f>AVERAGE(V40,J40,R40,P40,N40)</f>
        <v>1177767.6000000001</v>
      </c>
    </row>
    <row r="41" spans="1:25" s="3" customFormat="1" x14ac:dyDescent="0.2">
      <c r="A41" s="2"/>
      <c r="B41" s="330" t="s">
        <v>73</v>
      </c>
      <c r="C41" s="184"/>
      <c r="D41" s="189"/>
      <c r="E41" s="31"/>
      <c r="F41" s="206"/>
      <c r="G41" s="239"/>
      <c r="H41" s="369"/>
      <c r="I41" s="139"/>
      <c r="J41" s="347"/>
      <c r="K41" s="239"/>
      <c r="L41" s="347"/>
      <c r="M41" s="239"/>
      <c r="N41" s="369"/>
      <c r="O41" s="139"/>
      <c r="P41" s="369"/>
      <c r="Q41" s="139"/>
      <c r="R41" s="369"/>
      <c r="S41" s="139"/>
      <c r="T41" s="369"/>
      <c r="U41" s="139"/>
      <c r="V41" s="282"/>
      <c r="W41" s="955"/>
      <c r="X41" s="31"/>
      <c r="Y41" s="947"/>
    </row>
    <row r="42" spans="1:25" s="3" customFormat="1" x14ac:dyDescent="0.2">
      <c r="A42" s="2"/>
      <c r="B42" s="331" t="s">
        <v>71</v>
      </c>
      <c r="C42" s="184"/>
      <c r="D42" s="189"/>
      <c r="E42" s="31"/>
      <c r="F42" s="206"/>
      <c r="G42" s="239"/>
      <c r="H42" s="369">
        <v>155115</v>
      </c>
      <c r="I42" s="139"/>
      <c r="J42" s="347">
        <v>164030</v>
      </c>
      <c r="K42" s="239"/>
      <c r="L42" s="347">
        <v>126749</v>
      </c>
      <c r="M42" s="239"/>
      <c r="N42" s="369">
        <f>118994+12961</f>
        <v>131955</v>
      </c>
      <c r="O42" s="139"/>
      <c r="P42" s="369">
        <v>0</v>
      </c>
      <c r="Q42" s="139"/>
      <c r="R42" s="369">
        <v>0</v>
      </c>
      <c r="S42" s="139"/>
      <c r="T42" s="369"/>
      <c r="U42" s="139"/>
      <c r="V42" s="282"/>
      <c r="W42" s="955"/>
      <c r="X42" s="31"/>
      <c r="Y42" s="1008">
        <f>AVERAGE(V42,J42,R42,P42,N42)</f>
        <v>73996.25</v>
      </c>
    </row>
    <row r="43" spans="1:25" s="3" customFormat="1" x14ac:dyDescent="0.2">
      <c r="A43" s="2"/>
      <c r="B43" s="331" t="s">
        <v>247</v>
      </c>
      <c r="C43" s="184"/>
      <c r="D43" s="189"/>
      <c r="E43" s="31"/>
      <c r="F43" s="206"/>
      <c r="G43" s="239"/>
      <c r="H43" s="369"/>
      <c r="I43" s="139"/>
      <c r="J43" s="347"/>
      <c r="K43" s="239"/>
      <c r="L43" s="347"/>
      <c r="M43" s="239"/>
      <c r="N43" s="369"/>
      <c r="O43" s="139"/>
      <c r="P43" s="369"/>
      <c r="Q43" s="139"/>
      <c r="R43" s="369"/>
      <c r="S43" s="139"/>
      <c r="T43" s="369"/>
      <c r="U43" s="139"/>
      <c r="V43" s="282"/>
      <c r="W43" s="955"/>
      <c r="X43" s="31"/>
      <c r="Y43" s="1008"/>
    </row>
    <row r="44" spans="1:25" s="3" customFormat="1" ht="36" x14ac:dyDescent="0.2">
      <c r="A44" s="2"/>
      <c r="B44" s="332" t="s">
        <v>248</v>
      </c>
      <c r="C44" s="184"/>
      <c r="D44" s="189">
        <v>0</v>
      </c>
      <c r="E44" s="31"/>
      <c r="F44" s="206">
        <v>0</v>
      </c>
      <c r="G44" s="239"/>
      <c r="H44" s="369">
        <v>34807</v>
      </c>
      <c r="I44" s="139"/>
      <c r="J44" s="347">
        <v>148192</v>
      </c>
      <c r="K44" s="239"/>
      <c r="L44" s="347">
        <f>114409+37042</f>
        <v>151451</v>
      </c>
      <c r="M44" s="239"/>
      <c r="N44" s="369">
        <v>77643</v>
      </c>
      <c r="O44" s="139"/>
      <c r="P44" s="369">
        <v>0</v>
      </c>
      <c r="Q44" s="139"/>
      <c r="R44" s="369">
        <v>0</v>
      </c>
      <c r="S44" s="139"/>
      <c r="T44" s="369"/>
      <c r="U44" s="139"/>
      <c r="V44" s="282"/>
      <c r="W44" s="955"/>
      <c r="X44" s="31"/>
      <c r="Y44" s="947">
        <f>AVERAGE(V44,J44,R44,P44,N44)</f>
        <v>56458.75</v>
      </c>
    </row>
    <row r="45" spans="1:25" s="3" customFormat="1" x14ac:dyDescent="0.2">
      <c r="A45" s="2"/>
      <c r="B45" s="333" t="s">
        <v>74</v>
      </c>
      <c r="C45" s="187"/>
      <c r="D45" s="190">
        <f>SUM(D42:D44)</f>
        <v>0</v>
      </c>
      <c r="E45" s="90"/>
      <c r="F45" s="207">
        <f>SUM(F42:F44)</f>
        <v>0</v>
      </c>
      <c r="G45" s="262"/>
      <c r="H45" s="263">
        <f>SUM(H42:H44)</f>
        <v>189922</v>
      </c>
      <c r="I45" s="250"/>
      <c r="J45" s="249">
        <f>SUM(J42:J44)</f>
        <v>312222</v>
      </c>
      <c r="K45" s="262"/>
      <c r="L45" s="249">
        <f>SUM(L42:L44)</f>
        <v>278200</v>
      </c>
      <c r="M45" s="262"/>
      <c r="N45" s="263">
        <f>SUM(N42:N44)</f>
        <v>209598</v>
      </c>
      <c r="O45" s="250"/>
      <c r="P45" s="263">
        <f>SUM(P42:P44)</f>
        <v>0</v>
      </c>
      <c r="Q45" s="250"/>
      <c r="R45" s="263">
        <f>SUM(R42:R44)</f>
        <v>0</v>
      </c>
      <c r="S45" s="250"/>
      <c r="T45" s="263">
        <f>SUM(T42:T44)</f>
        <v>0</v>
      </c>
      <c r="U45" s="250"/>
      <c r="V45" s="149">
        <f>SUM(V42:V44)</f>
        <v>0</v>
      </c>
      <c r="W45" s="955"/>
      <c r="X45" s="31"/>
      <c r="Y45" s="1008">
        <f>AVERAGE(V45,J45,R45,P45,N45)</f>
        <v>104364</v>
      </c>
    </row>
    <row r="46" spans="1:25" s="3" customFormat="1" ht="13.5" thickBot="1" x14ac:dyDescent="0.25">
      <c r="A46" s="2"/>
      <c r="B46" s="1493" t="s">
        <v>177</v>
      </c>
      <c r="C46" s="239"/>
      <c r="D46" s="263">
        <f>SUM(D40,D45)</f>
        <v>816380</v>
      </c>
      <c r="E46" s="31"/>
      <c r="F46" s="207">
        <f>SUM(F40,F45)</f>
        <v>886215</v>
      </c>
      <c r="G46" s="239"/>
      <c r="H46" s="263">
        <f>SUM(H40,H45)</f>
        <v>1097944</v>
      </c>
      <c r="I46" s="139"/>
      <c r="J46" s="249">
        <f>SUM(J40,J45)</f>
        <v>1210542</v>
      </c>
      <c r="K46" s="239"/>
      <c r="L46" s="249">
        <f>SUM(L40,L45)</f>
        <v>1274662</v>
      </c>
      <c r="M46" s="239"/>
      <c r="N46" s="263">
        <f>SUM(N40,N45)</f>
        <v>1318681</v>
      </c>
      <c r="O46" s="139"/>
      <c r="P46" s="263">
        <f>SUM(P40,P45)</f>
        <v>1262415</v>
      </c>
      <c r="Q46" s="139"/>
      <c r="R46" s="263">
        <f>SUM(R40,R45)</f>
        <v>1287137</v>
      </c>
      <c r="S46" s="139"/>
      <c r="T46" s="263">
        <f>SUM(T40,T45)</f>
        <v>1299860</v>
      </c>
      <c r="U46" s="139"/>
      <c r="V46" s="149">
        <f>SUM(V40,V45)</f>
        <v>1331883</v>
      </c>
      <c r="W46" s="955"/>
      <c r="X46" s="327"/>
      <c r="Y46" s="1008">
        <f>AVERAGE(V46,J46,R46,P46,N46)</f>
        <v>1282131.6000000001</v>
      </c>
    </row>
    <row r="47" spans="1:25" s="3" customFormat="1" ht="12" x14ac:dyDescent="0.2">
      <c r="B47" s="81" t="s">
        <v>259</v>
      </c>
      <c r="C47" s="265"/>
      <c r="D47" s="248"/>
      <c r="E47" s="36"/>
      <c r="F47" s="36"/>
      <c r="G47" s="265"/>
      <c r="H47" s="248"/>
      <c r="I47" s="151"/>
      <c r="J47" s="151"/>
      <c r="K47" s="265"/>
      <c r="L47" s="151"/>
      <c r="M47" s="265"/>
      <c r="N47" s="248"/>
      <c r="O47" s="151"/>
      <c r="P47" s="248"/>
      <c r="Q47" s="151"/>
      <c r="R47" s="248"/>
      <c r="S47" s="151"/>
      <c r="T47" s="248"/>
      <c r="U47" s="151"/>
      <c r="V47" s="152"/>
      <c r="W47" s="955"/>
      <c r="X47" s="28"/>
      <c r="Y47" s="978"/>
    </row>
    <row r="48" spans="1:25" x14ac:dyDescent="0.2">
      <c r="A48" s="3"/>
      <c r="B48" s="78" t="s">
        <v>14</v>
      </c>
      <c r="C48" s="309"/>
      <c r="D48" s="466">
        <f>348097+571921</f>
        <v>920018</v>
      </c>
      <c r="E48" s="64"/>
      <c r="F48" s="487">
        <v>974138</v>
      </c>
      <c r="G48" s="488"/>
      <c r="H48" s="489">
        <v>1078872.1200000001</v>
      </c>
      <c r="I48" s="465"/>
      <c r="J48" s="487">
        <v>1054056.0900000001</v>
      </c>
      <c r="K48" s="488"/>
      <c r="L48" s="837">
        <f>45275+73998+1197596</f>
        <v>1316869</v>
      </c>
      <c r="M48" s="309"/>
      <c r="N48" s="1140">
        <v>1370299</v>
      </c>
      <c r="O48" s="415"/>
      <c r="P48" s="1266">
        <v>1482313</v>
      </c>
      <c r="Q48" s="828"/>
      <c r="R48" s="1266">
        <v>1616380</v>
      </c>
      <c r="S48" s="828"/>
      <c r="T48" s="1266">
        <v>1540308</v>
      </c>
      <c r="U48" s="828"/>
      <c r="V48" s="1917">
        <v>1686998</v>
      </c>
      <c r="W48" s="1031"/>
      <c r="X48" s="30"/>
      <c r="Y48" s="949">
        <f>AVERAGE(L48,T48,R48,P48,N48)</f>
        <v>1465233.8</v>
      </c>
    </row>
    <row r="49" spans="1:25" ht="13.5" thickBot="1" x14ac:dyDescent="0.25">
      <c r="A49" s="3"/>
      <c r="B49" s="336" t="s">
        <v>15</v>
      </c>
      <c r="C49" s="268"/>
      <c r="D49" s="467">
        <f>3289+57074</f>
        <v>60363</v>
      </c>
      <c r="E49" s="40"/>
      <c r="F49" s="516">
        <f>320+56927</f>
        <v>57247</v>
      </c>
      <c r="G49" s="596"/>
      <c r="H49" s="509">
        <v>0</v>
      </c>
      <c r="I49" s="237"/>
      <c r="J49" s="516">
        <v>0</v>
      </c>
      <c r="K49" s="596"/>
      <c r="L49" s="827">
        <f>334</f>
        <v>334</v>
      </c>
      <c r="M49" s="268"/>
      <c r="N49" s="1152">
        <f>90705+22676</f>
        <v>113381</v>
      </c>
      <c r="O49" s="154"/>
      <c r="P49" s="1152">
        <f>11102</f>
        <v>11102</v>
      </c>
      <c r="Q49" s="1481"/>
      <c r="R49" s="1152">
        <v>19571.41</v>
      </c>
      <c r="S49" s="1481"/>
      <c r="T49" s="1152">
        <f>2326.92+9825.67</f>
        <v>12152.59</v>
      </c>
      <c r="U49" s="1481"/>
      <c r="V49" s="1918">
        <v>2867</v>
      </c>
      <c r="W49" s="1031"/>
      <c r="X49" s="113"/>
      <c r="Y49" s="949">
        <f>AVERAGE(L49,T49,R49,P49,N49)</f>
        <v>31308.2</v>
      </c>
    </row>
    <row r="50" spans="1:25" ht="13.5" customHeight="1" x14ac:dyDescent="0.2">
      <c r="A50" s="3"/>
      <c r="B50" s="71"/>
      <c r="C50" s="193" t="s">
        <v>133</v>
      </c>
      <c r="D50" s="194" t="s">
        <v>139</v>
      </c>
      <c r="E50" s="166" t="s">
        <v>133</v>
      </c>
      <c r="F50" s="84" t="s">
        <v>139</v>
      </c>
      <c r="G50" s="308" t="s">
        <v>133</v>
      </c>
      <c r="H50" s="417" t="s">
        <v>139</v>
      </c>
      <c r="I50" s="414" t="s">
        <v>133</v>
      </c>
      <c r="J50" s="352" t="s">
        <v>139</v>
      </c>
      <c r="K50" s="308" t="s">
        <v>133</v>
      </c>
      <c r="L50" s="352" t="s">
        <v>139</v>
      </c>
      <c r="M50" s="308" t="s">
        <v>133</v>
      </c>
      <c r="N50" s="417" t="s">
        <v>139</v>
      </c>
      <c r="O50" s="414" t="s">
        <v>133</v>
      </c>
      <c r="P50" s="417" t="s">
        <v>139</v>
      </c>
      <c r="Q50" s="414" t="s">
        <v>133</v>
      </c>
      <c r="R50" s="417" t="s">
        <v>139</v>
      </c>
      <c r="S50" s="414" t="s">
        <v>133</v>
      </c>
      <c r="T50" s="417" t="s">
        <v>139</v>
      </c>
      <c r="U50" s="414" t="s">
        <v>133</v>
      </c>
      <c r="V50" s="295" t="s">
        <v>139</v>
      </c>
      <c r="W50" s="1031"/>
      <c r="X50" s="323" t="s">
        <v>133</v>
      </c>
      <c r="Y50" s="295" t="s">
        <v>139</v>
      </c>
    </row>
    <row r="51" spans="1:25" s="3" customFormat="1" ht="11.45" customHeight="1" x14ac:dyDescent="0.2">
      <c r="B51" s="80" t="s">
        <v>67</v>
      </c>
      <c r="C51" s="475">
        <v>2</v>
      </c>
      <c r="D51" s="511">
        <v>399688</v>
      </c>
      <c r="E51" s="108">
        <v>2</v>
      </c>
      <c r="F51" s="522">
        <v>379020</v>
      </c>
      <c r="G51" s="476">
        <v>3</v>
      </c>
      <c r="H51" s="439">
        <v>581296</v>
      </c>
      <c r="I51" s="477">
        <v>7</v>
      </c>
      <c r="J51" s="252">
        <v>4188913</v>
      </c>
      <c r="K51" s="476">
        <f>13+4</f>
        <v>17</v>
      </c>
      <c r="L51" s="525">
        <f>208814+1134581</f>
        <v>1343395</v>
      </c>
      <c r="M51" s="532">
        <v>11</v>
      </c>
      <c r="N51" s="510">
        <v>1676505</v>
      </c>
      <c r="O51" s="532">
        <v>8</v>
      </c>
      <c r="P51" s="510">
        <v>1424290</v>
      </c>
      <c r="Q51" s="532">
        <v>11</v>
      </c>
      <c r="R51" s="510">
        <v>1336536</v>
      </c>
      <c r="S51" s="532">
        <v>8</v>
      </c>
      <c r="T51" s="510">
        <v>890369</v>
      </c>
      <c r="U51" s="1445"/>
      <c r="V51" s="1482"/>
      <c r="W51" s="955"/>
      <c r="X51" s="108">
        <f>AVERAGE(S51,Q51,O51,M51,K51)</f>
        <v>11</v>
      </c>
      <c r="Y51" s="951">
        <f>AVERAGE(T51,R51,P51,N51,L51)</f>
        <v>1334219</v>
      </c>
    </row>
    <row r="52" spans="1:25" s="3" customFormat="1" ht="11.45" customHeight="1" x14ac:dyDescent="0.2">
      <c r="B52" s="80"/>
      <c r="C52" s="916"/>
      <c r="D52" s="197"/>
      <c r="E52" s="838"/>
      <c r="F52" s="306"/>
      <c r="G52" s="551"/>
      <c r="H52" s="418"/>
      <c r="I52" s="255"/>
      <c r="J52" s="528"/>
      <c r="K52" s="551"/>
      <c r="L52" s="828"/>
      <c r="M52" s="530"/>
      <c r="N52" s="545"/>
      <c r="O52" s="530"/>
      <c r="P52" s="545"/>
      <c r="Q52" s="530"/>
      <c r="R52" s="545"/>
      <c r="S52" s="530"/>
      <c r="T52" s="545"/>
      <c r="U52" s="1446"/>
      <c r="V52" s="1483"/>
      <c r="W52" s="955"/>
      <c r="X52" s="1013"/>
      <c r="Y52" s="949"/>
    </row>
    <row r="53" spans="1:25" s="3" customFormat="1" thickBot="1" x14ac:dyDescent="0.25">
      <c r="B53" s="167" t="s">
        <v>16</v>
      </c>
      <c r="C53" s="913">
        <v>3</v>
      </c>
      <c r="D53" s="523">
        <v>97198</v>
      </c>
      <c r="E53" s="839">
        <v>1</v>
      </c>
      <c r="F53" s="322">
        <v>0</v>
      </c>
      <c r="G53" s="552">
        <v>0</v>
      </c>
      <c r="H53" s="524">
        <v>9931</v>
      </c>
      <c r="I53" s="550">
        <v>1</v>
      </c>
      <c r="J53" s="253">
        <v>26477</v>
      </c>
      <c r="K53" s="552">
        <f>6+5</f>
        <v>11</v>
      </c>
      <c r="L53" s="253">
        <f>545503+178355</f>
        <v>723858</v>
      </c>
      <c r="M53" s="552">
        <v>1</v>
      </c>
      <c r="N53" s="509">
        <v>132002</v>
      </c>
      <c r="O53" s="552">
        <v>6</v>
      </c>
      <c r="P53" s="509">
        <v>317481</v>
      </c>
      <c r="Q53" s="552">
        <v>3</v>
      </c>
      <c r="R53" s="509">
        <v>198395</v>
      </c>
      <c r="S53" s="552">
        <v>6</v>
      </c>
      <c r="T53" s="509">
        <v>268607</v>
      </c>
      <c r="U53" s="1447"/>
      <c r="V53" s="1484"/>
      <c r="W53" s="955"/>
      <c r="X53" s="839">
        <f>AVERAGE(S53,Q53,O53,M53,K53)</f>
        <v>5.4</v>
      </c>
      <c r="Y53" s="1009">
        <f>AVERAGE(T53,R53,P53,N53,L53)</f>
        <v>328068.59999999998</v>
      </c>
    </row>
    <row r="54" spans="1:25" s="3" customFormat="1" thickTop="1" x14ac:dyDescent="0.2">
      <c r="B54" s="81" t="s">
        <v>84</v>
      </c>
      <c r="C54" s="199"/>
      <c r="D54" s="209"/>
      <c r="E54" s="45"/>
      <c r="F54" s="323"/>
      <c r="G54" s="269"/>
      <c r="H54" s="419"/>
      <c r="I54" s="156"/>
      <c r="J54" s="307"/>
      <c r="K54" s="269"/>
      <c r="L54" s="307"/>
      <c r="M54" s="269"/>
      <c r="N54" s="419"/>
      <c r="O54" s="156"/>
      <c r="P54" s="419"/>
      <c r="Q54" s="156"/>
      <c r="R54" s="419"/>
      <c r="S54" s="156"/>
      <c r="T54" s="419"/>
      <c r="U54" s="156"/>
      <c r="V54" s="158"/>
      <c r="W54" s="955"/>
      <c r="X54" s="109"/>
      <c r="Y54" s="1030"/>
    </row>
    <row r="55" spans="1:25" s="3" customFormat="1" ht="12" x14ac:dyDescent="0.2">
      <c r="B55" s="337" t="s">
        <v>35</v>
      </c>
      <c r="C55" s="201"/>
      <c r="D55" s="210"/>
      <c r="E55" s="97"/>
      <c r="F55" s="34"/>
      <c r="G55" s="271"/>
      <c r="H55" s="420"/>
      <c r="I55" s="157"/>
      <c r="J55" s="135"/>
      <c r="K55" s="271"/>
      <c r="L55" s="135"/>
      <c r="M55" s="271"/>
      <c r="N55" s="420"/>
      <c r="O55" s="157"/>
      <c r="P55" s="420"/>
      <c r="Q55" s="157"/>
      <c r="R55" s="420"/>
      <c r="S55" s="157"/>
      <c r="T55" s="420"/>
      <c r="U55" s="157"/>
      <c r="V55" s="287"/>
      <c r="W55" s="955"/>
      <c r="X55" s="720"/>
      <c r="Y55" s="1011"/>
    </row>
    <row r="56" spans="1:25" s="3" customFormat="1" ht="12" x14ac:dyDescent="0.2">
      <c r="B56" s="338" t="s">
        <v>85</v>
      </c>
      <c r="C56" s="202"/>
      <c r="D56" s="232">
        <v>15200.25</v>
      </c>
      <c r="E56" s="35"/>
      <c r="F56" s="345">
        <v>9138.7999999999993</v>
      </c>
      <c r="G56" s="272"/>
      <c r="H56" s="534">
        <v>7140</v>
      </c>
      <c r="I56" s="254"/>
      <c r="J56" s="542">
        <v>8655.9500000000007</v>
      </c>
      <c r="K56" s="541"/>
      <c r="L56" s="540">
        <v>10853.95</v>
      </c>
      <c r="M56" s="541"/>
      <c r="N56" s="546">
        <v>13288</v>
      </c>
      <c r="O56" s="508"/>
      <c r="P56" s="546">
        <v>9704</v>
      </c>
      <c r="Q56" s="508"/>
      <c r="R56" s="546">
        <v>14251</v>
      </c>
      <c r="S56" s="508"/>
      <c r="T56" s="546">
        <v>7992.43</v>
      </c>
      <c r="U56" s="508"/>
      <c r="V56" s="1577"/>
      <c r="W56" s="955"/>
      <c r="X56" s="1013"/>
      <c r="Y56" s="949">
        <f>AVERAGE(L56,T56,R56,P56,N56)</f>
        <v>11217.876</v>
      </c>
    </row>
    <row r="57" spans="1:25" s="3" customFormat="1" thickBot="1" x14ac:dyDescent="0.25">
      <c r="B57" s="339" t="s">
        <v>86</v>
      </c>
      <c r="C57" s="204"/>
      <c r="D57" s="211">
        <v>0</v>
      </c>
      <c r="E57" s="37"/>
      <c r="F57" s="324">
        <v>0</v>
      </c>
      <c r="G57" s="274"/>
      <c r="H57" s="431">
        <v>0</v>
      </c>
      <c r="I57" s="260"/>
      <c r="J57" s="324">
        <v>0</v>
      </c>
      <c r="K57" s="274"/>
      <c r="L57" s="455">
        <v>0</v>
      </c>
      <c r="M57" s="274"/>
      <c r="N57" s="485">
        <v>0</v>
      </c>
      <c r="O57" s="260"/>
      <c r="P57" s="485">
        <v>0</v>
      </c>
      <c r="Q57" s="260"/>
      <c r="R57" s="485">
        <v>0</v>
      </c>
      <c r="S57" s="260"/>
      <c r="T57" s="485">
        <v>0</v>
      </c>
      <c r="U57" s="260"/>
      <c r="V57" s="1578"/>
      <c r="X57" s="1015"/>
      <c r="Y57" s="1024">
        <f>AVERAGE(L57,T57,R57,P57,N57)</f>
        <v>0</v>
      </c>
    </row>
    <row r="58" spans="1:25" ht="13.5" thickTop="1" x14ac:dyDescent="0.2">
      <c r="A58" s="3"/>
      <c r="B58" s="96"/>
      <c r="C58" s="97"/>
      <c r="D58" s="98"/>
      <c r="E58" s="97"/>
      <c r="F58" s="34"/>
      <c r="G58" s="157"/>
      <c r="H58" s="135"/>
      <c r="I58" s="157"/>
      <c r="J58" s="135"/>
      <c r="K58" s="157"/>
      <c r="L58" s="135"/>
      <c r="M58" s="157"/>
      <c r="N58" s="135"/>
      <c r="O58" s="157"/>
      <c r="P58" s="135"/>
      <c r="Q58" s="157"/>
      <c r="R58" s="135"/>
      <c r="S58" s="157"/>
      <c r="T58" s="135"/>
      <c r="U58" s="157"/>
      <c r="V58" s="135"/>
    </row>
    <row r="59" spans="1:25" x14ac:dyDescent="0.2">
      <c r="A59" s="2" t="s">
        <v>76</v>
      </c>
      <c r="B59" s="96"/>
      <c r="C59" s="97"/>
      <c r="D59" s="98"/>
      <c r="E59" s="97"/>
      <c r="F59" s="34"/>
      <c r="G59" s="157"/>
      <c r="H59" s="135"/>
      <c r="I59" s="157"/>
      <c r="J59" s="135"/>
      <c r="K59" s="157"/>
      <c r="L59" s="135"/>
      <c r="M59" s="157"/>
      <c r="N59" s="135"/>
      <c r="O59" s="157"/>
      <c r="P59" s="135"/>
      <c r="Q59" s="157"/>
      <c r="R59" s="135"/>
      <c r="S59" s="157"/>
      <c r="T59" s="135"/>
      <c r="U59" s="157"/>
      <c r="V59" s="135"/>
    </row>
    <row r="60" spans="1:25" ht="13.5" thickBot="1" x14ac:dyDescent="0.25">
      <c r="A60" s="3"/>
      <c r="B60" s="96"/>
      <c r="C60" s="97"/>
      <c r="D60" s="98"/>
      <c r="E60" s="97"/>
      <c r="F60" s="34"/>
      <c r="G60" s="157"/>
      <c r="H60" s="135"/>
      <c r="I60" s="157"/>
      <c r="J60" s="135"/>
      <c r="K60" s="157"/>
      <c r="L60" s="135"/>
      <c r="M60" s="157"/>
      <c r="N60" s="135"/>
      <c r="O60" s="157"/>
      <c r="P60" s="135"/>
      <c r="Q60" s="157"/>
      <c r="R60" s="135"/>
      <c r="S60" s="157"/>
      <c r="T60" s="135"/>
      <c r="U60" s="157"/>
      <c r="V60" s="135"/>
    </row>
    <row r="61" spans="1:25" s="3" customFormat="1" ht="14.25" customHeight="1" thickTop="1" thickBot="1" x14ac:dyDescent="0.25">
      <c r="B61" s="19"/>
      <c r="C61" s="2013" t="s">
        <v>49</v>
      </c>
      <c r="D61" s="2014"/>
      <c r="E61" s="2015" t="s">
        <v>50</v>
      </c>
      <c r="F61" s="2015"/>
      <c r="G61" s="2002" t="s">
        <v>141</v>
      </c>
      <c r="H61" s="1982"/>
      <c r="I61" s="2002" t="s">
        <v>152</v>
      </c>
      <c r="J61" s="1974"/>
      <c r="K61" s="2002" t="s">
        <v>154</v>
      </c>
      <c r="L61" s="1974"/>
      <c r="M61" s="2002" t="s">
        <v>171</v>
      </c>
      <c r="N61" s="1982"/>
      <c r="O61" s="1974" t="s">
        <v>227</v>
      </c>
      <c r="P61" s="1982"/>
      <c r="Q61" s="1974" t="s">
        <v>237</v>
      </c>
      <c r="R61" s="1982"/>
      <c r="S61" s="1974" t="s">
        <v>272</v>
      </c>
      <c r="T61" s="1982"/>
      <c r="U61" s="1974" t="s">
        <v>274</v>
      </c>
      <c r="V61" s="1975"/>
      <c r="X61" s="2003" t="s">
        <v>213</v>
      </c>
      <c r="Y61" s="2004"/>
    </row>
    <row r="62" spans="1:25" s="3" customFormat="1" ht="12" x14ac:dyDescent="0.2">
      <c r="B62" s="16" t="s">
        <v>53</v>
      </c>
      <c r="C62" s="54"/>
      <c r="D62" s="92"/>
      <c r="E62" s="30"/>
      <c r="F62" s="30"/>
      <c r="G62" s="243"/>
      <c r="H62" s="244"/>
      <c r="I62" s="243"/>
      <c r="J62" s="138"/>
      <c r="K62" s="243"/>
      <c r="L62" s="138"/>
      <c r="M62" s="243"/>
      <c r="N62" s="244"/>
      <c r="O62" s="138"/>
      <c r="P62" s="244"/>
      <c r="Q62" s="138"/>
      <c r="R62" s="244"/>
      <c r="S62" s="138"/>
      <c r="T62" s="244"/>
      <c r="U62" s="138"/>
      <c r="V62" s="140"/>
      <c r="X62" s="831"/>
      <c r="Y62" s="930"/>
    </row>
    <row r="63" spans="1:25" s="3" customFormat="1" ht="12" x14ac:dyDescent="0.2">
      <c r="B63" s="356" t="s">
        <v>54</v>
      </c>
      <c r="C63" s="184"/>
      <c r="D63" s="165"/>
      <c r="E63" s="31"/>
      <c r="F63" s="171"/>
      <c r="G63" s="239"/>
      <c r="H63" s="261"/>
      <c r="I63" s="239"/>
      <c r="J63" s="183"/>
      <c r="K63" s="239"/>
      <c r="L63" s="183"/>
      <c r="M63" s="239"/>
      <c r="N63" s="261"/>
      <c r="O63" s="139"/>
      <c r="P63" s="261"/>
      <c r="Q63" s="139"/>
      <c r="R63" s="261"/>
      <c r="S63" s="139"/>
      <c r="T63" s="261"/>
      <c r="U63" s="139"/>
      <c r="V63" s="142"/>
      <c r="X63" s="24"/>
      <c r="Y63" s="579"/>
    </row>
    <row r="64" spans="1:25" s="3" customFormat="1" ht="12" x14ac:dyDescent="0.2">
      <c r="B64" s="169" t="s">
        <v>55</v>
      </c>
      <c r="C64" s="184"/>
      <c r="D64" s="165">
        <v>9</v>
      </c>
      <c r="E64" s="31"/>
      <c r="F64" s="171">
        <v>10</v>
      </c>
      <c r="G64" s="239"/>
      <c r="H64" s="261">
        <v>9</v>
      </c>
      <c r="I64" s="239"/>
      <c r="J64" s="183">
        <v>9</v>
      </c>
      <c r="K64" s="239"/>
      <c r="L64" s="183">
        <v>11</v>
      </c>
      <c r="M64" s="239"/>
      <c r="N64" s="261">
        <v>12</v>
      </c>
      <c r="O64" s="139"/>
      <c r="P64" s="261">
        <v>13</v>
      </c>
      <c r="Q64" s="139"/>
      <c r="R64" s="261">
        <v>14</v>
      </c>
      <c r="S64" s="139"/>
      <c r="T64" s="261">
        <v>14</v>
      </c>
      <c r="U64" s="139"/>
      <c r="V64" s="142">
        <v>14</v>
      </c>
      <c r="X64" s="12"/>
      <c r="Y64" s="1113">
        <f>AVERAGE(V64,T64,R64,P64,N64)</f>
        <v>13.4</v>
      </c>
    </row>
    <row r="65" spans="2:25" s="3" customFormat="1" ht="12" x14ac:dyDescent="0.2">
      <c r="B65" s="169" t="s">
        <v>181</v>
      </c>
      <c r="C65" s="184"/>
      <c r="D65" s="165">
        <v>0</v>
      </c>
      <c r="E65" s="31"/>
      <c r="F65" s="171">
        <v>0</v>
      </c>
      <c r="G65" s="239"/>
      <c r="H65" s="261">
        <v>1</v>
      </c>
      <c r="I65" s="239"/>
      <c r="J65" s="183">
        <v>3</v>
      </c>
      <c r="K65" s="239"/>
      <c r="L65" s="183">
        <v>0</v>
      </c>
      <c r="M65" s="239"/>
      <c r="N65" s="261">
        <v>0</v>
      </c>
      <c r="O65" s="139"/>
      <c r="P65" s="261">
        <v>0</v>
      </c>
      <c r="Q65" s="139"/>
      <c r="R65" s="261">
        <v>1</v>
      </c>
      <c r="S65" s="139"/>
      <c r="T65" s="261">
        <v>0</v>
      </c>
      <c r="U65" s="139"/>
      <c r="V65" s="142">
        <v>0</v>
      </c>
      <c r="X65" s="12"/>
      <c r="Y65" s="1113">
        <f>AVERAGE(V65,T65,R65,P65,N65)</f>
        <v>0.2</v>
      </c>
    </row>
    <row r="66" spans="2:25" s="3" customFormat="1" ht="12" x14ac:dyDescent="0.2">
      <c r="B66" s="356" t="s">
        <v>57</v>
      </c>
      <c r="C66" s="184"/>
      <c r="D66" s="94"/>
      <c r="E66" s="31"/>
      <c r="F66" s="39"/>
      <c r="G66" s="239"/>
      <c r="H66" s="240"/>
      <c r="I66" s="239"/>
      <c r="J66" s="241"/>
      <c r="K66" s="239"/>
      <c r="L66" s="241"/>
      <c r="M66" s="239"/>
      <c r="N66" s="240"/>
      <c r="O66" s="139"/>
      <c r="P66" s="240"/>
      <c r="Q66" s="139"/>
      <c r="R66" s="240"/>
      <c r="S66" s="139"/>
      <c r="T66" s="240"/>
      <c r="U66" s="139"/>
      <c r="V66" s="143"/>
      <c r="X66" s="12"/>
      <c r="Y66" s="1113"/>
    </row>
    <row r="67" spans="2:25" s="3" customFormat="1" ht="12" x14ac:dyDescent="0.2">
      <c r="B67" s="169" t="s">
        <v>55</v>
      </c>
      <c r="C67" s="184"/>
      <c r="D67" s="94">
        <v>1</v>
      </c>
      <c r="E67" s="31"/>
      <c r="F67" s="39">
        <v>0</v>
      </c>
      <c r="G67" s="239"/>
      <c r="H67" s="240">
        <v>1</v>
      </c>
      <c r="I67" s="239"/>
      <c r="J67" s="241">
        <v>1</v>
      </c>
      <c r="K67" s="239"/>
      <c r="L67" s="241">
        <v>1</v>
      </c>
      <c r="M67" s="239"/>
      <c r="N67" s="240">
        <v>1</v>
      </c>
      <c r="O67" s="139"/>
      <c r="P67" s="240">
        <v>0</v>
      </c>
      <c r="Q67" s="139"/>
      <c r="R67" s="240">
        <v>0</v>
      </c>
      <c r="S67" s="139"/>
      <c r="T67" s="240">
        <v>0</v>
      </c>
      <c r="U67" s="139"/>
      <c r="V67" s="143">
        <v>0</v>
      </c>
      <c r="X67" s="12"/>
      <c r="Y67" s="1113">
        <f>AVERAGE(V67,T67,R67,P67,N67)</f>
        <v>0.2</v>
      </c>
    </row>
    <row r="68" spans="2:25" s="3" customFormat="1" ht="12" x14ac:dyDescent="0.2">
      <c r="B68" s="362" t="s">
        <v>181</v>
      </c>
      <c r="C68" s="184"/>
      <c r="D68" s="94">
        <v>0</v>
      </c>
      <c r="E68" s="31"/>
      <c r="F68" s="39">
        <v>0</v>
      </c>
      <c r="G68" s="239"/>
      <c r="H68" s="240">
        <v>0</v>
      </c>
      <c r="I68" s="239"/>
      <c r="J68" s="241">
        <v>1</v>
      </c>
      <c r="K68" s="239"/>
      <c r="L68" s="241">
        <v>0</v>
      </c>
      <c r="M68" s="239"/>
      <c r="N68" s="240">
        <v>0</v>
      </c>
      <c r="O68" s="139"/>
      <c r="P68" s="240">
        <v>0</v>
      </c>
      <c r="Q68" s="139"/>
      <c r="R68" s="240">
        <v>0</v>
      </c>
      <c r="S68" s="139"/>
      <c r="T68" s="240">
        <v>0</v>
      </c>
      <c r="U68" s="139"/>
      <c r="V68" s="143">
        <v>0</v>
      </c>
      <c r="X68" s="12"/>
      <c r="Y68" s="1113">
        <f>AVERAGE(V68,T68,R68,P68,N68)</f>
        <v>0</v>
      </c>
    </row>
    <row r="69" spans="2:25" s="3" customFormat="1" thickBot="1" x14ac:dyDescent="0.25">
      <c r="B69" s="104" t="s">
        <v>13</v>
      </c>
      <c r="C69" s="233"/>
      <c r="D69" s="234">
        <f>SUM(D64:D68)</f>
        <v>10</v>
      </c>
      <c r="E69" s="107"/>
      <c r="F69" s="106">
        <f>SUM(F64:F68)</f>
        <v>10</v>
      </c>
      <c r="G69" s="297"/>
      <c r="H69" s="427">
        <v>11</v>
      </c>
      <c r="I69" s="297"/>
      <c r="J69" s="454">
        <f>SUM(J64:J68)</f>
        <v>14</v>
      </c>
      <c r="K69" s="297"/>
      <c r="L69" s="454">
        <f>SUM(L64:L68)</f>
        <v>12</v>
      </c>
      <c r="M69" s="297"/>
      <c r="N69" s="427">
        <f>SUM(N64:N68)</f>
        <v>13</v>
      </c>
      <c r="O69" s="426"/>
      <c r="P69" s="427">
        <f>SUM(P64:P68)</f>
        <v>13</v>
      </c>
      <c r="Q69" s="426"/>
      <c r="R69" s="427">
        <f>SUM(R64:R68)</f>
        <v>15</v>
      </c>
      <c r="S69" s="426"/>
      <c r="T69" s="427">
        <f>SUM(T64:T68)</f>
        <v>14</v>
      </c>
      <c r="U69" s="426"/>
      <c r="V69" s="374">
        <f>SUM(V64:V68)</f>
        <v>14</v>
      </c>
      <c r="X69" s="831"/>
      <c r="Y69" s="1114">
        <f>AVERAGE(V69,T69,R69,P69,N69)</f>
        <v>13.8</v>
      </c>
    </row>
    <row r="70" spans="2:25" s="3" customFormat="1" thickTop="1" x14ac:dyDescent="0.2">
      <c r="B70" s="178" t="s">
        <v>135</v>
      </c>
      <c r="C70" s="392"/>
      <c r="D70" s="393"/>
      <c r="E70" s="43" t="s">
        <v>133</v>
      </c>
      <c r="F70" s="41" t="s">
        <v>134</v>
      </c>
      <c r="G70" s="317" t="s">
        <v>133</v>
      </c>
      <c r="H70" s="412" t="s">
        <v>134</v>
      </c>
      <c r="I70" s="317" t="s">
        <v>133</v>
      </c>
      <c r="J70" s="449" t="s">
        <v>134</v>
      </c>
      <c r="K70" s="317" t="s">
        <v>133</v>
      </c>
      <c r="L70" s="449" t="s">
        <v>134</v>
      </c>
      <c r="M70" s="317" t="s">
        <v>133</v>
      </c>
      <c r="N70" s="441" t="s">
        <v>134</v>
      </c>
      <c r="O70" s="411" t="s">
        <v>133</v>
      </c>
      <c r="P70" s="412" t="s">
        <v>134</v>
      </c>
      <c r="Q70" s="411" t="s">
        <v>133</v>
      </c>
      <c r="R70" s="412" t="s">
        <v>134</v>
      </c>
      <c r="S70" s="411" t="s">
        <v>133</v>
      </c>
      <c r="T70" s="412" t="s">
        <v>134</v>
      </c>
      <c r="U70" s="411" t="s">
        <v>133</v>
      </c>
      <c r="V70" s="289" t="s">
        <v>134</v>
      </c>
      <c r="X70" s="952" t="s">
        <v>133</v>
      </c>
      <c r="Y70" s="862" t="s">
        <v>134</v>
      </c>
    </row>
    <row r="71" spans="2:25" s="3" customFormat="1" ht="12" x14ac:dyDescent="0.2">
      <c r="B71" s="169" t="s">
        <v>87</v>
      </c>
      <c r="C71" s="319">
        <v>9</v>
      </c>
      <c r="D71" s="216">
        <f>C71/D$69</f>
        <v>0.9</v>
      </c>
      <c r="E71" s="173">
        <v>10</v>
      </c>
      <c r="F71" s="221">
        <f t="shared" ref="F71:H78" si="0">E71/F$69</f>
        <v>1</v>
      </c>
      <c r="G71" s="215">
        <v>11</v>
      </c>
      <c r="H71" s="216">
        <f t="shared" si="0"/>
        <v>1</v>
      </c>
      <c r="I71" s="215">
        <v>14</v>
      </c>
      <c r="J71" s="221">
        <f t="shared" ref="J71:L78" si="1">I71/J$69</f>
        <v>1</v>
      </c>
      <c r="K71" s="215">
        <v>11</v>
      </c>
      <c r="L71" s="221">
        <f t="shared" si="1"/>
        <v>0.91666666666666663</v>
      </c>
      <c r="M71" s="215">
        <v>11</v>
      </c>
      <c r="N71" s="216">
        <f t="shared" ref="N71:T78" si="2">M71/N$69</f>
        <v>0.84615384615384615</v>
      </c>
      <c r="O71" s="173">
        <v>11</v>
      </c>
      <c r="P71" s="216">
        <f t="shared" si="2"/>
        <v>0.84615384615384615</v>
      </c>
      <c r="Q71" s="173">
        <v>13</v>
      </c>
      <c r="R71" s="216">
        <f t="shared" si="2"/>
        <v>0.8666666666666667</v>
      </c>
      <c r="S71" s="173">
        <v>11</v>
      </c>
      <c r="T71" s="216">
        <f t="shared" si="2"/>
        <v>0.7857142857142857</v>
      </c>
      <c r="U71" s="173">
        <v>12</v>
      </c>
      <c r="V71" s="1494">
        <f t="shared" ref="V71:V78" si="3">U71/V$69</f>
        <v>0.8571428571428571</v>
      </c>
      <c r="W71" s="955"/>
      <c r="X71" s="1016">
        <f t="shared" ref="X71:X78" si="4">AVERAGE(U71,S71,Q71,O71,M71)</f>
        <v>11.6</v>
      </c>
      <c r="Y71" s="863">
        <f t="shared" ref="Y71:Y78" si="5">AVERAGE(V71,T71,R71,P71,N71)</f>
        <v>0.84036630036630044</v>
      </c>
    </row>
    <row r="72" spans="2:25" s="3" customFormat="1" ht="12" x14ac:dyDescent="0.2">
      <c r="B72" s="172" t="s">
        <v>88</v>
      </c>
      <c r="C72" s="319">
        <v>0</v>
      </c>
      <c r="D72" s="216">
        <f t="shared" ref="D72:D90" si="6">C72/$D$69</f>
        <v>0</v>
      </c>
      <c r="E72" s="173">
        <v>0</v>
      </c>
      <c r="F72" s="221">
        <f t="shared" si="0"/>
        <v>0</v>
      </c>
      <c r="G72" s="215">
        <v>0</v>
      </c>
      <c r="H72" s="216">
        <f t="shared" si="0"/>
        <v>0</v>
      </c>
      <c r="I72" s="215">
        <v>0</v>
      </c>
      <c r="J72" s="221">
        <f t="shared" si="1"/>
        <v>0</v>
      </c>
      <c r="K72" s="215">
        <v>0</v>
      </c>
      <c r="L72" s="221">
        <f t="shared" si="1"/>
        <v>0</v>
      </c>
      <c r="M72" s="215"/>
      <c r="N72" s="216">
        <f t="shared" si="2"/>
        <v>0</v>
      </c>
      <c r="O72" s="173"/>
      <c r="P72" s="216">
        <f t="shared" si="2"/>
        <v>0</v>
      </c>
      <c r="Q72" s="173">
        <v>0</v>
      </c>
      <c r="R72" s="216">
        <f t="shared" si="2"/>
        <v>0</v>
      </c>
      <c r="S72" s="173">
        <v>0</v>
      </c>
      <c r="T72" s="216">
        <f t="shared" si="2"/>
        <v>0</v>
      </c>
      <c r="U72" s="173">
        <v>0</v>
      </c>
      <c r="V72" s="1494">
        <f t="shared" si="3"/>
        <v>0</v>
      </c>
      <c r="W72" s="955"/>
      <c r="X72" s="1016">
        <f t="shared" si="4"/>
        <v>0</v>
      </c>
      <c r="Y72" s="863">
        <f t="shared" si="5"/>
        <v>0</v>
      </c>
    </row>
    <row r="73" spans="2:25" s="3" customFormat="1" ht="12" x14ac:dyDescent="0.2">
      <c r="B73" s="172" t="s">
        <v>89</v>
      </c>
      <c r="C73" s="319">
        <v>0</v>
      </c>
      <c r="D73" s="216">
        <f t="shared" si="6"/>
        <v>0</v>
      </c>
      <c r="E73" s="173">
        <v>0</v>
      </c>
      <c r="F73" s="221">
        <f t="shared" si="0"/>
        <v>0</v>
      </c>
      <c r="G73" s="215">
        <v>0</v>
      </c>
      <c r="H73" s="216">
        <f t="shared" si="0"/>
        <v>0</v>
      </c>
      <c r="I73" s="215">
        <v>0</v>
      </c>
      <c r="J73" s="221">
        <f t="shared" si="1"/>
        <v>0</v>
      </c>
      <c r="K73" s="215">
        <v>1</v>
      </c>
      <c r="L73" s="221">
        <f t="shared" si="1"/>
        <v>8.3333333333333329E-2</v>
      </c>
      <c r="M73" s="215">
        <v>1</v>
      </c>
      <c r="N73" s="216">
        <f t="shared" si="2"/>
        <v>7.6923076923076927E-2</v>
      </c>
      <c r="O73" s="173">
        <v>1</v>
      </c>
      <c r="P73" s="216">
        <f t="shared" si="2"/>
        <v>7.6923076923076927E-2</v>
      </c>
      <c r="Q73" s="173">
        <v>1</v>
      </c>
      <c r="R73" s="216">
        <f t="shared" si="2"/>
        <v>6.6666666666666666E-2</v>
      </c>
      <c r="S73" s="173">
        <v>1</v>
      </c>
      <c r="T73" s="216">
        <f t="shared" si="2"/>
        <v>7.1428571428571425E-2</v>
      </c>
      <c r="U73" s="173">
        <v>1</v>
      </c>
      <c r="V73" s="1494">
        <f t="shared" si="3"/>
        <v>7.1428571428571425E-2</v>
      </c>
      <c r="W73" s="955"/>
      <c r="X73" s="1016">
        <f>AVERAGE(U73,S73,Q73,O73,M73)</f>
        <v>1</v>
      </c>
      <c r="Y73" s="863">
        <f t="shared" si="5"/>
        <v>7.2673992673992674E-2</v>
      </c>
    </row>
    <row r="74" spans="2:25" s="3" customFormat="1" ht="12" x14ac:dyDescent="0.2">
      <c r="B74" s="172" t="s">
        <v>90</v>
      </c>
      <c r="C74" s="319">
        <v>0</v>
      </c>
      <c r="D74" s="216">
        <f t="shared" si="6"/>
        <v>0</v>
      </c>
      <c r="E74" s="173">
        <v>0</v>
      </c>
      <c r="F74" s="221">
        <f t="shared" si="0"/>
        <v>0</v>
      </c>
      <c r="G74" s="215">
        <v>0</v>
      </c>
      <c r="H74" s="216">
        <f t="shared" si="0"/>
        <v>0</v>
      </c>
      <c r="I74" s="215">
        <v>0</v>
      </c>
      <c r="J74" s="221">
        <f t="shared" si="1"/>
        <v>0</v>
      </c>
      <c r="K74" s="215">
        <v>0</v>
      </c>
      <c r="L74" s="221">
        <f t="shared" si="1"/>
        <v>0</v>
      </c>
      <c r="M74" s="215"/>
      <c r="N74" s="216">
        <f t="shared" si="2"/>
        <v>0</v>
      </c>
      <c r="O74" s="173"/>
      <c r="P74" s="216">
        <f t="shared" si="2"/>
        <v>0</v>
      </c>
      <c r="Q74" s="173">
        <v>0</v>
      </c>
      <c r="R74" s="216">
        <f t="shared" si="2"/>
        <v>0</v>
      </c>
      <c r="S74" s="173">
        <v>0</v>
      </c>
      <c r="T74" s="216">
        <f t="shared" si="2"/>
        <v>0</v>
      </c>
      <c r="U74" s="173">
        <v>0</v>
      </c>
      <c r="V74" s="1494">
        <f t="shared" si="3"/>
        <v>0</v>
      </c>
      <c r="W74" s="955"/>
      <c r="X74" s="1016">
        <f t="shared" si="4"/>
        <v>0</v>
      </c>
      <c r="Y74" s="863">
        <f t="shared" si="5"/>
        <v>0</v>
      </c>
    </row>
    <row r="75" spans="2:25" s="3" customFormat="1" ht="12" x14ac:dyDescent="0.2">
      <c r="B75" s="172" t="s">
        <v>91</v>
      </c>
      <c r="C75" s="319">
        <v>0</v>
      </c>
      <c r="D75" s="216">
        <f t="shared" si="6"/>
        <v>0</v>
      </c>
      <c r="E75" s="173">
        <v>0</v>
      </c>
      <c r="F75" s="221">
        <f t="shared" si="0"/>
        <v>0</v>
      </c>
      <c r="G75" s="215">
        <v>0</v>
      </c>
      <c r="H75" s="216">
        <f t="shared" si="0"/>
        <v>0</v>
      </c>
      <c r="I75" s="215">
        <v>0</v>
      </c>
      <c r="J75" s="221">
        <f t="shared" si="1"/>
        <v>0</v>
      </c>
      <c r="K75" s="215">
        <v>0</v>
      </c>
      <c r="L75" s="221">
        <f t="shared" si="1"/>
        <v>0</v>
      </c>
      <c r="M75" s="215"/>
      <c r="N75" s="216">
        <f t="shared" si="2"/>
        <v>0</v>
      </c>
      <c r="O75" s="173"/>
      <c r="P75" s="216">
        <f t="shared" si="2"/>
        <v>0</v>
      </c>
      <c r="Q75" s="173">
        <v>0</v>
      </c>
      <c r="R75" s="216">
        <f t="shared" si="2"/>
        <v>0</v>
      </c>
      <c r="S75" s="173">
        <v>0</v>
      </c>
      <c r="T75" s="216">
        <f t="shared" si="2"/>
        <v>0</v>
      </c>
      <c r="U75" s="173">
        <v>0</v>
      </c>
      <c r="V75" s="1494">
        <f t="shared" si="3"/>
        <v>0</v>
      </c>
      <c r="W75" s="955"/>
      <c r="X75" s="1016">
        <f t="shared" si="4"/>
        <v>0</v>
      </c>
      <c r="Y75" s="863">
        <f t="shared" si="5"/>
        <v>0</v>
      </c>
    </row>
    <row r="76" spans="2:25" s="3" customFormat="1" ht="12" x14ac:dyDescent="0.2">
      <c r="B76" s="172" t="s">
        <v>92</v>
      </c>
      <c r="C76" s="319">
        <v>1</v>
      </c>
      <c r="D76" s="216">
        <f t="shared" si="6"/>
        <v>0.1</v>
      </c>
      <c r="E76" s="173">
        <v>0</v>
      </c>
      <c r="F76" s="221">
        <f t="shared" si="0"/>
        <v>0</v>
      </c>
      <c r="G76" s="215">
        <v>0</v>
      </c>
      <c r="H76" s="216">
        <f t="shared" si="0"/>
        <v>0</v>
      </c>
      <c r="I76" s="215">
        <v>0</v>
      </c>
      <c r="J76" s="221">
        <f t="shared" si="1"/>
        <v>0</v>
      </c>
      <c r="K76" s="215">
        <v>0</v>
      </c>
      <c r="L76" s="221">
        <f t="shared" si="1"/>
        <v>0</v>
      </c>
      <c r="M76" s="215">
        <v>1</v>
      </c>
      <c r="N76" s="216">
        <f t="shared" si="2"/>
        <v>7.6923076923076927E-2</v>
      </c>
      <c r="O76" s="173">
        <v>1</v>
      </c>
      <c r="P76" s="216">
        <f t="shared" si="2"/>
        <v>7.6923076923076927E-2</v>
      </c>
      <c r="Q76" s="173">
        <v>1</v>
      </c>
      <c r="R76" s="216">
        <f t="shared" si="2"/>
        <v>6.6666666666666666E-2</v>
      </c>
      <c r="S76" s="173">
        <v>1</v>
      </c>
      <c r="T76" s="216">
        <f t="shared" si="2"/>
        <v>7.1428571428571425E-2</v>
      </c>
      <c r="U76" s="173">
        <v>0</v>
      </c>
      <c r="V76" s="1494">
        <f t="shared" si="3"/>
        <v>0</v>
      </c>
      <c r="W76" s="955"/>
      <c r="X76" s="1016">
        <f t="shared" si="4"/>
        <v>0.8</v>
      </c>
      <c r="Y76" s="863">
        <f t="shared" si="5"/>
        <v>5.838827838827839E-2</v>
      </c>
    </row>
    <row r="77" spans="2:25" s="3" customFormat="1" ht="12" x14ac:dyDescent="0.2">
      <c r="B77" s="172" t="s">
        <v>256</v>
      </c>
      <c r="C77" s="346"/>
      <c r="D77" s="216"/>
      <c r="E77" s="174"/>
      <c r="F77" s="221"/>
      <c r="G77" s="1510"/>
      <c r="H77" s="1511"/>
      <c r="I77" s="1510"/>
      <c r="J77" s="1513"/>
      <c r="K77" s="1510"/>
      <c r="L77" s="1513"/>
      <c r="M77" s="1510"/>
      <c r="N77" s="1511"/>
      <c r="O77" s="1512"/>
      <c r="P77" s="1511"/>
      <c r="Q77" s="174">
        <v>0</v>
      </c>
      <c r="R77" s="216">
        <f t="shared" si="2"/>
        <v>0</v>
      </c>
      <c r="S77" s="174">
        <v>1</v>
      </c>
      <c r="T77" s="216">
        <f t="shared" si="2"/>
        <v>7.1428571428571425E-2</v>
      </c>
      <c r="U77" s="174">
        <v>1</v>
      </c>
      <c r="V77" s="1494">
        <f t="shared" si="3"/>
        <v>7.1428571428571425E-2</v>
      </c>
      <c r="W77" s="955"/>
      <c r="X77" s="1016">
        <f t="shared" si="4"/>
        <v>0.66666666666666663</v>
      </c>
      <c r="Y77" s="863">
        <f t="shared" si="5"/>
        <v>4.7619047619047616E-2</v>
      </c>
    </row>
    <row r="78" spans="2:25" s="3" customFormat="1" ht="12" x14ac:dyDescent="0.2">
      <c r="B78" s="172" t="s">
        <v>93</v>
      </c>
      <c r="C78" s="346">
        <v>0</v>
      </c>
      <c r="D78" s="216">
        <f t="shared" si="6"/>
        <v>0</v>
      </c>
      <c r="E78" s="174">
        <v>0</v>
      </c>
      <c r="F78" s="221">
        <f t="shared" si="0"/>
        <v>0</v>
      </c>
      <c r="G78" s="217">
        <v>0</v>
      </c>
      <c r="H78" s="216">
        <f t="shared" si="0"/>
        <v>0</v>
      </c>
      <c r="I78" s="217">
        <v>0</v>
      </c>
      <c r="J78" s="221">
        <f t="shared" si="1"/>
        <v>0</v>
      </c>
      <c r="K78" s="217">
        <v>0</v>
      </c>
      <c r="L78" s="221">
        <f t="shared" si="1"/>
        <v>0</v>
      </c>
      <c r="M78" s="217"/>
      <c r="N78" s="216">
        <f t="shared" si="2"/>
        <v>0</v>
      </c>
      <c r="O78" s="174"/>
      <c r="P78" s="216">
        <f t="shared" si="2"/>
        <v>0</v>
      </c>
      <c r="Q78" s="174">
        <v>0</v>
      </c>
      <c r="R78" s="216">
        <f t="shared" si="2"/>
        <v>0</v>
      </c>
      <c r="S78" s="174">
        <v>0</v>
      </c>
      <c r="T78" s="216">
        <f t="shared" si="2"/>
        <v>0</v>
      </c>
      <c r="U78" s="174">
        <v>0</v>
      </c>
      <c r="V78" s="1494">
        <f t="shared" si="3"/>
        <v>0</v>
      </c>
      <c r="W78" s="955"/>
      <c r="X78" s="1016">
        <f t="shared" si="4"/>
        <v>0</v>
      </c>
      <c r="Y78" s="863">
        <f t="shared" si="5"/>
        <v>0</v>
      </c>
    </row>
    <row r="79" spans="2:25" s="3" customFormat="1" ht="12" x14ac:dyDescent="0.2">
      <c r="B79" s="168" t="s">
        <v>136</v>
      </c>
      <c r="C79" s="218"/>
      <c r="D79" s="216"/>
      <c r="E79" s="226"/>
      <c r="F79" s="310"/>
      <c r="G79" s="326"/>
      <c r="H79" s="394"/>
      <c r="I79" s="326"/>
      <c r="J79" s="310"/>
      <c r="K79" s="326"/>
      <c r="L79" s="310"/>
      <c r="M79" s="326"/>
      <c r="N79" s="394"/>
      <c r="O79" s="226"/>
      <c r="P79" s="394"/>
      <c r="Q79" s="226"/>
      <c r="R79" s="394"/>
      <c r="S79" s="226"/>
      <c r="T79" s="394"/>
      <c r="U79" s="226"/>
      <c r="V79" s="1500"/>
      <c r="W79" s="955"/>
      <c r="X79" s="1016"/>
      <c r="Y79" s="863"/>
    </row>
    <row r="80" spans="2:25" s="3" customFormat="1" ht="12" x14ac:dyDescent="0.2">
      <c r="B80" s="169" t="s">
        <v>124</v>
      </c>
      <c r="C80" s="230">
        <v>8</v>
      </c>
      <c r="D80" s="216">
        <f t="shared" si="6"/>
        <v>0.8</v>
      </c>
      <c r="E80" s="171">
        <v>9</v>
      </c>
      <c r="F80" s="311">
        <f>E80/F$69</f>
        <v>0.9</v>
      </c>
      <c r="G80" s="229">
        <v>7</v>
      </c>
      <c r="H80" s="395">
        <f>G80/H$69</f>
        <v>0.63636363636363635</v>
      </c>
      <c r="I80" s="229">
        <v>8</v>
      </c>
      <c r="J80" s="221">
        <f>I80/J$69</f>
        <v>0.5714285714285714</v>
      </c>
      <c r="K80" s="229">
        <v>9</v>
      </c>
      <c r="L80" s="221">
        <f>K80/L$69</f>
        <v>0.75</v>
      </c>
      <c r="M80" s="229">
        <v>9</v>
      </c>
      <c r="N80" s="216">
        <f>M80/N$69</f>
        <v>0.69230769230769229</v>
      </c>
      <c r="O80" s="183">
        <v>9</v>
      </c>
      <c r="P80" s="216">
        <f>O80/P$69</f>
        <v>0.69230769230769229</v>
      </c>
      <c r="Q80" s="183">
        <v>9</v>
      </c>
      <c r="R80" s="216">
        <f>Q80/R$69</f>
        <v>0.6</v>
      </c>
      <c r="S80" s="183">
        <v>9</v>
      </c>
      <c r="T80" s="216">
        <f>S80/T$69</f>
        <v>0.6428571428571429</v>
      </c>
      <c r="U80" s="183">
        <v>9</v>
      </c>
      <c r="V80" s="1494">
        <f>U80/V$69</f>
        <v>0.6428571428571429</v>
      </c>
      <c r="W80" s="955"/>
      <c r="X80" s="1016">
        <f>AVERAGE(U80,S80,Q80,O80,M80)</f>
        <v>9</v>
      </c>
      <c r="Y80" s="863">
        <f>AVERAGE(V80,T80,R80,P80,N80)</f>
        <v>0.65406593406593405</v>
      </c>
    </row>
    <row r="81" spans="1:27" s="3" customFormat="1" ht="12" x14ac:dyDescent="0.2">
      <c r="B81" s="169" t="s">
        <v>125</v>
      </c>
      <c r="C81" s="230">
        <v>2</v>
      </c>
      <c r="D81" s="216">
        <f t="shared" si="6"/>
        <v>0.2</v>
      </c>
      <c r="E81" s="223">
        <v>1</v>
      </c>
      <c r="F81" s="311">
        <f>E81/F$69</f>
        <v>0.1</v>
      </c>
      <c r="G81" s="230">
        <v>4</v>
      </c>
      <c r="H81" s="395">
        <f>G81/H$69</f>
        <v>0.36363636363636365</v>
      </c>
      <c r="I81" s="230">
        <v>6</v>
      </c>
      <c r="J81" s="221">
        <f>I81/J$69</f>
        <v>0.42857142857142855</v>
      </c>
      <c r="K81" s="230">
        <v>3</v>
      </c>
      <c r="L81" s="221">
        <f>K81/L$69</f>
        <v>0.25</v>
      </c>
      <c r="M81" s="230">
        <v>4</v>
      </c>
      <c r="N81" s="216">
        <f>M81/N$69</f>
        <v>0.30769230769230771</v>
      </c>
      <c r="O81" s="283">
        <v>4</v>
      </c>
      <c r="P81" s="216">
        <f>O81/P$69</f>
        <v>0.30769230769230771</v>
      </c>
      <c r="Q81" s="283">
        <v>6</v>
      </c>
      <c r="R81" s="216">
        <f>Q81/R$69</f>
        <v>0.4</v>
      </c>
      <c r="S81" s="283">
        <v>5</v>
      </c>
      <c r="T81" s="216">
        <f>S81/T$69</f>
        <v>0.35714285714285715</v>
      </c>
      <c r="U81" s="283">
        <v>5</v>
      </c>
      <c r="V81" s="1494">
        <f>U81/V$69</f>
        <v>0.35714285714285715</v>
      </c>
      <c r="W81" s="955"/>
      <c r="X81" s="1016">
        <f>AVERAGE(U81,S81,Q81,O81,M81)</f>
        <v>4.8</v>
      </c>
      <c r="Y81" s="863">
        <f>AVERAGE(V81,T81,R81,P81,N81)</f>
        <v>0.34593406593406595</v>
      </c>
    </row>
    <row r="82" spans="1:27" s="3" customFormat="1" ht="12" x14ac:dyDescent="0.2">
      <c r="B82" s="168" t="s">
        <v>137</v>
      </c>
      <c r="C82" s="219"/>
      <c r="D82" s="216"/>
      <c r="E82" s="227"/>
      <c r="F82" s="311"/>
      <c r="G82" s="315"/>
      <c r="H82" s="395"/>
      <c r="I82" s="315"/>
      <c r="J82" s="221"/>
      <c r="K82" s="315"/>
      <c r="L82" s="221"/>
      <c r="M82" s="315"/>
      <c r="N82" s="216"/>
      <c r="O82" s="285"/>
      <c r="P82" s="216"/>
      <c r="Q82" s="285"/>
      <c r="R82" s="216"/>
      <c r="S82" s="285"/>
      <c r="T82" s="216"/>
      <c r="U82" s="285"/>
      <c r="V82" s="1494"/>
      <c r="X82" s="1016"/>
      <c r="Y82" s="863"/>
    </row>
    <row r="83" spans="1:27" s="3" customFormat="1" ht="12" x14ac:dyDescent="0.2">
      <c r="B83" s="169" t="s">
        <v>126</v>
      </c>
      <c r="C83" s="224">
        <v>7</v>
      </c>
      <c r="D83" s="216">
        <f t="shared" si="6"/>
        <v>0.7</v>
      </c>
      <c r="E83" s="223">
        <v>7</v>
      </c>
      <c r="F83" s="311">
        <f>E83/F$69</f>
        <v>0.7</v>
      </c>
      <c r="G83" s="230">
        <v>7</v>
      </c>
      <c r="H83" s="395">
        <f>G83/H$69</f>
        <v>0.63636363636363635</v>
      </c>
      <c r="I83" s="230">
        <v>6</v>
      </c>
      <c r="J83" s="221">
        <f>I83/J$69</f>
        <v>0.42857142857142855</v>
      </c>
      <c r="K83" s="230">
        <v>6</v>
      </c>
      <c r="L83" s="221">
        <f>K83/L$69</f>
        <v>0.5</v>
      </c>
      <c r="M83" s="230">
        <v>6</v>
      </c>
      <c r="N83" s="216">
        <f>M83/N$69</f>
        <v>0.46153846153846156</v>
      </c>
      <c r="O83" s="283">
        <v>6</v>
      </c>
      <c r="P83" s="216">
        <f>O83/P$69</f>
        <v>0.46153846153846156</v>
      </c>
      <c r="Q83" s="283">
        <v>6</v>
      </c>
      <c r="R83" s="216">
        <f>Q83/R$69</f>
        <v>0.4</v>
      </c>
      <c r="S83" s="283">
        <v>6</v>
      </c>
      <c r="T83" s="216">
        <f>S83/T$69</f>
        <v>0.42857142857142855</v>
      </c>
      <c r="U83" s="283">
        <v>6</v>
      </c>
      <c r="V83" s="1494">
        <f>U83/V$69</f>
        <v>0.42857142857142855</v>
      </c>
      <c r="X83" s="1016">
        <f t="shared" ref="X83:Y85" si="7">AVERAGE(U83,S83,Q83,O83,M83)</f>
        <v>6</v>
      </c>
      <c r="Y83" s="863">
        <f>AVERAGE(V83,T83,R83,P83,N83)</f>
        <v>0.43604395604395607</v>
      </c>
    </row>
    <row r="84" spans="1:27" s="3" customFormat="1" ht="12" x14ac:dyDescent="0.2">
      <c r="B84" s="169" t="s">
        <v>127</v>
      </c>
      <c r="C84" s="224">
        <v>2</v>
      </c>
      <c r="D84" s="216">
        <f t="shared" si="6"/>
        <v>0.2</v>
      </c>
      <c r="E84" s="223">
        <v>1</v>
      </c>
      <c r="F84" s="311">
        <f>E84/F$69</f>
        <v>0.1</v>
      </c>
      <c r="G84" s="230">
        <v>1</v>
      </c>
      <c r="H84" s="395">
        <f>G84/H$69</f>
        <v>9.0909090909090912E-2</v>
      </c>
      <c r="I84" s="230">
        <v>2</v>
      </c>
      <c r="J84" s="221">
        <f>I84/J$69</f>
        <v>0.14285714285714285</v>
      </c>
      <c r="K84" s="230">
        <v>4</v>
      </c>
      <c r="L84" s="221">
        <f>K84/L$69</f>
        <v>0.33333333333333331</v>
      </c>
      <c r="M84" s="230">
        <v>4</v>
      </c>
      <c r="N84" s="216">
        <f>M84/N$69</f>
        <v>0.30769230769230771</v>
      </c>
      <c r="O84" s="283">
        <v>4</v>
      </c>
      <c r="P84" s="216">
        <f>O84/P$69</f>
        <v>0.30769230769230771</v>
      </c>
      <c r="Q84" s="283">
        <v>4</v>
      </c>
      <c r="R84" s="216">
        <f>Q84/R$69</f>
        <v>0.26666666666666666</v>
      </c>
      <c r="S84" s="283">
        <v>3</v>
      </c>
      <c r="T84" s="216">
        <f>S84/T$69</f>
        <v>0.21428571428571427</v>
      </c>
      <c r="U84" s="283">
        <v>4</v>
      </c>
      <c r="V84" s="1494">
        <f>U84/V$69</f>
        <v>0.2857142857142857</v>
      </c>
      <c r="X84" s="1016">
        <f t="shared" si="7"/>
        <v>3.8</v>
      </c>
      <c r="Y84" s="863">
        <f t="shared" si="7"/>
        <v>0.27641025641025641</v>
      </c>
    </row>
    <row r="85" spans="1:27" s="3" customFormat="1" ht="12" x14ac:dyDescent="0.2">
      <c r="B85" s="169" t="s">
        <v>128</v>
      </c>
      <c r="C85" s="224">
        <v>1</v>
      </c>
      <c r="D85" s="216">
        <f t="shared" si="6"/>
        <v>0.1</v>
      </c>
      <c r="E85" s="223">
        <v>2</v>
      </c>
      <c r="F85" s="311">
        <f>E85/F$69</f>
        <v>0.2</v>
      </c>
      <c r="G85" s="230">
        <v>3</v>
      </c>
      <c r="H85" s="395">
        <f>G85/H$69</f>
        <v>0.27272727272727271</v>
      </c>
      <c r="I85" s="230">
        <v>6</v>
      </c>
      <c r="J85" s="221">
        <f>I85/J$69</f>
        <v>0.42857142857142855</v>
      </c>
      <c r="K85" s="230">
        <v>2</v>
      </c>
      <c r="L85" s="221">
        <f>K85/L$69</f>
        <v>0.16666666666666666</v>
      </c>
      <c r="M85" s="230">
        <v>3</v>
      </c>
      <c r="N85" s="216">
        <f>M85/N$69</f>
        <v>0.23076923076923078</v>
      </c>
      <c r="O85" s="283">
        <v>3</v>
      </c>
      <c r="P85" s="216">
        <f>O85/P$69</f>
        <v>0.23076923076923078</v>
      </c>
      <c r="Q85" s="283">
        <v>5</v>
      </c>
      <c r="R85" s="216">
        <f>Q85/R$69</f>
        <v>0.33333333333333331</v>
      </c>
      <c r="S85" s="283">
        <v>5</v>
      </c>
      <c r="T85" s="216">
        <f>S85/T$69</f>
        <v>0.35714285714285715</v>
      </c>
      <c r="U85" s="283">
        <v>4</v>
      </c>
      <c r="V85" s="1494">
        <f>U85/V$69</f>
        <v>0.2857142857142857</v>
      </c>
      <c r="X85" s="1016">
        <f t="shared" si="7"/>
        <v>4</v>
      </c>
      <c r="Y85" s="863">
        <f t="shared" si="7"/>
        <v>0.28754578754578752</v>
      </c>
    </row>
    <row r="86" spans="1:27" s="3" customFormat="1" ht="12" x14ac:dyDescent="0.2">
      <c r="B86" s="168" t="s">
        <v>138</v>
      </c>
      <c r="C86" s="219"/>
      <c r="D86" s="216"/>
      <c r="E86" s="227"/>
      <c r="F86" s="311"/>
      <c r="G86" s="315"/>
      <c r="H86" s="395"/>
      <c r="I86" s="315"/>
      <c r="J86" s="221"/>
      <c r="K86" s="315"/>
      <c r="L86" s="221"/>
      <c r="M86" s="315"/>
      <c r="N86" s="216"/>
      <c r="O86" s="285"/>
      <c r="P86" s="216"/>
      <c r="Q86" s="285"/>
      <c r="R86" s="216"/>
      <c r="S86" s="285"/>
      <c r="T86" s="216"/>
      <c r="U86" s="285"/>
      <c r="V86" s="1494"/>
      <c r="X86" s="1016"/>
      <c r="Y86" s="863"/>
    </row>
    <row r="87" spans="1:27" s="3" customFormat="1" ht="12" x14ac:dyDescent="0.2">
      <c r="B87" s="169" t="s">
        <v>129</v>
      </c>
      <c r="C87" s="224">
        <v>9</v>
      </c>
      <c r="D87" s="216">
        <f t="shared" si="6"/>
        <v>0.9</v>
      </c>
      <c r="E87" s="223">
        <v>8</v>
      </c>
      <c r="F87" s="311">
        <f>E87/F$69</f>
        <v>0.8</v>
      </c>
      <c r="G87" s="230">
        <v>7</v>
      </c>
      <c r="H87" s="395">
        <f>G87/H$69</f>
        <v>0.63636363636363635</v>
      </c>
      <c r="I87" s="230">
        <v>9</v>
      </c>
      <c r="J87" s="221">
        <f>I87/J$69</f>
        <v>0.6428571428571429</v>
      </c>
      <c r="K87" s="230">
        <v>10</v>
      </c>
      <c r="L87" s="221">
        <f>K87/L$69</f>
        <v>0.83333333333333337</v>
      </c>
      <c r="M87" s="230">
        <v>11</v>
      </c>
      <c r="N87" s="216">
        <f>M87/N$69</f>
        <v>0.84615384615384615</v>
      </c>
      <c r="O87" s="283">
        <v>11</v>
      </c>
      <c r="P87" s="216">
        <f>O87/P$69</f>
        <v>0.84615384615384615</v>
      </c>
      <c r="Q87" s="283">
        <v>11</v>
      </c>
      <c r="R87" s="216">
        <f>Q87/R$69</f>
        <v>0.73333333333333328</v>
      </c>
      <c r="S87" s="283">
        <v>11</v>
      </c>
      <c r="T87" s="216">
        <f>S87/T$69</f>
        <v>0.7857142857142857</v>
      </c>
      <c r="U87" s="283">
        <v>11</v>
      </c>
      <c r="V87" s="1494">
        <f>U87/V$69</f>
        <v>0.7857142857142857</v>
      </c>
      <c r="X87" s="1016">
        <f t="shared" ref="X87:Y90" si="8">AVERAGE(U87,S87,Q87,O87,M87)</f>
        <v>11</v>
      </c>
      <c r="Y87" s="863">
        <f t="shared" si="8"/>
        <v>0.79941391941391937</v>
      </c>
    </row>
    <row r="88" spans="1:27" s="3" customFormat="1" ht="12" x14ac:dyDescent="0.2">
      <c r="B88" s="169" t="s">
        <v>130</v>
      </c>
      <c r="C88" s="224">
        <v>1</v>
      </c>
      <c r="D88" s="216">
        <f t="shared" si="6"/>
        <v>0.1</v>
      </c>
      <c r="E88" s="223">
        <v>2</v>
      </c>
      <c r="F88" s="311">
        <f>E88/F$69</f>
        <v>0.2</v>
      </c>
      <c r="G88" s="230">
        <v>3</v>
      </c>
      <c r="H88" s="395">
        <f>G88/H$69</f>
        <v>0.27272727272727271</v>
      </c>
      <c r="I88" s="230">
        <v>4</v>
      </c>
      <c r="J88" s="221">
        <f>I88/J$69</f>
        <v>0.2857142857142857</v>
      </c>
      <c r="K88" s="230">
        <v>2</v>
      </c>
      <c r="L88" s="221">
        <f>K88/L$69</f>
        <v>0.16666666666666666</v>
      </c>
      <c r="M88" s="230">
        <v>2</v>
      </c>
      <c r="N88" s="216">
        <f>M88/N$69</f>
        <v>0.15384615384615385</v>
      </c>
      <c r="O88" s="283">
        <v>2</v>
      </c>
      <c r="P88" s="216">
        <f>O88/P$69</f>
        <v>0.15384615384615385</v>
      </c>
      <c r="Q88" s="283">
        <v>3</v>
      </c>
      <c r="R88" s="216">
        <f>Q88/R$69</f>
        <v>0.2</v>
      </c>
      <c r="S88" s="283">
        <v>3</v>
      </c>
      <c r="T88" s="216">
        <f>S88/T$69</f>
        <v>0.21428571428571427</v>
      </c>
      <c r="U88" s="283">
        <v>3</v>
      </c>
      <c r="V88" s="1494">
        <f>U88/V$69</f>
        <v>0.21428571428571427</v>
      </c>
      <c r="X88" s="1016">
        <f t="shared" si="8"/>
        <v>2.6</v>
      </c>
      <c r="Y88" s="863">
        <f t="shared" si="8"/>
        <v>0.18725274725274726</v>
      </c>
    </row>
    <row r="89" spans="1:27" s="3" customFormat="1" ht="12" x14ac:dyDescent="0.2">
      <c r="B89" s="169" t="s">
        <v>131</v>
      </c>
      <c r="C89" s="224">
        <v>0</v>
      </c>
      <c r="D89" s="216">
        <f t="shared" si="6"/>
        <v>0</v>
      </c>
      <c r="E89" s="223">
        <v>0</v>
      </c>
      <c r="F89" s="311">
        <f>E89/F$69</f>
        <v>0</v>
      </c>
      <c r="G89" s="230">
        <v>1</v>
      </c>
      <c r="H89" s="395">
        <f>G89/H$69</f>
        <v>9.0909090909090912E-2</v>
      </c>
      <c r="I89" s="230">
        <v>1</v>
      </c>
      <c r="J89" s="221">
        <f>I89/J$69</f>
        <v>7.1428571428571425E-2</v>
      </c>
      <c r="K89" s="230">
        <v>0</v>
      </c>
      <c r="L89" s="221">
        <f>K89/L$69</f>
        <v>0</v>
      </c>
      <c r="M89" s="230">
        <v>0</v>
      </c>
      <c r="N89" s="216">
        <f>M89/N$69</f>
        <v>0</v>
      </c>
      <c r="O89" s="283">
        <v>0</v>
      </c>
      <c r="P89" s="216">
        <f>O89/P$69</f>
        <v>0</v>
      </c>
      <c r="Q89" s="283">
        <v>1</v>
      </c>
      <c r="R89" s="216">
        <f>Q89/R$69</f>
        <v>6.6666666666666666E-2</v>
      </c>
      <c r="S89" s="283">
        <v>0</v>
      </c>
      <c r="T89" s="216">
        <f>S89/T$69</f>
        <v>0</v>
      </c>
      <c r="U89" s="283">
        <v>0</v>
      </c>
      <c r="V89" s="1494">
        <f>U89/V$69</f>
        <v>0</v>
      </c>
      <c r="X89" s="1016">
        <f t="shared" si="8"/>
        <v>0.2</v>
      </c>
      <c r="Y89" s="863">
        <f t="shared" si="8"/>
        <v>1.3333333333333332E-2</v>
      </c>
    </row>
    <row r="90" spans="1:27" s="3" customFormat="1" thickBot="1" x14ac:dyDescent="0.25">
      <c r="B90" s="170" t="s">
        <v>132</v>
      </c>
      <c r="C90" s="61">
        <v>0</v>
      </c>
      <c r="D90" s="220">
        <f t="shared" si="6"/>
        <v>0</v>
      </c>
      <c r="E90" s="228">
        <v>0</v>
      </c>
      <c r="F90" s="312">
        <f>E90/F$69</f>
        <v>0</v>
      </c>
      <c r="G90" s="375">
        <v>0</v>
      </c>
      <c r="H90" s="397">
        <f>G90/H$69</f>
        <v>0</v>
      </c>
      <c r="I90" s="375">
        <v>0</v>
      </c>
      <c r="J90" s="222">
        <f>I90/J$69</f>
        <v>0</v>
      </c>
      <c r="K90" s="375">
        <v>0</v>
      </c>
      <c r="L90" s="222">
        <f>K90/L$69</f>
        <v>0</v>
      </c>
      <c r="M90" s="375">
        <v>0</v>
      </c>
      <c r="N90" s="220">
        <f>M90/N$69</f>
        <v>0</v>
      </c>
      <c r="O90" s="375">
        <v>0</v>
      </c>
      <c r="P90" s="220">
        <f>O90/P$69</f>
        <v>0</v>
      </c>
      <c r="Q90" s="284">
        <v>0</v>
      </c>
      <c r="R90" s="220">
        <f>Q90/R$69</f>
        <v>0</v>
      </c>
      <c r="S90" s="284">
        <v>0</v>
      </c>
      <c r="T90" s="220">
        <f>S90/T$69</f>
        <v>0</v>
      </c>
      <c r="U90" s="284">
        <v>0</v>
      </c>
      <c r="V90" s="1495">
        <f>U90/V$69</f>
        <v>0</v>
      </c>
      <c r="X90" s="1016">
        <f t="shared" si="8"/>
        <v>0</v>
      </c>
      <c r="Y90" s="863">
        <f t="shared" si="8"/>
        <v>0</v>
      </c>
    </row>
    <row r="91" spans="1:27" ht="14.25" thickTop="1" thickBot="1" x14ac:dyDescent="0.25">
      <c r="A91" s="1"/>
      <c r="B91" s="956" t="s">
        <v>186</v>
      </c>
      <c r="C91" s="1992" t="s">
        <v>51</v>
      </c>
      <c r="D91" s="1993"/>
      <c r="E91" s="1992" t="s">
        <v>52</v>
      </c>
      <c r="F91" s="1993"/>
      <c r="G91" s="1989" t="s">
        <v>184</v>
      </c>
      <c r="H91" s="1990"/>
      <c r="I91" s="1989" t="s">
        <v>185</v>
      </c>
      <c r="J91" s="1990"/>
      <c r="K91" s="1989" t="s">
        <v>202</v>
      </c>
      <c r="L91" s="1990"/>
      <c r="M91" s="1991" t="s">
        <v>203</v>
      </c>
      <c r="N91" s="1979"/>
      <c r="O91" s="1991" t="s">
        <v>228</v>
      </c>
      <c r="P91" s="1979"/>
      <c r="Q91" s="1970" t="s">
        <v>238</v>
      </c>
      <c r="R91" s="1979"/>
      <c r="S91" s="1970" t="s">
        <v>273</v>
      </c>
      <c r="T91" s="1979"/>
      <c r="U91" s="1970" t="s">
        <v>275</v>
      </c>
      <c r="V91" s="1976"/>
      <c r="X91" s="2003" t="s">
        <v>213</v>
      </c>
      <c r="Y91" s="2004"/>
    </row>
    <row r="92" spans="1:27" x14ac:dyDescent="0.2">
      <c r="A92" s="1"/>
      <c r="B92" s="957"/>
      <c r="C92" s="958"/>
      <c r="D92" s="959"/>
      <c r="E92" s="1273" t="s">
        <v>133</v>
      </c>
      <c r="F92" s="1180" t="s">
        <v>17</v>
      </c>
      <c r="G92" s="958" t="s">
        <v>133</v>
      </c>
      <c r="H92" s="1242" t="s">
        <v>17</v>
      </c>
      <c r="I92" s="1273" t="s">
        <v>133</v>
      </c>
      <c r="J92" s="1242" t="s">
        <v>17</v>
      </c>
      <c r="K92" s="1273" t="s">
        <v>133</v>
      </c>
      <c r="L92" s="1242" t="s">
        <v>17</v>
      </c>
      <c r="M92" s="1273" t="s">
        <v>133</v>
      </c>
      <c r="N92" s="1242" t="s">
        <v>17</v>
      </c>
      <c r="O92" s="1273" t="s">
        <v>133</v>
      </c>
      <c r="P92" s="959" t="s">
        <v>17</v>
      </c>
      <c r="Q92" s="1400" t="s">
        <v>133</v>
      </c>
      <c r="R92" s="959" t="s">
        <v>17</v>
      </c>
      <c r="S92" s="1400" t="s">
        <v>133</v>
      </c>
      <c r="T92" s="959" t="s">
        <v>17</v>
      </c>
      <c r="U92" s="1787" t="s">
        <v>133</v>
      </c>
      <c r="V92" s="954" t="s">
        <v>17</v>
      </c>
      <c r="X92" s="953" t="s">
        <v>133</v>
      </c>
      <c r="Y92" s="954" t="s">
        <v>17</v>
      </c>
    </row>
    <row r="93" spans="1:27" x14ac:dyDescent="0.2">
      <c r="A93" s="1"/>
      <c r="B93" s="341" t="s">
        <v>187</v>
      </c>
      <c r="C93" s="960">
        <v>0</v>
      </c>
      <c r="D93" s="961">
        <v>0</v>
      </c>
      <c r="E93" s="960">
        <v>0</v>
      </c>
      <c r="F93" s="961">
        <v>0</v>
      </c>
      <c r="G93" s="960">
        <v>0</v>
      </c>
      <c r="H93" s="961">
        <v>0</v>
      </c>
      <c r="I93" s="1557">
        <v>0</v>
      </c>
      <c r="J93" s="961">
        <v>0</v>
      </c>
      <c r="K93" s="960">
        <v>0</v>
      </c>
      <c r="L93" s="961">
        <v>0</v>
      </c>
      <c r="M93" s="960">
        <v>0</v>
      </c>
      <c r="N93" s="961">
        <v>0</v>
      </c>
      <c r="O93" s="960">
        <v>1</v>
      </c>
      <c r="P93" s="961">
        <v>0.4</v>
      </c>
      <c r="Q93" s="960">
        <v>1</v>
      </c>
      <c r="R93" s="961">
        <v>0.4</v>
      </c>
      <c r="S93" s="960">
        <v>3</v>
      </c>
      <c r="T93" s="961">
        <v>1</v>
      </c>
      <c r="U93" s="960">
        <v>3</v>
      </c>
      <c r="V93" s="1517">
        <v>1</v>
      </c>
      <c r="X93" s="1115">
        <f t="shared" ref="X93:Y95" si="9">AVERAGE(U93,S93,Q93,O93,M93)</f>
        <v>1.6</v>
      </c>
      <c r="Y93" s="1116">
        <f t="shared" si="9"/>
        <v>0.55999999999999994</v>
      </c>
    </row>
    <row r="94" spans="1:27" x14ac:dyDescent="0.2">
      <c r="A94" s="1"/>
      <c r="B94" s="341" t="s">
        <v>188</v>
      </c>
      <c r="C94" s="960">
        <v>12</v>
      </c>
      <c r="D94" s="961">
        <v>6</v>
      </c>
      <c r="E94" s="960">
        <v>13</v>
      </c>
      <c r="F94" s="961">
        <v>6.5</v>
      </c>
      <c r="G94" s="960">
        <v>11</v>
      </c>
      <c r="H94" s="961">
        <v>5.4</v>
      </c>
      <c r="I94" s="1557">
        <v>12</v>
      </c>
      <c r="J94" s="961">
        <v>6</v>
      </c>
      <c r="K94" s="960">
        <v>12</v>
      </c>
      <c r="L94" s="961">
        <v>6</v>
      </c>
      <c r="M94" s="960">
        <v>13</v>
      </c>
      <c r="N94" s="961">
        <v>6.5</v>
      </c>
      <c r="O94" s="960">
        <v>9</v>
      </c>
      <c r="P94" s="961">
        <v>4.5</v>
      </c>
      <c r="Q94" s="960">
        <v>9</v>
      </c>
      <c r="R94" s="961">
        <v>4.5</v>
      </c>
      <c r="S94" s="960">
        <v>10</v>
      </c>
      <c r="T94" s="961">
        <v>4.5</v>
      </c>
      <c r="U94" s="960">
        <v>9</v>
      </c>
      <c r="V94" s="1517">
        <v>4.25</v>
      </c>
      <c r="X94" s="1115">
        <f t="shared" si="9"/>
        <v>10</v>
      </c>
      <c r="Y94" s="1116">
        <f t="shared" si="9"/>
        <v>4.8499999999999996</v>
      </c>
    </row>
    <row r="95" spans="1:27" ht="13.5" thickBot="1" x14ac:dyDescent="0.25">
      <c r="A95" s="1"/>
      <c r="B95" s="344" t="s">
        <v>211</v>
      </c>
      <c r="C95" s="962">
        <v>0</v>
      </c>
      <c r="D95" s="963">
        <v>0</v>
      </c>
      <c r="E95" s="964">
        <v>0</v>
      </c>
      <c r="F95" s="963">
        <v>0</v>
      </c>
      <c r="G95" s="964">
        <v>0</v>
      </c>
      <c r="H95" s="963">
        <v>0</v>
      </c>
      <c r="I95" s="962">
        <v>0</v>
      </c>
      <c r="J95" s="963">
        <v>0</v>
      </c>
      <c r="K95" s="964">
        <v>0</v>
      </c>
      <c r="L95" s="963">
        <v>0</v>
      </c>
      <c r="M95" s="964">
        <v>0</v>
      </c>
      <c r="N95" s="963">
        <v>0</v>
      </c>
      <c r="O95" s="964">
        <v>0</v>
      </c>
      <c r="P95" s="963">
        <v>0</v>
      </c>
      <c r="Q95" s="964">
        <v>0</v>
      </c>
      <c r="R95" s="963">
        <v>0</v>
      </c>
      <c r="S95" s="964">
        <v>0</v>
      </c>
      <c r="T95" s="963">
        <v>0</v>
      </c>
      <c r="U95" s="964">
        <v>0</v>
      </c>
      <c r="V95" s="1518">
        <v>0</v>
      </c>
      <c r="X95" s="1115">
        <f t="shared" si="9"/>
        <v>0</v>
      </c>
      <c r="Y95" s="1116">
        <f t="shared" si="9"/>
        <v>0</v>
      </c>
    </row>
    <row r="96" spans="1:27" ht="17.25" thickTop="1" thickBot="1" x14ac:dyDescent="0.3">
      <c r="A96" s="966"/>
      <c r="B96" s="967"/>
      <c r="C96" s="1992" t="s">
        <v>51</v>
      </c>
      <c r="D96" s="1993"/>
      <c r="E96" s="1992" t="s">
        <v>52</v>
      </c>
      <c r="F96" s="1993"/>
      <c r="G96" s="1989" t="s">
        <v>184</v>
      </c>
      <c r="H96" s="1990"/>
      <c r="I96" s="1989" t="s">
        <v>185</v>
      </c>
      <c r="J96" s="1990"/>
      <c r="K96" s="1989" t="s">
        <v>202</v>
      </c>
      <c r="L96" s="1990"/>
      <c r="M96" s="1991" t="s">
        <v>203</v>
      </c>
      <c r="N96" s="1979"/>
      <c r="O96" s="1991" t="s">
        <v>254</v>
      </c>
      <c r="P96" s="1979"/>
      <c r="Q96" s="1970" t="s">
        <v>238</v>
      </c>
      <c r="R96" s="1979"/>
      <c r="S96" s="1970" t="s">
        <v>273</v>
      </c>
      <c r="T96" s="1979"/>
      <c r="U96" s="1970" t="s">
        <v>275</v>
      </c>
      <c r="V96" s="1976"/>
      <c r="W96" s="968"/>
      <c r="X96" s="1987"/>
      <c r="Y96" s="1988"/>
      <c r="Z96" s="3"/>
      <c r="AA96" s="3"/>
    </row>
    <row r="97" spans="1:27" x14ac:dyDescent="0.2">
      <c r="A97" s="3"/>
      <c r="B97" s="342" t="s">
        <v>210</v>
      </c>
      <c r="C97" s="3"/>
      <c r="D97" s="969"/>
      <c r="E97" s="970"/>
      <c r="F97" s="971"/>
      <c r="G97" s="972"/>
      <c r="H97" s="973"/>
      <c r="I97" s="1556"/>
      <c r="J97" s="593"/>
      <c r="K97" s="975"/>
      <c r="L97" s="976"/>
      <c r="M97" s="975"/>
      <c r="N97" s="991"/>
      <c r="O97" s="117"/>
      <c r="P97" s="1422"/>
      <c r="Q97" s="975"/>
      <c r="R97" s="991"/>
      <c r="S97" s="975"/>
      <c r="T97" s="991"/>
      <c r="U97" s="975"/>
      <c r="V97" s="977"/>
      <c r="W97" s="28"/>
      <c r="X97" s="28"/>
      <c r="Y97" s="28"/>
      <c r="Z97" s="3"/>
      <c r="AA97" s="3"/>
    </row>
    <row r="98" spans="1:27" x14ac:dyDescent="0.2">
      <c r="A98" s="930"/>
      <c r="B98" s="979" t="s">
        <v>192</v>
      </c>
      <c r="C98" s="1983">
        <v>3.1</v>
      </c>
      <c r="D98" s="1984"/>
      <c r="E98" s="980"/>
      <c r="F98" s="981"/>
      <c r="G98" s="982"/>
      <c r="H98" s="983"/>
      <c r="I98" s="1983">
        <v>2.35</v>
      </c>
      <c r="J98" s="1984"/>
      <c r="K98" s="984"/>
      <c r="L98" s="985"/>
      <c r="M98" s="984"/>
      <c r="N98" s="991"/>
      <c r="O98" s="136"/>
      <c r="P98" s="1401">
        <v>9.1</v>
      </c>
      <c r="Q98" s="984"/>
      <c r="R98" s="991"/>
      <c r="S98" s="984"/>
      <c r="T98" s="991"/>
      <c r="U98" s="984"/>
      <c r="V98" s="977"/>
      <c r="W98" s="28"/>
      <c r="X98" s="28"/>
      <c r="Y98" s="1106"/>
      <c r="Z98" s="3"/>
      <c r="AA98" s="3"/>
    </row>
    <row r="99" spans="1:27" x14ac:dyDescent="0.2">
      <c r="A99" s="930"/>
      <c r="B99" s="986" t="s">
        <v>193</v>
      </c>
      <c r="C99" s="1983"/>
      <c r="D99" s="1984"/>
      <c r="E99" s="980"/>
      <c r="F99" s="981"/>
      <c r="G99" s="982"/>
      <c r="H99" s="983"/>
      <c r="I99" s="1983"/>
      <c r="J99" s="1984"/>
      <c r="K99" s="984"/>
      <c r="L99" s="985"/>
      <c r="M99" s="984"/>
      <c r="N99" s="991"/>
      <c r="O99" s="136"/>
      <c r="P99" s="1401"/>
      <c r="Q99" s="984"/>
      <c r="R99" s="991"/>
      <c r="S99" s="984"/>
      <c r="T99" s="991"/>
      <c r="U99" s="984"/>
      <c r="V99" s="977"/>
      <c r="W99" s="28"/>
      <c r="X99" s="28"/>
      <c r="Y99" s="1106"/>
      <c r="Z99" s="3"/>
      <c r="AA99" s="3"/>
    </row>
    <row r="100" spans="1:27" x14ac:dyDescent="0.2">
      <c r="A100" s="930"/>
      <c r="B100" s="986" t="s">
        <v>194</v>
      </c>
      <c r="C100" s="1983">
        <v>5</v>
      </c>
      <c r="D100" s="1984"/>
      <c r="E100" s="980"/>
      <c r="F100" s="981"/>
      <c r="G100" s="982"/>
      <c r="H100" s="983"/>
      <c r="I100" s="1983">
        <v>5.5</v>
      </c>
      <c r="J100" s="1984"/>
      <c r="K100" s="984"/>
      <c r="L100" s="985"/>
      <c r="M100" s="984"/>
      <c r="N100" s="991"/>
      <c r="O100" s="136"/>
      <c r="P100" s="1401">
        <v>4</v>
      </c>
      <c r="Q100" s="984"/>
      <c r="R100" s="991"/>
      <c r="S100" s="984"/>
      <c r="T100" s="991"/>
      <c r="U100" s="984"/>
      <c r="V100" s="977"/>
      <c r="W100" s="28"/>
      <c r="X100" s="28"/>
      <c r="Y100" s="1106"/>
      <c r="Z100" s="3"/>
      <c r="AA100" s="3"/>
    </row>
    <row r="101" spans="1:27" x14ac:dyDescent="0.2">
      <c r="A101" s="930"/>
      <c r="B101" s="979" t="s">
        <v>195</v>
      </c>
      <c r="C101" s="1983">
        <v>1</v>
      </c>
      <c r="D101" s="1984"/>
      <c r="E101" s="980"/>
      <c r="F101" s="981"/>
      <c r="G101" s="982"/>
      <c r="H101" s="983"/>
      <c r="I101" s="1983">
        <v>0.5</v>
      </c>
      <c r="J101" s="1984"/>
      <c r="K101" s="984"/>
      <c r="L101" s="985"/>
      <c r="M101" s="984"/>
      <c r="N101" s="991"/>
      <c r="O101" s="136"/>
      <c r="P101" s="1401">
        <v>0.5</v>
      </c>
      <c r="Q101" s="984"/>
      <c r="R101" s="991"/>
      <c r="S101" s="984"/>
      <c r="T101" s="991"/>
      <c r="U101" s="984"/>
      <c r="V101" s="977"/>
      <c r="W101" s="28"/>
      <c r="X101" s="28"/>
      <c r="Y101" s="1106"/>
      <c r="Z101" s="3"/>
      <c r="AA101" s="3"/>
    </row>
    <row r="102" spans="1:27" x14ac:dyDescent="0.2">
      <c r="A102" s="930"/>
      <c r="B102" s="987" t="s">
        <v>196</v>
      </c>
      <c r="C102" s="1983">
        <v>2</v>
      </c>
      <c r="D102" s="1984"/>
      <c r="E102" s="980"/>
      <c r="F102" s="981"/>
      <c r="G102" s="982"/>
      <c r="H102" s="983"/>
      <c r="I102" s="1983">
        <v>3</v>
      </c>
      <c r="J102" s="1984"/>
      <c r="K102" s="984"/>
      <c r="L102" s="985"/>
      <c r="M102" s="984"/>
      <c r="N102" s="991"/>
      <c r="O102" s="136"/>
      <c r="P102" s="1401">
        <v>3.5</v>
      </c>
      <c r="Q102" s="984"/>
      <c r="R102" s="991"/>
      <c r="S102" s="984"/>
      <c r="T102" s="991"/>
      <c r="U102" s="984"/>
      <c r="V102" s="977"/>
      <c r="W102" s="28"/>
      <c r="X102" s="28"/>
      <c r="Y102" s="1106"/>
      <c r="Z102" s="3"/>
      <c r="AA102" s="3"/>
    </row>
    <row r="103" spans="1:27" x14ac:dyDescent="0.2">
      <c r="A103" s="930"/>
      <c r="B103" s="987" t="s">
        <v>197</v>
      </c>
      <c r="C103" s="1983">
        <f>SUM(C98:D102)</f>
        <v>11.1</v>
      </c>
      <c r="D103" s="1984"/>
      <c r="E103" s="980"/>
      <c r="F103" s="981"/>
      <c r="G103" s="982"/>
      <c r="H103" s="983"/>
      <c r="I103" s="1983">
        <f>SUM(I98:J102)</f>
        <v>11.35</v>
      </c>
      <c r="J103" s="1984"/>
      <c r="K103" s="984"/>
      <c r="L103" s="985"/>
      <c r="M103" s="984"/>
      <c r="N103" s="991"/>
      <c r="O103" s="136"/>
      <c r="P103" s="1401">
        <f>SUM(P98:P102)</f>
        <v>17.100000000000001</v>
      </c>
      <c r="Q103" s="984"/>
      <c r="R103" s="991"/>
      <c r="S103" s="984"/>
      <c r="T103" s="991"/>
      <c r="U103" s="984"/>
      <c r="V103" s="977"/>
      <c r="W103" s="28"/>
      <c r="X103" s="28"/>
      <c r="Y103" s="1106"/>
      <c r="Z103" s="3"/>
      <c r="AA103" s="3"/>
    </row>
    <row r="104" spans="1:27" ht="13.5" thickBot="1" x14ac:dyDescent="0.25">
      <c r="A104" s="930"/>
      <c r="B104" s="988" t="s">
        <v>204</v>
      </c>
      <c r="C104" s="2056"/>
      <c r="D104" s="2055"/>
      <c r="E104" s="989"/>
      <c r="F104" s="990"/>
      <c r="G104" s="975"/>
      <c r="H104" s="991"/>
      <c r="I104" s="2056"/>
      <c r="J104" s="2055"/>
      <c r="K104" s="984"/>
      <c r="L104" s="985"/>
      <c r="M104" s="984"/>
      <c r="N104" s="991"/>
      <c r="O104" s="136"/>
      <c r="P104" s="1422"/>
      <c r="Q104" s="984"/>
      <c r="R104" s="991"/>
      <c r="S104" s="984"/>
      <c r="T104" s="991"/>
      <c r="U104" s="984"/>
      <c r="V104" s="977"/>
      <c r="W104" s="28"/>
      <c r="X104" s="28"/>
      <c r="Y104" s="1106"/>
      <c r="Z104" s="3"/>
      <c r="AA104" s="3"/>
    </row>
    <row r="105" spans="1:27" x14ac:dyDescent="0.2">
      <c r="A105" s="930"/>
      <c r="B105" s="979" t="s">
        <v>198</v>
      </c>
      <c r="C105" s="2043">
        <v>1829</v>
      </c>
      <c r="D105" s="2044"/>
      <c r="E105" s="992"/>
      <c r="F105" s="993"/>
      <c r="G105" s="994"/>
      <c r="H105" s="995"/>
      <c r="I105" s="2043">
        <v>1554</v>
      </c>
      <c r="J105" s="2044"/>
      <c r="K105" s="984"/>
      <c r="L105" s="985"/>
      <c r="M105" s="984"/>
      <c r="N105" s="991"/>
      <c r="O105" s="136"/>
      <c r="P105" s="1462">
        <v>1549</v>
      </c>
      <c r="Q105" s="984"/>
      <c r="R105" s="991"/>
      <c r="S105" s="984"/>
      <c r="T105" s="991"/>
      <c r="U105" s="984"/>
      <c r="V105" s="977"/>
      <c r="W105" s="28"/>
      <c r="X105" s="28"/>
      <c r="Y105" s="1473"/>
      <c r="Z105" s="3"/>
      <c r="AA105" s="3"/>
    </row>
    <row r="106" spans="1:27" x14ac:dyDescent="0.2">
      <c r="A106" s="930"/>
      <c r="B106" s="987" t="s">
        <v>199</v>
      </c>
      <c r="C106" s="2043">
        <v>647</v>
      </c>
      <c r="D106" s="2044"/>
      <c r="E106" s="992"/>
      <c r="F106" s="993"/>
      <c r="G106" s="994"/>
      <c r="H106" s="995"/>
      <c r="I106" s="2043">
        <v>1400</v>
      </c>
      <c r="J106" s="2044"/>
      <c r="K106" s="984"/>
      <c r="L106" s="985"/>
      <c r="M106" s="984"/>
      <c r="N106" s="991"/>
      <c r="O106" s="136"/>
      <c r="P106" s="1462">
        <v>0</v>
      </c>
      <c r="Q106" s="984"/>
      <c r="R106" s="991"/>
      <c r="S106" s="984"/>
      <c r="T106" s="991"/>
      <c r="U106" s="984"/>
      <c r="V106" s="977"/>
      <c r="W106" s="28"/>
      <c r="X106" s="28"/>
      <c r="Y106" s="1473"/>
      <c r="Z106" s="3"/>
      <c r="AA106" s="3"/>
    </row>
    <row r="107" spans="1:27" x14ac:dyDescent="0.2">
      <c r="A107" s="930"/>
      <c r="B107" s="987" t="s">
        <v>200</v>
      </c>
      <c r="C107" s="2043">
        <v>306</v>
      </c>
      <c r="D107" s="2044"/>
      <c r="E107" s="992"/>
      <c r="F107" s="993"/>
      <c r="G107" s="994"/>
      <c r="H107" s="995"/>
      <c r="I107" s="2043">
        <v>244</v>
      </c>
      <c r="J107" s="2044"/>
      <c r="K107" s="984"/>
      <c r="L107" s="985"/>
      <c r="M107" s="984"/>
      <c r="N107" s="991"/>
      <c r="O107" s="136"/>
      <c r="P107" s="1462">
        <f>1435+540</f>
        <v>1975</v>
      </c>
      <c r="Q107" s="984"/>
      <c r="R107" s="991"/>
      <c r="S107" s="984"/>
      <c r="T107" s="991"/>
      <c r="U107" s="984"/>
      <c r="V107" s="977"/>
      <c r="W107" s="28"/>
      <c r="X107" s="28"/>
      <c r="Y107" s="1473"/>
      <c r="Z107" s="3"/>
      <c r="AA107" s="3"/>
    </row>
    <row r="108" spans="1:27" x14ac:dyDescent="0.2">
      <c r="A108" s="930"/>
      <c r="B108" s="987" t="s">
        <v>209</v>
      </c>
      <c r="C108" s="2043">
        <f>SUM(C105:D107)</f>
        <v>2782</v>
      </c>
      <c r="D108" s="2044"/>
      <c r="E108" s="992"/>
      <c r="F108" s="993"/>
      <c r="G108" s="994"/>
      <c r="H108" s="995"/>
      <c r="I108" s="2043">
        <f>SUM(I105:J107)</f>
        <v>3198</v>
      </c>
      <c r="J108" s="2044"/>
      <c r="K108" s="984"/>
      <c r="L108" s="985"/>
      <c r="M108" s="984"/>
      <c r="N108" s="991"/>
      <c r="O108" s="136"/>
      <c r="P108" s="1462">
        <f>SUM(P105:P107)</f>
        <v>3524</v>
      </c>
      <c r="Q108" s="984"/>
      <c r="R108" s="991"/>
      <c r="S108" s="984"/>
      <c r="T108" s="991"/>
      <c r="U108" s="984"/>
      <c r="V108" s="977"/>
      <c r="W108" s="28"/>
      <c r="X108" s="28"/>
      <c r="Y108" s="1473"/>
      <c r="Z108" s="3"/>
      <c r="AA108" s="3"/>
    </row>
    <row r="109" spans="1:27" ht="13.5" thickBot="1" x14ac:dyDescent="0.25">
      <c r="A109" s="930"/>
      <c r="B109" s="988" t="s">
        <v>205</v>
      </c>
      <c r="C109" s="2056"/>
      <c r="D109" s="2055"/>
      <c r="E109" s="989"/>
      <c r="F109" s="990"/>
      <c r="G109" s="975"/>
      <c r="H109" s="991"/>
      <c r="I109" s="2056"/>
      <c r="J109" s="2055"/>
      <c r="K109" s="984"/>
      <c r="L109" s="985"/>
      <c r="M109" s="984"/>
      <c r="N109" s="991"/>
      <c r="O109" s="136"/>
      <c r="P109" s="1422"/>
      <c r="Q109" s="984"/>
      <c r="R109" s="991"/>
      <c r="S109" s="984"/>
      <c r="T109" s="991"/>
      <c r="U109" s="984"/>
      <c r="V109" s="977"/>
      <c r="W109" s="28"/>
      <c r="X109" s="28"/>
      <c r="Y109" s="1106"/>
      <c r="Z109" s="28"/>
      <c r="AA109" s="28"/>
    </row>
    <row r="110" spans="1:27" x14ac:dyDescent="0.2">
      <c r="A110" s="930"/>
      <c r="B110" s="979" t="s">
        <v>206</v>
      </c>
      <c r="C110" s="1985">
        <f>C105/C98</f>
        <v>590</v>
      </c>
      <c r="D110" s="1986"/>
      <c r="E110" s="996"/>
      <c r="F110" s="997"/>
      <c r="G110" s="998"/>
      <c r="H110" s="999"/>
      <c r="I110" s="1985">
        <f>I105/I98</f>
        <v>661.27659574468078</v>
      </c>
      <c r="J110" s="1986"/>
      <c r="K110" s="1000"/>
      <c r="L110" s="1001"/>
      <c r="M110" s="1000"/>
      <c r="N110" s="999"/>
      <c r="O110" s="494"/>
      <c r="P110" s="1402">
        <f>P105/P98</f>
        <v>170.21978021978023</v>
      </c>
      <c r="Q110" s="1000"/>
      <c r="R110" s="999"/>
      <c r="S110" s="1000"/>
      <c r="T110" s="999"/>
      <c r="U110" s="1000"/>
      <c r="V110" s="1460"/>
      <c r="W110" s="668"/>
      <c r="X110" s="668"/>
      <c r="Y110" s="1106"/>
      <c r="Z110" s="21"/>
      <c r="AA110" s="21"/>
    </row>
    <row r="111" spans="1:27" x14ac:dyDescent="0.2">
      <c r="A111" s="930"/>
      <c r="B111" s="987" t="s">
        <v>207</v>
      </c>
      <c r="C111" s="1985">
        <f>C106/C100</f>
        <v>129.4</v>
      </c>
      <c r="D111" s="1986"/>
      <c r="E111" s="996"/>
      <c r="F111" s="997"/>
      <c r="G111" s="998"/>
      <c r="H111" s="999"/>
      <c r="I111" s="1985">
        <f>I106/I100</f>
        <v>254.54545454545453</v>
      </c>
      <c r="J111" s="1986"/>
      <c r="K111" s="1000"/>
      <c r="L111" s="1001"/>
      <c r="M111" s="1000"/>
      <c r="N111" s="999"/>
      <c r="O111" s="494"/>
      <c r="P111" s="1402">
        <f>P106/P100</f>
        <v>0</v>
      </c>
      <c r="Q111" s="1000"/>
      <c r="R111" s="999"/>
      <c r="S111" s="1000"/>
      <c r="T111" s="999"/>
      <c r="U111" s="1000"/>
      <c r="V111" s="1460"/>
      <c r="W111" s="668"/>
      <c r="X111" s="668"/>
      <c r="Y111" s="1106"/>
      <c r="Z111" s="21"/>
      <c r="AA111" s="21"/>
    </row>
    <row r="112" spans="1:27" x14ac:dyDescent="0.2">
      <c r="A112" s="930"/>
      <c r="B112" s="987" t="s">
        <v>208</v>
      </c>
      <c r="C112" s="1985">
        <f>C107/C102</f>
        <v>153</v>
      </c>
      <c r="D112" s="1986"/>
      <c r="E112" s="996"/>
      <c r="F112" s="997"/>
      <c r="G112" s="998"/>
      <c r="H112" s="999"/>
      <c r="I112" s="1985">
        <f>I107/I102</f>
        <v>81.333333333333329</v>
      </c>
      <c r="J112" s="1986"/>
      <c r="K112" s="1000"/>
      <c r="L112" s="1001"/>
      <c r="M112" s="1000"/>
      <c r="N112" s="999"/>
      <c r="O112" s="494"/>
      <c r="P112" s="1402">
        <f>P107/P102</f>
        <v>564.28571428571433</v>
      </c>
      <c r="Q112" s="1000"/>
      <c r="R112" s="999"/>
      <c r="S112" s="1000"/>
      <c r="T112" s="999"/>
      <c r="U112" s="1000"/>
      <c r="V112" s="1460"/>
      <c r="W112" s="668"/>
      <c r="X112" s="668"/>
      <c r="Y112" s="1106"/>
      <c r="Z112" s="21"/>
      <c r="AA112" s="21"/>
    </row>
    <row r="113" spans="1:27" ht="13.5" thickBot="1" x14ac:dyDescent="0.25">
      <c r="A113" s="930"/>
      <c r="B113" s="1002" t="s">
        <v>201</v>
      </c>
      <c r="C113" s="2045">
        <f>C108/C103</f>
        <v>250.63063063063063</v>
      </c>
      <c r="D113" s="2046"/>
      <c r="E113" s="1003"/>
      <c r="F113" s="1004"/>
      <c r="G113" s="1005"/>
      <c r="H113" s="1006"/>
      <c r="I113" s="2045">
        <f>I108/I103</f>
        <v>281.76211453744492</v>
      </c>
      <c r="J113" s="2046"/>
      <c r="K113" s="1005"/>
      <c r="L113" s="1006"/>
      <c r="M113" s="1005"/>
      <c r="N113" s="1006"/>
      <c r="O113" s="1233"/>
      <c r="P113" s="1423">
        <f>P108/P103</f>
        <v>206.08187134502921</v>
      </c>
      <c r="Q113" s="1005"/>
      <c r="R113" s="1006"/>
      <c r="S113" s="1005"/>
      <c r="T113" s="1006"/>
      <c r="U113" s="1005"/>
      <c r="V113" s="1461"/>
      <c r="W113" s="668"/>
      <c r="X113" s="668"/>
      <c r="Y113" s="1106"/>
      <c r="Z113" s="21"/>
      <c r="AA113" s="21"/>
    </row>
    <row r="114" spans="1:27" ht="13.5" thickTop="1" x14ac:dyDescent="0.2">
      <c r="A114" s="3"/>
      <c r="B114" s="3" t="str">
        <f>Dean_AS!B169</f>
        <v>*Note: Beginning with the 2009 collection cycle, Instructional FTE was defined according to the national Delaware Study of Instructional Costs and Productivity</v>
      </c>
      <c r="N114" s="1397" t="s">
        <v>29</v>
      </c>
      <c r="O114" s="1012"/>
      <c r="Q114" s="1012"/>
      <c r="S114" s="1012"/>
      <c r="U114" s="1012"/>
    </row>
    <row r="115" spans="1:27" x14ac:dyDescent="0.2">
      <c r="A115" s="3"/>
      <c r="B115" s="3"/>
    </row>
    <row r="116" spans="1:27" x14ac:dyDescent="0.2">
      <c r="A116" s="3"/>
      <c r="B116" s="3"/>
    </row>
    <row r="117" spans="1:27" x14ac:dyDescent="0.2">
      <c r="A117" s="3"/>
      <c r="B117" s="3"/>
    </row>
    <row r="118" spans="1:27" x14ac:dyDescent="0.2">
      <c r="A118" s="3"/>
      <c r="B118" s="3"/>
    </row>
    <row r="119" spans="1:27" x14ac:dyDescent="0.2">
      <c r="A119" s="3"/>
      <c r="B119" s="3"/>
    </row>
    <row r="120" spans="1:27" x14ac:dyDescent="0.2">
      <c r="A120" s="3"/>
      <c r="B120" s="3"/>
    </row>
    <row r="121" spans="1:27" x14ac:dyDescent="0.2">
      <c r="A121" s="3"/>
      <c r="B121" s="3"/>
    </row>
    <row r="122" spans="1:27" x14ac:dyDescent="0.2">
      <c r="A122" s="3"/>
      <c r="B122" s="3"/>
    </row>
    <row r="123" spans="1:27" x14ac:dyDescent="0.2">
      <c r="A123" s="3"/>
      <c r="B123" s="3"/>
    </row>
    <row r="124" spans="1:27" x14ac:dyDescent="0.2">
      <c r="A124" s="3"/>
      <c r="B124" s="3"/>
    </row>
    <row r="125" spans="1:27" x14ac:dyDescent="0.2">
      <c r="A125" s="3"/>
      <c r="B125" s="3"/>
    </row>
    <row r="126" spans="1:27" x14ac:dyDescent="0.2">
      <c r="A126" s="3"/>
      <c r="B126" s="3"/>
    </row>
    <row r="127" spans="1:27" x14ac:dyDescent="0.2">
      <c r="A127" s="3"/>
      <c r="B127" s="3"/>
    </row>
    <row r="128" spans="1:27" x14ac:dyDescent="0.2">
      <c r="A128" s="3"/>
      <c r="B128" s="3"/>
    </row>
    <row r="129" spans="1:2" x14ac:dyDescent="0.2">
      <c r="A129" s="3"/>
      <c r="B129" s="3"/>
    </row>
    <row r="130" spans="1:2" x14ac:dyDescent="0.2">
      <c r="A130" s="3"/>
      <c r="B130" s="3"/>
    </row>
    <row r="131" spans="1:2" x14ac:dyDescent="0.2">
      <c r="A131" s="3"/>
      <c r="B131" s="3"/>
    </row>
    <row r="132" spans="1:2" x14ac:dyDescent="0.2">
      <c r="A132" s="3"/>
      <c r="B132" s="3"/>
    </row>
    <row r="133" spans="1:2" x14ac:dyDescent="0.2">
      <c r="A133" s="3"/>
      <c r="B133" s="3"/>
    </row>
    <row r="134" spans="1:2" x14ac:dyDescent="0.2">
      <c r="A134" s="3"/>
      <c r="B134" s="3"/>
    </row>
    <row r="135" spans="1:2" x14ac:dyDescent="0.2">
      <c r="A135" s="3"/>
      <c r="B135" s="3"/>
    </row>
    <row r="136" spans="1:2" x14ac:dyDescent="0.2">
      <c r="A136" s="3"/>
      <c r="B136" s="3"/>
    </row>
    <row r="137" spans="1:2" x14ac:dyDescent="0.2">
      <c r="A137" s="3"/>
      <c r="B137" s="3"/>
    </row>
    <row r="138" spans="1:2" x14ac:dyDescent="0.2">
      <c r="A138" s="3"/>
      <c r="B138" s="3"/>
    </row>
    <row r="139" spans="1:2" x14ac:dyDescent="0.2">
      <c r="A139" s="3"/>
      <c r="B139" s="3"/>
    </row>
    <row r="140" spans="1:2" x14ac:dyDescent="0.2">
      <c r="A140" s="3"/>
      <c r="B140" s="3"/>
    </row>
    <row r="141" spans="1:2" x14ac:dyDescent="0.2">
      <c r="A141" s="3"/>
      <c r="B141" s="3"/>
    </row>
    <row r="142" spans="1:2" x14ac:dyDescent="0.2">
      <c r="A142" s="3"/>
      <c r="B142" s="3"/>
    </row>
    <row r="143" spans="1:2" x14ac:dyDescent="0.2">
      <c r="A143" s="3"/>
      <c r="B143" s="3"/>
    </row>
    <row r="144" spans="1:2" x14ac:dyDescent="0.2">
      <c r="A144" s="3"/>
      <c r="B144" s="3"/>
    </row>
    <row r="145" spans="1:2" x14ac:dyDescent="0.2">
      <c r="A145" s="3"/>
      <c r="B145" s="3"/>
    </row>
    <row r="146" spans="1:2" x14ac:dyDescent="0.2">
      <c r="A146" s="3"/>
      <c r="B146" s="3"/>
    </row>
    <row r="147" spans="1:2" x14ac:dyDescent="0.2">
      <c r="A147" s="3"/>
      <c r="B147" s="3"/>
    </row>
    <row r="148" spans="1:2" x14ac:dyDescent="0.2">
      <c r="A148" s="3"/>
      <c r="B148" s="3"/>
    </row>
    <row r="149" spans="1:2" x14ac:dyDescent="0.2">
      <c r="A149" s="3"/>
      <c r="B149" s="3"/>
    </row>
    <row r="150" spans="1:2" x14ac:dyDescent="0.2">
      <c r="A150" s="3"/>
      <c r="B150" s="3"/>
    </row>
    <row r="151" spans="1:2" x14ac:dyDescent="0.2">
      <c r="A151" s="3"/>
      <c r="B151" s="3"/>
    </row>
    <row r="152" spans="1:2" x14ac:dyDescent="0.2">
      <c r="A152" s="3"/>
      <c r="B152" s="3"/>
    </row>
    <row r="153" spans="1:2" x14ac:dyDescent="0.2">
      <c r="A153" s="3"/>
      <c r="B153" s="3"/>
    </row>
    <row r="154" spans="1:2" x14ac:dyDescent="0.2">
      <c r="A154" s="3"/>
      <c r="B154" s="3"/>
    </row>
    <row r="155" spans="1:2" x14ac:dyDescent="0.2">
      <c r="A155" s="3"/>
      <c r="B155" s="3"/>
    </row>
    <row r="156" spans="1:2" x14ac:dyDescent="0.2">
      <c r="A156" s="3"/>
      <c r="B156" s="3"/>
    </row>
    <row r="157" spans="1:2" x14ac:dyDescent="0.2">
      <c r="A157" s="3"/>
      <c r="B157" s="3"/>
    </row>
    <row r="158" spans="1:2" x14ac:dyDescent="0.2">
      <c r="A158" s="3"/>
      <c r="B158" s="3"/>
    </row>
    <row r="159" spans="1:2" x14ac:dyDescent="0.2">
      <c r="A159" s="3"/>
      <c r="B159" s="3"/>
    </row>
    <row r="160" spans="1:2" x14ac:dyDescent="0.2">
      <c r="A160" s="3"/>
      <c r="B160" s="3"/>
    </row>
    <row r="161" spans="1:2" x14ac:dyDescent="0.2">
      <c r="A161" s="3"/>
      <c r="B161" s="3"/>
    </row>
    <row r="162" spans="1:2" x14ac:dyDescent="0.2">
      <c r="A162" s="3"/>
      <c r="B162" s="3"/>
    </row>
    <row r="163" spans="1:2" x14ac:dyDescent="0.2">
      <c r="A163" s="3"/>
      <c r="B163" s="3"/>
    </row>
    <row r="164" spans="1:2" x14ac:dyDescent="0.2">
      <c r="A164" s="3"/>
      <c r="B164" s="3"/>
    </row>
    <row r="165" spans="1:2" x14ac:dyDescent="0.2">
      <c r="A165" s="3"/>
      <c r="B165" s="3"/>
    </row>
    <row r="166" spans="1:2" x14ac:dyDescent="0.2">
      <c r="A166" s="3"/>
      <c r="B166" s="3"/>
    </row>
    <row r="167" spans="1:2" x14ac:dyDescent="0.2">
      <c r="A167" s="3"/>
      <c r="B167" s="3"/>
    </row>
    <row r="168" spans="1:2" x14ac:dyDescent="0.2">
      <c r="A168" s="3"/>
      <c r="B168" s="3"/>
    </row>
    <row r="169" spans="1:2" x14ac:dyDescent="0.2">
      <c r="A169" s="3"/>
      <c r="B169" s="3"/>
    </row>
    <row r="170" spans="1:2" x14ac:dyDescent="0.2">
      <c r="A170" s="3"/>
      <c r="B170" s="3"/>
    </row>
    <row r="171" spans="1:2" x14ac:dyDescent="0.2">
      <c r="A171" s="3"/>
      <c r="B171" s="3"/>
    </row>
    <row r="172" spans="1:2" x14ac:dyDescent="0.2">
      <c r="A172" s="3"/>
      <c r="B172" s="3"/>
    </row>
    <row r="173" spans="1:2" x14ac:dyDescent="0.2">
      <c r="A173" s="3"/>
      <c r="B173" s="3"/>
    </row>
    <row r="174" spans="1:2" x14ac:dyDescent="0.2">
      <c r="A174" s="3"/>
      <c r="B174" s="3"/>
    </row>
    <row r="175" spans="1:2" x14ac:dyDescent="0.2">
      <c r="A175" s="3"/>
      <c r="B175" s="3"/>
    </row>
    <row r="176" spans="1:2" x14ac:dyDescent="0.2">
      <c r="A176" s="3"/>
      <c r="B176" s="3"/>
    </row>
    <row r="177" spans="1:2" x14ac:dyDescent="0.2">
      <c r="A177" s="3"/>
      <c r="B177" s="3"/>
    </row>
    <row r="178" spans="1:2" x14ac:dyDescent="0.2">
      <c r="A178" s="3"/>
      <c r="B178" s="3"/>
    </row>
    <row r="179" spans="1:2" x14ac:dyDescent="0.2">
      <c r="A179" s="3"/>
      <c r="B179" s="3"/>
    </row>
    <row r="180" spans="1:2" x14ac:dyDescent="0.2">
      <c r="A180" s="3"/>
      <c r="B180" s="3"/>
    </row>
    <row r="181" spans="1:2" x14ac:dyDescent="0.2">
      <c r="A181" s="3"/>
      <c r="B181" s="3"/>
    </row>
    <row r="182" spans="1:2" x14ac:dyDescent="0.2">
      <c r="A182" s="3"/>
      <c r="B182" s="3"/>
    </row>
    <row r="183" spans="1:2" x14ac:dyDescent="0.2">
      <c r="A183" s="3"/>
      <c r="B183" s="3"/>
    </row>
    <row r="184" spans="1:2" x14ac:dyDescent="0.2">
      <c r="A184" s="3"/>
      <c r="B184" s="3"/>
    </row>
    <row r="185" spans="1:2" x14ac:dyDescent="0.2">
      <c r="A185" s="3"/>
      <c r="B185" s="3"/>
    </row>
    <row r="186" spans="1:2" x14ac:dyDescent="0.2">
      <c r="A186" s="3"/>
      <c r="B186" s="3"/>
    </row>
    <row r="187" spans="1:2" x14ac:dyDescent="0.2">
      <c r="A187" s="3"/>
      <c r="B187" s="3"/>
    </row>
    <row r="188" spans="1:2" x14ac:dyDescent="0.2">
      <c r="A188" s="3"/>
      <c r="B188" s="3"/>
    </row>
    <row r="189" spans="1:2" x14ac:dyDescent="0.2">
      <c r="A189" s="3"/>
      <c r="B189" s="3"/>
    </row>
    <row r="190" spans="1:2" x14ac:dyDescent="0.2">
      <c r="A190" s="3"/>
      <c r="B190" s="3"/>
    </row>
    <row r="191" spans="1:2" x14ac:dyDescent="0.2">
      <c r="A191" s="3"/>
      <c r="B191" s="3"/>
    </row>
    <row r="192" spans="1:2" x14ac:dyDescent="0.2">
      <c r="A192" s="3"/>
      <c r="B192" s="3"/>
    </row>
    <row r="193" spans="1:2" x14ac:dyDescent="0.2">
      <c r="A193" s="3"/>
      <c r="B193" s="3"/>
    </row>
    <row r="194" spans="1:2" x14ac:dyDescent="0.2">
      <c r="A194" s="3"/>
      <c r="B194" s="3"/>
    </row>
    <row r="195" spans="1:2" x14ac:dyDescent="0.2">
      <c r="A195" s="3"/>
      <c r="B195" s="3"/>
    </row>
    <row r="196" spans="1:2" x14ac:dyDescent="0.2">
      <c r="A196" s="3"/>
      <c r="B196" s="3"/>
    </row>
    <row r="197" spans="1:2" x14ac:dyDescent="0.2">
      <c r="A197" s="3"/>
      <c r="B197" s="3"/>
    </row>
    <row r="198" spans="1:2" x14ac:dyDescent="0.2">
      <c r="A198" s="3"/>
      <c r="B198" s="3"/>
    </row>
    <row r="199" spans="1:2" x14ac:dyDescent="0.2">
      <c r="A199" s="3"/>
      <c r="B199" s="3"/>
    </row>
    <row r="200" spans="1:2" x14ac:dyDescent="0.2">
      <c r="A200" s="3"/>
      <c r="B200" s="3"/>
    </row>
    <row r="201" spans="1:2" x14ac:dyDescent="0.2">
      <c r="A201" s="3"/>
      <c r="B201" s="3"/>
    </row>
    <row r="202" spans="1:2" x14ac:dyDescent="0.2">
      <c r="A202" s="3"/>
      <c r="B202" s="3"/>
    </row>
    <row r="203" spans="1:2" x14ac:dyDescent="0.2">
      <c r="A203" s="3"/>
      <c r="B203" s="3"/>
    </row>
    <row r="204" spans="1:2" x14ac:dyDescent="0.2">
      <c r="A204" s="3"/>
      <c r="B204" s="3"/>
    </row>
    <row r="205" spans="1:2" x14ac:dyDescent="0.2">
      <c r="A205" s="3"/>
      <c r="B205" s="3"/>
    </row>
    <row r="206" spans="1:2" x14ac:dyDescent="0.2">
      <c r="A206" s="3"/>
      <c r="B206" s="3"/>
    </row>
    <row r="207" spans="1:2" x14ac:dyDescent="0.2">
      <c r="A207" s="3"/>
      <c r="B207" s="3"/>
    </row>
    <row r="208" spans="1:2" x14ac:dyDescent="0.2">
      <c r="A208" s="3"/>
      <c r="B208" s="3"/>
    </row>
    <row r="209" spans="1:2" x14ac:dyDescent="0.2">
      <c r="A209" s="3"/>
      <c r="B209" s="3"/>
    </row>
    <row r="210" spans="1:2" x14ac:dyDescent="0.2">
      <c r="A210" s="3"/>
      <c r="B210" s="3"/>
    </row>
    <row r="211" spans="1:2" x14ac:dyDescent="0.2">
      <c r="A211" s="3"/>
      <c r="B211" s="3"/>
    </row>
    <row r="212" spans="1:2" x14ac:dyDescent="0.2">
      <c r="A212" s="3"/>
      <c r="B212" s="3"/>
    </row>
    <row r="213" spans="1:2" x14ac:dyDescent="0.2">
      <c r="A213" s="3"/>
      <c r="B213" s="3"/>
    </row>
    <row r="214" spans="1:2" x14ac:dyDescent="0.2">
      <c r="A214" s="3"/>
      <c r="B214" s="3"/>
    </row>
    <row r="215" spans="1:2" x14ac:dyDescent="0.2">
      <c r="A215" s="3"/>
      <c r="B215" s="3"/>
    </row>
    <row r="216" spans="1:2" x14ac:dyDescent="0.2">
      <c r="A216" s="3"/>
      <c r="B216" s="3"/>
    </row>
    <row r="217" spans="1:2" x14ac:dyDescent="0.2">
      <c r="A217" s="3"/>
      <c r="B217" s="3"/>
    </row>
    <row r="218" spans="1:2" x14ac:dyDescent="0.2">
      <c r="A218" s="3"/>
      <c r="B218" s="3"/>
    </row>
    <row r="219" spans="1:2" x14ac:dyDescent="0.2">
      <c r="A219" s="3"/>
      <c r="B219" s="3"/>
    </row>
    <row r="220" spans="1:2" x14ac:dyDescent="0.2">
      <c r="A220" s="3"/>
      <c r="B220" s="3"/>
    </row>
    <row r="221" spans="1:2" x14ac:dyDescent="0.2">
      <c r="A221" s="3"/>
      <c r="B221" s="3"/>
    </row>
    <row r="222" spans="1:2" x14ac:dyDescent="0.2">
      <c r="A222" s="3"/>
      <c r="B222" s="3"/>
    </row>
    <row r="223" spans="1:2" x14ac:dyDescent="0.2">
      <c r="A223" s="3"/>
      <c r="B223" s="3"/>
    </row>
    <row r="224" spans="1:2" x14ac:dyDescent="0.2">
      <c r="A224" s="3"/>
      <c r="B224" s="3"/>
    </row>
    <row r="225" spans="1:2" x14ac:dyDescent="0.2">
      <c r="A225" s="3"/>
      <c r="B225" s="3"/>
    </row>
    <row r="226" spans="1:2" x14ac:dyDescent="0.2">
      <c r="A226" s="3"/>
      <c r="B226" s="3"/>
    </row>
    <row r="227" spans="1:2" x14ac:dyDescent="0.2">
      <c r="A227" s="3"/>
      <c r="B227" s="3"/>
    </row>
    <row r="228" spans="1:2" x14ac:dyDescent="0.2">
      <c r="A228" s="3"/>
      <c r="B228" s="3"/>
    </row>
    <row r="229" spans="1:2" x14ac:dyDescent="0.2">
      <c r="A229" s="3"/>
      <c r="B229" s="3"/>
    </row>
    <row r="230" spans="1:2" x14ac:dyDescent="0.2">
      <c r="A230" s="3"/>
      <c r="B230" s="3"/>
    </row>
    <row r="231" spans="1:2" x14ac:dyDescent="0.2">
      <c r="A231" s="3"/>
      <c r="B231" s="3"/>
    </row>
    <row r="232" spans="1:2" x14ac:dyDescent="0.2">
      <c r="A232" s="3"/>
      <c r="B232" s="3"/>
    </row>
    <row r="233" spans="1:2" x14ac:dyDescent="0.2">
      <c r="A233" s="3"/>
      <c r="B233" s="3"/>
    </row>
    <row r="234" spans="1:2" x14ac:dyDescent="0.2">
      <c r="A234" s="3"/>
      <c r="B234" s="3"/>
    </row>
    <row r="235" spans="1:2" x14ac:dyDescent="0.2">
      <c r="A235" s="3"/>
      <c r="B235" s="3"/>
    </row>
    <row r="236" spans="1:2" x14ac:dyDescent="0.2">
      <c r="A236" s="3"/>
      <c r="B236" s="3"/>
    </row>
    <row r="237" spans="1:2" x14ac:dyDescent="0.2">
      <c r="A237" s="3"/>
      <c r="B237" s="3"/>
    </row>
    <row r="238" spans="1:2" x14ac:dyDescent="0.2">
      <c r="A238" s="3"/>
      <c r="B238" s="3"/>
    </row>
    <row r="239" spans="1:2" x14ac:dyDescent="0.2">
      <c r="A239" s="3"/>
      <c r="B239" s="3"/>
    </row>
  </sheetData>
  <mergeCells count="125">
    <mergeCell ref="C110:D110"/>
    <mergeCell ref="I110:J110"/>
    <mergeCell ref="C106:D106"/>
    <mergeCell ref="C107:D107"/>
    <mergeCell ref="I107:J107"/>
    <mergeCell ref="C113:D113"/>
    <mergeCell ref="I113:J113"/>
    <mergeCell ref="I111:J111"/>
    <mergeCell ref="C112:D112"/>
    <mergeCell ref="I112:J112"/>
    <mergeCell ref="C108:D108"/>
    <mergeCell ref="I108:J108"/>
    <mergeCell ref="C109:D109"/>
    <mergeCell ref="C111:D111"/>
    <mergeCell ref="I109:J109"/>
    <mergeCell ref="C105:D105"/>
    <mergeCell ref="I105:J105"/>
    <mergeCell ref="I106:J106"/>
    <mergeCell ref="C102:D102"/>
    <mergeCell ref="I102:J102"/>
    <mergeCell ref="C103:D103"/>
    <mergeCell ref="I103:J103"/>
    <mergeCell ref="X7:Y7"/>
    <mergeCell ref="X20:Y20"/>
    <mergeCell ref="X35:Y35"/>
    <mergeCell ref="X61:Y61"/>
    <mergeCell ref="X31:Y31"/>
    <mergeCell ref="U91:V91"/>
    <mergeCell ref="U96:V96"/>
    <mergeCell ref="U7:V7"/>
    <mergeCell ref="U20:V20"/>
    <mergeCell ref="U28:V28"/>
    <mergeCell ref="U31:V31"/>
    <mergeCell ref="U35:V35"/>
    <mergeCell ref="U61:V61"/>
    <mergeCell ref="C100:D100"/>
    <mergeCell ref="I100:J100"/>
    <mergeCell ref="C101:D101"/>
    <mergeCell ref="I101:J101"/>
    <mergeCell ref="C98:D98"/>
    <mergeCell ref="I98:J98"/>
    <mergeCell ref="C99:D99"/>
    <mergeCell ref="I99:J99"/>
    <mergeCell ref="C104:D104"/>
    <mergeCell ref="I104:J104"/>
    <mergeCell ref="X91:Y91"/>
    <mergeCell ref="I29:J29"/>
    <mergeCell ref="C30:D30"/>
    <mergeCell ref="E30:F30"/>
    <mergeCell ref="G91:H91"/>
    <mergeCell ref="I91:J91"/>
    <mergeCell ref="K91:L91"/>
    <mergeCell ref="C61:D61"/>
    <mergeCell ref="X96:Y96"/>
    <mergeCell ref="C91:D91"/>
    <mergeCell ref="E91:F91"/>
    <mergeCell ref="C96:D96"/>
    <mergeCell ref="E96:F96"/>
    <mergeCell ref="G96:H96"/>
    <mergeCell ref="Q91:R91"/>
    <mergeCell ref="Q96:R96"/>
    <mergeCell ref="I96:J96"/>
    <mergeCell ref="K96:L96"/>
    <mergeCell ref="E61:F61"/>
    <mergeCell ref="E35:F35"/>
    <mergeCell ref="I20:J20"/>
    <mergeCell ref="I35:J35"/>
    <mergeCell ref="G35:H35"/>
    <mergeCell ref="I61:J61"/>
    <mergeCell ref="G61:H61"/>
    <mergeCell ref="C35:D35"/>
    <mergeCell ref="E31:F31"/>
    <mergeCell ref="C20:D20"/>
    <mergeCell ref="O35:P35"/>
    <mergeCell ref="C31:D31"/>
    <mergeCell ref="E29:F29"/>
    <mergeCell ref="C28:D28"/>
    <mergeCell ref="E28:F28"/>
    <mergeCell ref="E20:F20"/>
    <mergeCell ref="I28:J28"/>
    <mergeCell ref="C29:D29"/>
    <mergeCell ref="X28:Y28"/>
    <mergeCell ref="G30:H30"/>
    <mergeCell ref="I30:J30"/>
    <mergeCell ref="G20:H20"/>
    <mergeCell ref="G28:H28"/>
    <mergeCell ref="G31:H31"/>
    <mergeCell ref="I31:J31"/>
    <mergeCell ref="G29:H29"/>
    <mergeCell ref="O20:P20"/>
    <mergeCell ref="O28:P28"/>
    <mergeCell ref="K61:L61"/>
    <mergeCell ref="S7:T7"/>
    <mergeCell ref="S20:T20"/>
    <mergeCell ref="S28:T28"/>
    <mergeCell ref="S31:T31"/>
    <mergeCell ref="I7:J7"/>
    <mergeCell ref="Q35:R35"/>
    <mergeCell ref="K7:L7"/>
    <mergeCell ref="K20:L20"/>
    <mergeCell ref="K35:L35"/>
    <mergeCell ref="K28:L28"/>
    <mergeCell ref="M28:N28"/>
    <mergeCell ref="Q20:R20"/>
    <mergeCell ref="Q28:R28"/>
    <mergeCell ref="Q31:R31"/>
    <mergeCell ref="S35:T35"/>
    <mergeCell ref="K31:L31"/>
    <mergeCell ref="Q7:R7"/>
    <mergeCell ref="M7:N7"/>
    <mergeCell ref="M20:N20"/>
    <mergeCell ref="M35:N35"/>
    <mergeCell ref="M31:N31"/>
    <mergeCell ref="O7:P7"/>
    <mergeCell ref="O31:P31"/>
    <mergeCell ref="O91:P91"/>
    <mergeCell ref="O96:P96"/>
    <mergeCell ref="S91:T91"/>
    <mergeCell ref="S96:T96"/>
    <mergeCell ref="O61:P61"/>
    <mergeCell ref="M96:N96"/>
    <mergeCell ref="M91:N91"/>
    <mergeCell ref="M61:N61"/>
    <mergeCell ref="Q61:R61"/>
    <mergeCell ref="S61:T61"/>
  </mergeCells>
  <phoneticPr fontId="3" type="noConversion"/>
  <printOptions horizontalCentered="1"/>
  <pageMargins left="0.5" right="0.5" top="0.5" bottom="0.5" header="0.5" footer="0.25"/>
  <pageSetup scale="70" orientation="landscape" r:id="rId1"/>
  <headerFooter alignWithMargins="0">
    <oddFooter>&amp;R&amp;P of &amp;N
&amp;D</oddFooter>
  </headerFooter>
  <rowBreaks count="1" manualBreakCount="1">
    <brk id="57" max="2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B115"/>
  <sheetViews>
    <sheetView view="pageBreakPreview" zoomScaleNormal="100" workbookViewId="0">
      <pane xSplit="2" ySplit="1" topLeftCell="I83" activePane="bottomRight" state="frozen"/>
      <selection activeCell="V50" sqref="V50"/>
      <selection pane="topRight" activeCell="V50" sqref="V50"/>
      <selection pane="bottomLeft" activeCell="V50" sqref="V50"/>
      <selection pane="bottomRight" activeCell="V50" sqref="V50"/>
    </sheetView>
  </sheetViews>
  <sheetFormatPr defaultColWidth="10.28515625" defaultRowHeight="12.75" x14ac:dyDescent="0.2"/>
  <cols>
    <col min="1" max="1" width="3.7109375" style="3" customWidth="1"/>
    <col min="2" max="2" width="29.7109375" style="3" customWidth="1"/>
    <col min="3" max="3" width="7.7109375" hidden="1" customWidth="1"/>
    <col min="4" max="4" width="10.7109375" hidden="1" customWidth="1"/>
    <col min="5" max="5" width="7.7109375" hidden="1" customWidth="1"/>
    <col min="6" max="6" width="10.7109375" hidden="1" customWidth="1"/>
    <col min="7" max="7" width="7.7109375" style="115" hidden="1" customWidth="1"/>
    <col min="8" max="8" width="10.7109375" style="115" hidden="1" customWidth="1"/>
    <col min="9" max="9" width="7.7109375" style="115" customWidth="1"/>
    <col min="10" max="10" width="10.7109375" style="115" customWidth="1"/>
    <col min="11" max="11" width="7.7109375" style="3" customWidth="1"/>
    <col min="12" max="12" width="10.7109375" style="3" customWidth="1"/>
    <col min="13" max="13" width="7.7109375" style="3" customWidth="1"/>
    <col min="14" max="14" width="10.7109375" style="3" customWidth="1"/>
    <col min="15" max="15" width="7.7109375" style="3" customWidth="1"/>
    <col min="16" max="16" width="10.7109375" style="3" customWidth="1"/>
    <col min="17" max="17" width="7.7109375" style="3" customWidth="1"/>
    <col min="18" max="18" width="10.7109375" style="3" customWidth="1"/>
    <col min="19" max="19" width="7.7109375" style="3" customWidth="1"/>
    <col min="20" max="20" width="10.7109375" style="3" customWidth="1"/>
    <col min="21" max="21" width="7.7109375" style="3" customWidth="1"/>
    <col min="22" max="22" width="10.7109375" style="3" customWidth="1"/>
    <col min="23" max="23" width="1.5703125" style="3" customWidth="1"/>
    <col min="24" max="24" width="7.7109375" style="3" customWidth="1"/>
    <col min="25" max="25" width="10.7109375" style="3" customWidth="1"/>
    <col min="26" max="26" width="1.140625" style="3" customWidth="1"/>
    <col min="27" max="16384" width="10.28515625" style="3"/>
  </cols>
  <sheetData>
    <row r="1" spans="1:25" ht="18" x14ac:dyDescent="0.25">
      <c r="A1" s="1183" t="str">
        <f>Dean_AS!A1</f>
        <v>Department Profile Report - FY 2015</v>
      </c>
      <c r="B1" s="1183"/>
      <c r="C1" s="1183"/>
      <c r="D1" s="1183"/>
      <c r="E1" s="1183"/>
      <c r="F1" s="1183"/>
      <c r="G1" s="1183"/>
      <c r="H1" s="1183"/>
      <c r="I1" s="1239"/>
      <c r="J1" s="1239"/>
      <c r="K1" s="1228"/>
      <c r="L1" s="1228"/>
      <c r="M1" s="1228"/>
      <c r="N1" s="1228"/>
      <c r="O1" s="1228"/>
      <c r="P1" s="1228"/>
      <c r="Q1" s="1228"/>
      <c r="R1" s="1228"/>
      <c r="S1" s="1228"/>
      <c r="T1" s="1228"/>
      <c r="U1" s="1228"/>
      <c r="V1" s="1228"/>
      <c r="W1" s="1228"/>
      <c r="X1" s="1228"/>
      <c r="Y1" s="1228"/>
    </row>
    <row r="2" spans="1:25" ht="12" x14ac:dyDescent="0.2">
      <c r="C2" s="3"/>
      <c r="D2" s="3"/>
      <c r="E2" s="3"/>
      <c r="F2" s="3"/>
      <c r="G2" s="117"/>
      <c r="H2" s="117"/>
      <c r="I2" s="117"/>
      <c r="J2" s="117"/>
    </row>
    <row r="3" spans="1:25" x14ac:dyDescent="0.2">
      <c r="A3" s="2" t="s">
        <v>108</v>
      </c>
      <c r="B3" s="117"/>
      <c r="C3" s="3"/>
      <c r="D3" s="3"/>
      <c r="E3" s="3"/>
      <c r="F3" s="3"/>
      <c r="G3" s="117"/>
      <c r="H3" s="117"/>
      <c r="I3" s="117"/>
      <c r="J3" s="117"/>
    </row>
    <row r="4" spans="1:25" ht="12" x14ac:dyDescent="0.2">
      <c r="C4" s="3"/>
      <c r="D4" s="3"/>
      <c r="E4" s="3"/>
      <c r="F4" s="3"/>
      <c r="G4" s="117"/>
      <c r="H4" s="117"/>
      <c r="I4" s="117"/>
      <c r="J4" s="117"/>
    </row>
    <row r="5" spans="1:25" x14ac:dyDescent="0.2">
      <c r="A5" s="2" t="s">
        <v>77</v>
      </c>
      <c r="C5" s="3"/>
      <c r="D5" s="3"/>
      <c r="E5" s="3"/>
      <c r="F5" s="3"/>
      <c r="G5" s="117"/>
      <c r="H5" s="117"/>
      <c r="I5" s="117"/>
      <c r="J5" s="117"/>
    </row>
    <row r="6" spans="1:25" thickBot="1" x14ac:dyDescent="0.25">
      <c r="A6" s="4"/>
      <c r="C6" s="3"/>
      <c r="D6" s="3"/>
      <c r="E6" s="3"/>
      <c r="F6" s="3"/>
      <c r="G6" s="117"/>
      <c r="H6" s="117"/>
      <c r="I6" s="117"/>
      <c r="J6" s="117"/>
    </row>
    <row r="7" spans="1:25" ht="13.5" customHeight="1" thickTop="1" thickBot="1" x14ac:dyDescent="0.25">
      <c r="B7" s="22"/>
      <c r="C7" s="29" t="s">
        <v>49</v>
      </c>
      <c r="D7" s="51"/>
      <c r="E7" s="29" t="s">
        <v>50</v>
      </c>
      <c r="F7" s="7"/>
      <c r="G7" s="302" t="s">
        <v>141</v>
      </c>
      <c r="H7" s="121"/>
      <c r="I7" s="1968" t="s">
        <v>152</v>
      </c>
      <c r="J7" s="1968"/>
      <c r="K7" s="1994" t="s">
        <v>154</v>
      </c>
      <c r="L7" s="1968"/>
      <c r="M7" s="1994" t="s">
        <v>171</v>
      </c>
      <c r="N7" s="1980"/>
      <c r="O7" s="1968" t="s">
        <v>227</v>
      </c>
      <c r="P7" s="1980"/>
      <c r="Q7" s="1968" t="s">
        <v>237</v>
      </c>
      <c r="R7" s="1980"/>
      <c r="S7" s="1968" t="s">
        <v>272</v>
      </c>
      <c r="T7" s="1980"/>
      <c r="U7" s="1968" t="s">
        <v>274</v>
      </c>
      <c r="V7" s="1969"/>
      <c r="X7" s="2003" t="s">
        <v>213</v>
      </c>
      <c r="Y7" s="2004"/>
    </row>
    <row r="8" spans="1:25" ht="12" x14ac:dyDescent="0.2">
      <c r="B8" s="71"/>
      <c r="C8" s="42" t="s">
        <v>1</v>
      </c>
      <c r="D8" s="47" t="s">
        <v>2</v>
      </c>
      <c r="E8" s="42" t="s">
        <v>1</v>
      </c>
      <c r="F8" s="8" t="s">
        <v>2</v>
      </c>
      <c r="G8" s="303" t="s">
        <v>1</v>
      </c>
      <c r="H8" s="125" t="s">
        <v>2</v>
      </c>
      <c r="I8" s="124" t="s">
        <v>1</v>
      </c>
      <c r="J8" s="300" t="s">
        <v>2</v>
      </c>
      <c r="K8" s="303" t="s">
        <v>1</v>
      </c>
      <c r="L8" s="300" t="s">
        <v>2</v>
      </c>
      <c r="M8" s="303" t="s">
        <v>1</v>
      </c>
      <c r="N8" s="125" t="s">
        <v>2</v>
      </c>
      <c r="O8" s="124" t="s">
        <v>1</v>
      </c>
      <c r="P8" s="125" t="s">
        <v>2</v>
      </c>
      <c r="Q8" s="124" t="s">
        <v>1</v>
      </c>
      <c r="R8" s="125" t="s">
        <v>2</v>
      </c>
      <c r="S8" s="124" t="s">
        <v>1</v>
      </c>
      <c r="T8" s="125" t="s">
        <v>2</v>
      </c>
      <c r="U8" s="124" t="s">
        <v>1</v>
      </c>
      <c r="V8" s="126" t="s">
        <v>2</v>
      </c>
      <c r="X8" s="921" t="s">
        <v>214</v>
      </c>
      <c r="Y8" s="922" t="s">
        <v>215</v>
      </c>
    </row>
    <row r="9" spans="1:25" thickBot="1" x14ac:dyDescent="0.25">
      <c r="B9" s="72"/>
      <c r="C9" s="46" t="s">
        <v>3</v>
      </c>
      <c r="D9" s="48" t="s">
        <v>4</v>
      </c>
      <c r="E9" s="46" t="s">
        <v>3</v>
      </c>
      <c r="F9" s="26" t="s">
        <v>4</v>
      </c>
      <c r="G9" s="304" t="s">
        <v>3</v>
      </c>
      <c r="H9" s="123" t="s">
        <v>4</v>
      </c>
      <c r="I9" s="127" t="s">
        <v>3</v>
      </c>
      <c r="J9" s="301" t="s">
        <v>4</v>
      </c>
      <c r="K9" s="304" t="s">
        <v>3</v>
      </c>
      <c r="L9" s="301" t="s">
        <v>4</v>
      </c>
      <c r="M9" s="304" t="s">
        <v>3</v>
      </c>
      <c r="N9" s="123" t="s">
        <v>4</v>
      </c>
      <c r="O9" s="127" t="s">
        <v>3</v>
      </c>
      <c r="P9" s="123" t="s">
        <v>4</v>
      </c>
      <c r="Q9" s="127" t="s">
        <v>3</v>
      </c>
      <c r="R9" s="123" t="s">
        <v>4</v>
      </c>
      <c r="S9" s="127" t="s">
        <v>3</v>
      </c>
      <c r="T9" s="123" t="s">
        <v>4</v>
      </c>
      <c r="U9" s="127" t="s">
        <v>3</v>
      </c>
      <c r="V9" s="128" t="s">
        <v>4</v>
      </c>
      <c r="X9" s="923" t="s">
        <v>3</v>
      </c>
      <c r="Y9" s="924" t="s">
        <v>4</v>
      </c>
    </row>
    <row r="10" spans="1:25" ht="12" x14ac:dyDescent="0.2">
      <c r="B10" s="73" t="s">
        <v>5</v>
      </c>
      <c r="C10" s="15"/>
      <c r="D10" s="49"/>
      <c r="E10" s="15"/>
      <c r="F10" s="13"/>
      <c r="G10" s="305"/>
      <c r="H10" s="131"/>
      <c r="I10" s="130"/>
      <c r="J10" s="150"/>
      <c r="K10" s="305"/>
      <c r="L10" s="150"/>
      <c r="M10" s="305"/>
      <c r="N10" s="131"/>
      <c r="O10" s="130"/>
      <c r="P10" s="131"/>
      <c r="Q10" s="130"/>
      <c r="R10" s="131"/>
      <c r="S10" s="130"/>
      <c r="T10" s="131"/>
      <c r="U10" s="130"/>
      <c r="V10" s="296"/>
      <c r="X10" s="925"/>
      <c r="Y10" s="581"/>
    </row>
    <row r="11" spans="1:25" ht="12" x14ac:dyDescent="0.2">
      <c r="B11" s="408" t="s">
        <v>255</v>
      </c>
      <c r="C11" s="132"/>
      <c r="D11" s="176"/>
      <c r="E11" s="132"/>
      <c r="F11" s="17"/>
      <c r="G11" s="175"/>
      <c r="H11" s="176"/>
      <c r="I11" s="132"/>
      <c r="J11" s="137"/>
      <c r="K11" s="175"/>
      <c r="L11" s="137"/>
      <c r="M11" s="175"/>
      <c r="N11" s="176"/>
      <c r="O11" s="132"/>
      <c r="P11" s="176"/>
      <c r="Q11" s="132"/>
      <c r="R11" s="176"/>
      <c r="S11" s="132"/>
      <c r="T11" s="176"/>
      <c r="U11" s="132"/>
      <c r="V11" s="290"/>
      <c r="X11" s="926"/>
      <c r="Y11" s="927"/>
    </row>
    <row r="12" spans="1:25" s="618" customFormat="1" ht="12" x14ac:dyDescent="0.2">
      <c r="B12" s="654" t="s">
        <v>221</v>
      </c>
      <c r="C12" s="646">
        <v>63</v>
      </c>
      <c r="D12" s="647">
        <f>4+1</f>
        <v>5</v>
      </c>
      <c r="E12" s="646">
        <v>70</v>
      </c>
      <c r="F12" s="684">
        <f>8</f>
        <v>8</v>
      </c>
      <c r="G12" s="724">
        <v>72</v>
      </c>
      <c r="H12" s="659">
        <v>9</v>
      </c>
      <c r="I12" s="725">
        <f>59+9</f>
        <v>68</v>
      </c>
      <c r="J12" s="726">
        <f>13+1</f>
        <v>14</v>
      </c>
      <c r="K12" s="657">
        <v>63</v>
      </c>
      <c r="L12" s="648">
        <f>7+1</f>
        <v>8</v>
      </c>
      <c r="M12" s="657">
        <v>69</v>
      </c>
      <c r="N12" s="647">
        <v>6</v>
      </c>
      <c r="O12" s="758">
        <v>83</v>
      </c>
      <c r="P12" s="647">
        <v>5</v>
      </c>
      <c r="Q12" s="758">
        <f>50+23</f>
        <v>73</v>
      </c>
      <c r="R12" s="647">
        <v>9</v>
      </c>
      <c r="S12" s="758">
        <v>76</v>
      </c>
      <c r="T12" s="647">
        <v>6</v>
      </c>
      <c r="U12" s="1815"/>
      <c r="V12" s="1667"/>
      <c r="W12" s="1032"/>
      <c r="X12" s="926">
        <f>AVERAGE(M12,K12,S12,Q12,O12)</f>
        <v>72.8</v>
      </c>
      <c r="Y12" s="928">
        <f>AVERAGE(L12,T12,R12,P12,N12)</f>
        <v>6.8</v>
      </c>
    </row>
    <row r="13" spans="1:25" s="618" customFormat="1" ht="12" x14ac:dyDescent="0.2">
      <c r="B13" s="654" t="s">
        <v>252</v>
      </c>
      <c r="C13" s="646">
        <v>39</v>
      </c>
      <c r="D13" s="683">
        <v>3</v>
      </c>
      <c r="E13" s="682">
        <v>43</v>
      </c>
      <c r="F13" s="684">
        <v>6</v>
      </c>
      <c r="G13" s="724">
        <v>43</v>
      </c>
      <c r="H13" s="663">
        <v>2</v>
      </c>
      <c r="I13" s="725">
        <v>45</v>
      </c>
      <c r="J13" s="665">
        <v>1</v>
      </c>
      <c r="K13" s="657">
        <v>37</v>
      </c>
      <c r="L13" s="697">
        <v>4</v>
      </c>
      <c r="M13" s="657">
        <v>21</v>
      </c>
      <c r="N13" s="647">
        <v>3</v>
      </c>
      <c r="O13" s="657">
        <v>36</v>
      </c>
      <c r="P13" s="696">
        <v>5</v>
      </c>
      <c r="Q13" s="758">
        <f>38+1</f>
        <v>39</v>
      </c>
      <c r="R13" s="647">
        <v>0</v>
      </c>
      <c r="S13" s="758">
        <v>47</v>
      </c>
      <c r="T13" s="647">
        <v>11</v>
      </c>
      <c r="U13" s="1815"/>
      <c r="V13" s="1667"/>
      <c r="W13" s="1032"/>
      <c r="X13" s="926">
        <f>AVERAGE(M13,K13,S13,Q13,O13)</f>
        <v>36</v>
      </c>
      <c r="Y13" s="928">
        <f>AVERAGE(L13,T13,R13,P13,N13)</f>
        <v>4.5999999999999996</v>
      </c>
    </row>
    <row r="14" spans="1:25" s="618" customFormat="1" ht="12" x14ac:dyDescent="0.2">
      <c r="B14" s="654" t="s">
        <v>253</v>
      </c>
      <c r="C14" s="646"/>
      <c r="D14" s="683"/>
      <c r="E14" s="682"/>
      <c r="F14" s="684"/>
      <c r="G14" s="1453"/>
      <c r="H14" s="1454"/>
      <c r="I14" s="1455"/>
      <c r="J14" s="1456"/>
      <c r="K14" s="1457"/>
      <c r="L14" s="1458"/>
      <c r="M14" s="1457"/>
      <c r="N14" s="656"/>
      <c r="O14" s="1459"/>
      <c r="P14" s="656"/>
      <c r="Q14" s="1459"/>
      <c r="R14" s="656"/>
      <c r="S14" s="1248">
        <v>2</v>
      </c>
      <c r="T14" s="647">
        <v>0</v>
      </c>
      <c r="U14" s="1816"/>
      <c r="V14" s="1667"/>
      <c r="W14" s="1032"/>
      <c r="X14" s="926"/>
      <c r="Y14" s="928"/>
    </row>
    <row r="15" spans="1:25" s="618" customFormat="1" ht="12" x14ac:dyDescent="0.2">
      <c r="B15" s="654" t="s">
        <v>167</v>
      </c>
      <c r="C15" s="693">
        <v>22</v>
      </c>
      <c r="D15" s="694">
        <v>6</v>
      </c>
      <c r="E15" s="693">
        <v>17</v>
      </c>
      <c r="F15" s="695">
        <v>11</v>
      </c>
      <c r="G15" s="724">
        <v>15</v>
      </c>
      <c r="H15" s="663">
        <v>6</v>
      </c>
      <c r="I15" s="725">
        <v>14</v>
      </c>
      <c r="J15" s="665">
        <v>7</v>
      </c>
      <c r="K15" s="657">
        <v>19</v>
      </c>
      <c r="L15" s="697">
        <v>13</v>
      </c>
      <c r="M15" s="657">
        <v>19</v>
      </c>
      <c r="N15" s="696">
        <v>10</v>
      </c>
      <c r="O15" s="758">
        <v>18</v>
      </c>
      <c r="P15" s="696">
        <v>14</v>
      </c>
      <c r="Q15" s="758">
        <v>28</v>
      </c>
      <c r="R15" s="696">
        <v>20</v>
      </c>
      <c r="S15" s="758">
        <v>29</v>
      </c>
      <c r="T15" s="696">
        <v>15</v>
      </c>
      <c r="U15" s="1815"/>
      <c r="V15" s="1669"/>
      <c r="W15" s="1032"/>
      <c r="X15" s="926">
        <f>AVERAGE(M15,K15,S15,Q15,O15)</f>
        <v>22.6</v>
      </c>
      <c r="Y15" s="928">
        <f>AVERAGE(L15,T15,R15,P15,N15)</f>
        <v>14.4</v>
      </c>
    </row>
    <row r="16" spans="1:25" s="618" customFormat="1" ht="12" x14ac:dyDescent="0.2">
      <c r="B16" s="789" t="s">
        <v>109</v>
      </c>
      <c r="C16" s="672"/>
      <c r="D16" s="700"/>
      <c r="E16" s="672"/>
      <c r="F16" s="735"/>
      <c r="G16" s="738"/>
      <c r="H16" s="663"/>
      <c r="I16" s="739"/>
      <c r="J16" s="665"/>
      <c r="K16" s="740"/>
      <c r="L16" s="736"/>
      <c r="M16" s="740"/>
      <c r="N16" s="658"/>
      <c r="O16" s="1248"/>
      <c r="P16" s="658"/>
      <c r="Q16" s="1248"/>
      <c r="R16" s="658"/>
      <c r="S16" s="1248"/>
      <c r="T16" s="658"/>
      <c r="U16" s="1816"/>
      <c r="V16" s="1666"/>
      <c r="X16" s="926"/>
      <c r="Y16" s="928"/>
    </row>
    <row r="17" spans="1:28" s="618" customFormat="1" thickBot="1" x14ac:dyDescent="0.25">
      <c r="B17" s="784" t="s">
        <v>221</v>
      </c>
      <c r="C17" s="714">
        <v>115</v>
      </c>
      <c r="D17" s="712">
        <v>12</v>
      </c>
      <c r="E17" s="714">
        <f>125+1</f>
        <v>126</v>
      </c>
      <c r="F17" s="713">
        <v>14</v>
      </c>
      <c r="G17" s="731">
        <v>119</v>
      </c>
      <c r="H17" s="716">
        <v>18</v>
      </c>
      <c r="I17" s="732">
        <f>106+1+2+2</f>
        <v>111</v>
      </c>
      <c r="J17" s="718">
        <v>10</v>
      </c>
      <c r="K17" s="741">
        <v>105</v>
      </c>
      <c r="L17" s="718">
        <v>13</v>
      </c>
      <c r="M17" s="741">
        <f>112+3</f>
        <v>115</v>
      </c>
      <c r="N17" s="716">
        <v>19</v>
      </c>
      <c r="O17" s="766">
        <v>111</v>
      </c>
      <c r="P17" s="716">
        <v>9</v>
      </c>
      <c r="Q17" s="766">
        <v>121</v>
      </c>
      <c r="R17" s="716">
        <v>11</v>
      </c>
      <c r="S17" s="766">
        <v>142</v>
      </c>
      <c r="T17" s="716">
        <v>16</v>
      </c>
      <c r="U17" s="1817"/>
      <c r="V17" s="1648"/>
      <c r="X17" s="929">
        <f>AVERAGE(M17,K17,S17,Q17,O17)</f>
        <v>118.8</v>
      </c>
      <c r="Y17" s="1021">
        <f>AVERAGE(L17,T17,R17,P17,N17)</f>
        <v>13.6</v>
      </c>
    </row>
    <row r="18" spans="1:28" thickTop="1" x14ac:dyDescent="0.2">
      <c r="B18" s="70" t="s">
        <v>170</v>
      </c>
      <c r="C18" s="33"/>
      <c r="D18" s="34"/>
      <c r="E18" s="33"/>
      <c r="F18" s="34"/>
      <c r="G18" s="298"/>
      <c r="H18" s="135"/>
      <c r="I18" s="298"/>
      <c r="J18" s="135"/>
      <c r="K18" s="298"/>
      <c r="L18" s="135"/>
      <c r="M18" s="298"/>
      <c r="N18" s="135"/>
      <c r="O18" s="298"/>
      <c r="P18" s="135"/>
      <c r="Q18" s="298"/>
      <c r="R18" s="135"/>
      <c r="S18" s="298"/>
      <c r="T18" s="135"/>
      <c r="U18" s="298"/>
      <c r="V18" s="135"/>
      <c r="X18" s="668"/>
      <c r="Y18" s="494"/>
    </row>
    <row r="19" spans="1:28" thickBot="1" x14ac:dyDescent="0.25">
      <c r="C19" s="3"/>
      <c r="D19" s="3"/>
      <c r="E19" s="3"/>
      <c r="F19" s="3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X19" s="668"/>
      <c r="Y19" s="494"/>
    </row>
    <row r="20" spans="1:28" ht="14.25" customHeight="1" thickTop="1" thickBot="1" x14ac:dyDescent="0.25">
      <c r="B20" s="340"/>
      <c r="C20" s="2013" t="s">
        <v>49</v>
      </c>
      <c r="D20" s="2014"/>
      <c r="E20" s="2015" t="s">
        <v>50</v>
      </c>
      <c r="F20" s="2015"/>
      <c r="G20" s="2002" t="s">
        <v>141</v>
      </c>
      <c r="H20" s="1982"/>
      <c r="I20" s="2081" t="s">
        <v>152</v>
      </c>
      <c r="J20" s="2081"/>
      <c r="K20" s="2082" t="s">
        <v>154</v>
      </c>
      <c r="L20" s="2081"/>
      <c r="M20" s="2082" t="s">
        <v>171</v>
      </c>
      <c r="N20" s="2083"/>
      <c r="O20" s="2081" t="s">
        <v>227</v>
      </c>
      <c r="P20" s="2083"/>
      <c r="Q20" s="2081" t="s">
        <v>237</v>
      </c>
      <c r="R20" s="2083"/>
      <c r="S20" s="2081" t="s">
        <v>272</v>
      </c>
      <c r="T20" s="2083"/>
      <c r="U20" s="2081" t="s">
        <v>274</v>
      </c>
      <c r="V20" s="2084"/>
      <c r="X20" s="2003" t="s">
        <v>213</v>
      </c>
      <c r="Y20" s="2004"/>
    </row>
    <row r="21" spans="1:28" ht="12" x14ac:dyDescent="0.2">
      <c r="B21" s="73" t="s">
        <v>7</v>
      </c>
      <c r="C21" s="54"/>
      <c r="D21" s="92"/>
      <c r="E21" s="30"/>
      <c r="F21" s="30"/>
      <c r="G21" s="243"/>
      <c r="H21" s="244"/>
      <c r="I21" s="151"/>
      <c r="J21" s="151"/>
      <c r="K21" s="265"/>
      <c r="L21" s="151"/>
      <c r="M21" s="265"/>
      <c r="N21" s="248"/>
      <c r="O21" s="151"/>
      <c r="P21" s="248"/>
      <c r="Q21" s="151"/>
      <c r="R21" s="248"/>
      <c r="S21" s="151"/>
      <c r="T21" s="248"/>
      <c r="U21" s="151"/>
      <c r="V21" s="152"/>
      <c r="X21" s="831"/>
      <c r="Y21" s="930"/>
    </row>
    <row r="22" spans="1:28" ht="12" x14ac:dyDescent="0.2">
      <c r="B22" s="78" t="s">
        <v>8</v>
      </c>
      <c r="C22" s="184"/>
      <c r="D22" s="93"/>
      <c r="E22" s="31"/>
      <c r="F22" s="31"/>
      <c r="G22" s="239"/>
      <c r="H22" s="245"/>
      <c r="I22" s="139"/>
      <c r="J22" s="139"/>
      <c r="K22" s="239"/>
      <c r="L22" s="139"/>
      <c r="M22" s="239"/>
      <c r="N22" s="245"/>
      <c r="O22" s="139"/>
      <c r="P22" s="245"/>
      <c r="Q22" s="139"/>
      <c r="R22" s="245"/>
      <c r="S22" s="139"/>
      <c r="T22" s="245"/>
      <c r="U22" s="139"/>
      <c r="V22" s="141"/>
      <c r="X22" s="831"/>
      <c r="Y22" s="930"/>
    </row>
    <row r="23" spans="1:28" ht="12" x14ac:dyDescent="0.2">
      <c r="B23" s="78" t="s">
        <v>9</v>
      </c>
      <c r="C23" s="184"/>
      <c r="D23" s="165">
        <v>5602</v>
      </c>
      <c r="E23" s="31"/>
      <c r="F23" s="171">
        <v>5703</v>
      </c>
      <c r="G23" s="239"/>
      <c r="H23" s="261">
        <v>5720</v>
      </c>
      <c r="I23" s="139"/>
      <c r="J23" s="183">
        <v>5253</v>
      </c>
      <c r="K23" s="239"/>
      <c r="L23" s="183">
        <v>5587</v>
      </c>
      <c r="M23" s="239"/>
      <c r="N23" s="261">
        <v>5977</v>
      </c>
      <c r="O23" s="139"/>
      <c r="P23" s="261">
        <v>5896</v>
      </c>
      <c r="Q23" s="139"/>
      <c r="R23" s="261">
        <v>5940</v>
      </c>
      <c r="S23" s="139"/>
      <c r="T23" s="261">
        <v>6297</v>
      </c>
      <c r="U23" s="1743"/>
      <c r="V23" s="1649"/>
      <c r="X23" s="24"/>
      <c r="Y23" s="947">
        <f>AVERAGE(L23,T23,R23,P23,N23)</f>
        <v>5939.4</v>
      </c>
    </row>
    <row r="24" spans="1:28" ht="12" x14ac:dyDescent="0.2">
      <c r="B24" s="78" t="s">
        <v>10</v>
      </c>
      <c r="C24" s="184"/>
      <c r="D24" s="165">
        <v>2997</v>
      </c>
      <c r="E24" s="31"/>
      <c r="F24" s="171">
        <v>2977</v>
      </c>
      <c r="G24" s="239"/>
      <c r="H24" s="261">
        <v>3316</v>
      </c>
      <c r="I24" s="139"/>
      <c r="J24" s="183">
        <v>3185</v>
      </c>
      <c r="K24" s="239"/>
      <c r="L24" s="183">
        <v>2862</v>
      </c>
      <c r="M24" s="239"/>
      <c r="N24" s="261">
        <v>2433</v>
      </c>
      <c r="O24" s="139"/>
      <c r="P24" s="261">
        <v>2757</v>
      </c>
      <c r="Q24" s="139"/>
      <c r="R24" s="261">
        <v>2988</v>
      </c>
      <c r="S24" s="139"/>
      <c r="T24" s="261">
        <v>3006</v>
      </c>
      <c r="U24" s="1743"/>
      <c r="V24" s="1649"/>
      <c r="X24" s="12"/>
      <c r="Y24" s="947">
        <f>AVERAGE(L24,T24,R24,P24,N24)</f>
        <v>2809.2</v>
      </c>
    </row>
    <row r="25" spans="1:28" ht="12" x14ac:dyDescent="0.2">
      <c r="B25" s="78" t="s">
        <v>11</v>
      </c>
      <c r="C25" s="184"/>
      <c r="D25" s="165">
        <v>450</v>
      </c>
      <c r="E25" s="31"/>
      <c r="F25" s="171">
        <v>279</v>
      </c>
      <c r="G25" s="239"/>
      <c r="H25" s="261">
        <v>503</v>
      </c>
      <c r="I25" s="139"/>
      <c r="J25" s="183">
        <v>484</v>
      </c>
      <c r="K25" s="239"/>
      <c r="L25" s="183">
        <v>631</v>
      </c>
      <c r="M25" s="239"/>
      <c r="N25" s="261">
        <v>523</v>
      </c>
      <c r="O25" s="139"/>
      <c r="P25" s="261">
        <v>531</v>
      </c>
      <c r="Q25" s="139"/>
      <c r="R25" s="261">
        <v>794</v>
      </c>
      <c r="S25" s="139"/>
      <c r="T25" s="261">
        <v>576</v>
      </c>
      <c r="U25" s="1743"/>
      <c r="V25" s="1649"/>
      <c r="W25" s="955"/>
      <c r="X25" s="31"/>
      <c r="Y25" s="947">
        <f>AVERAGE(L25,T25,R25,P25,N25)</f>
        <v>611</v>
      </c>
    </row>
    <row r="26" spans="1:28" ht="12" x14ac:dyDescent="0.2">
      <c r="B26" s="78" t="s">
        <v>12</v>
      </c>
      <c r="C26" s="184"/>
      <c r="D26" s="94">
        <v>0</v>
      </c>
      <c r="E26" s="31"/>
      <c r="F26" s="39">
        <v>0</v>
      </c>
      <c r="G26" s="239"/>
      <c r="H26" s="240">
        <v>0</v>
      </c>
      <c r="I26" s="139"/>
      <c r="J26" s="241">
        <v>0</v>
      </c>
      <c r="K26" s="239"/>
      <c r="L26" s="241">
        <v>0</v>
      </c>
      <c r="M26" s="239"/>
      <c r="N26" s="240">
        <v>0</v>
      </c>
      <c r="O26" s="139"/>
      <c r="P26" s="240">
        <v>0</v>
      </c>
      <c r="Q26" s="139"/>
      <c r="R26" s="240">
        <v>0</v>
      </c>
      <c r="S26" s="139"/>
      <c r="T26" s="240">
        <v>0</v>
      </c>
      <c r="U26" s="1743"/>
      <c r="V26" s="1650"/>
      <c r="W26" s="955"/>
      <c r="X26" s="31"/>
      <c r="Y26" s="947">
        <f>AVERAGE(L26,T26,R26,P26,N26)</f>
        <v>0</v>
      </c>
    </row>
    <row r="27" spans="1:28" thickBot="1" x14ac:dyDescent="0.25">
      <c r="B27" s="79" t="s">
        <v>13</v>
      </c>
      <c r="C27" s="185"/>
      <c r="D27" s="186">
        <f>SUM(D23:D26)</f>
        <v>9049</v>
      </c>
      <c r="E27" s="90"/>
      <c r="F27" s="58">
        <f>SUM(F23:F26)</f>
        <v>8959</v>
      </c>
      <c r="G27" s="246"/>
      <c r="H27" s="247">
        <f>SUM(H23:H26)</f>
        <v>9539</v>
      </c>
      <c r="I27" s="164"/>
      <c r="J27" s="242">
        <f>SUM(J23:J26)</f>
        <v>8922</v>
      </c>
      <c r="K27" s="246"/>
      <c r="L27" s="242">
        <f>SUM(L23:L26)</f>
        <v>9080</v>
      </c>
      <c r="M27" s="246"/>
      <c r="N27" s="247">
        <f>SUM(N23:N26)</f>
        <v>8933</v>
      </c>
      <c r="O27" s="164"/>
      <c r="P27" s="247">
        <f>SUM(P23:P26)</f>
        <v>9184</v>
      </c>
      <c r="Q27" s="164"/>
      <c r="R27" s="247">
        <f>SUM(R23:R26)</f>
        <v>9722</v>
      </c>
      <c r="S27" s="164"/>
      <c r="T27" s="247">
        <f>SUM(T23:T26)</f>
        <v>9879</v>
      </c>
      <c r="U27" s="1788"/>
      <c r="V27" s="1651"/>
      <c r="W27" s="955"/>
      <c r="X27" s="182"/>
      <c r="Y27" s="1008">
        <f>AVERAGE(L27,T27,R27,P27,N27)</f>
        <v>9359.6</v>
      </c>
    </row>
    <row r="28" spans="1:28" customFormat="1" ht="12" customHeight="1" thickTop="1" thickBot="1" x14ac:dyDescent="0.25">
      <c r="A28" s="930"/>
      <c r="B28" s="931" t="s">
        <v>212</v>
      </c>
      <c r="C28" s="1992" t="s">
        <v>51</v>
      </c>
      <c r="D28" s="1997"/>
      <c r="E28" s="1992" t="s">
        <v>52</v>
      </c>
      <c r="F28" s="1997"/>
      <c r="G28" s="1989" t="s">
        <v>184</v>
      </c>
      <c r="H28" s="1981"/>
      <c r="I28" s="1989" t="s">
        <v>185</v>
      </c>
      <c r="J28" s="2005"/>
      <c r="K28" s="1989" t="s">
        <v>202</v>
      </c>
      <c r="L28" s="2005"/>
      <c r="M28" s="1991" t="s">
        <v>203</v>
      </c>
      <c r="N28" s="1981"/>
      <c r="O28" s="1970" t="s">
        <v>228</v>
      </c>
      <c r="P28" s="1981"/>
      <c r="Q28" s="1970" t="s">
        <v>238</v>
      </c>
      <c r="R28" s="1981"/>
      <c r="S28" s="1970" t="s">
        <v>273</v>
      </c>
      <c r="T28" s="1981"/>
      <c r="U28" s="1970" t="s">
        <v>275</v>
      </c>
      <c r="V28" s="1971"/>
      <c r="W28" s="932"/>
      <c r="X28" s="2009"/>
      <c r="Y28" s="2010"/>
      <c r="Z28" s="293"/>
      <c r="AA28" s="293"/>
      <c r="AB28" s="21"/>
    </row>
    <row r="29" spans="1:28" customFormat="1" ht="12" customHeight="1" x14ac:dyDescent="0.2">
      <c r="A29" s="930"/>
      <c r="B29" s="933" t="s">
        <v>189</v>
      </c>
      <c r="C29" s="2016">
        <v>0.29399999999999998</v>
      </c>
      <c r="D29" s="2017"/>
      <c r="E29" s="1995">
        <v>0.32200000000000001</v>
      </c>
      <c r="F29" s="1996"/>
      <c r="G29" s="1995">
        <v>0.34399999999999997</v>
      </c>
      <c r="H29" s="1996"/>
      <c r="I29" s="1995">
        <v>0.318</v>
      </c>
      <c r="J29" s="2006"/>
      <c r="K29" s="934"/>
      <c r="L29" s="935">
        <v>0.29099999999999998</v>
      </c>
      <c r="M29" s="936"/>
      <c r="N29" s="1178">
        <v>0.27500000000000002</v>
      </c>
      <c r="O29" s="1176"/>
      <c r="P29" s="1178">
        <v>0.31</v>
      </c>
      <c r="Q29" s="1271"/>
      <c r="R29" s="1178">
        <v>0.33300000000000002</v>
      </c>
      <c r="S29" s="1271"/>
      <c r="T29" s="1178">
        <v>0.33500000000000002</v>
      </c>
      <c r="U29" s="1639"/>
      <c r="V29" s="1775"/>
      <c r="W29" s="937"/>
      <c r="X29" s="938"/>
      <c r="Y29" s="1048">
        <f>AVERAGE(N29,L29,T29,R29,P29)</f>
        <v>0.30880000000000002</v>
      </c>
      <c r="Z29" s="293"/>
      <c r="AA29" s="293"/>
      <c r="AB29" s="21"/>
    </row>
    <row r="30" spans="1:28" customFormat="1" ht="12" customHeight="1" x14ac:dyDescent="0.2">
      <c r="A30" s="930"/>
      <c r="B30" s="940" t="s">
        <v>190</v>
      </c>
      <c r="C30" s="2018">
        <v>4.2000000000000003E-2</v>
      </c>
      <c r="D30" s="2019"/>
      <c r="E30" s="2000">
        <v>3.4000000000000002E-2</v>
      </c>
      <c r="F30" s="2001"/>
      <c r="G30" s="2000">
        <v>3.3000000000000002E-2</v>
      </c>
      <c r="H30" s="2001"/>
      <c r="I30" s="2000">
        <v>3.2000000000000001E-2</v>
      </c>
      <c r="J30" s="2011"/>
      <c r="K30" s="941"/>
      <c r="L30" s="942">
        <v>4.3999999999999997E-2</v>
      </c>
      <c r="M30" s="941"/>
      <c r="N30" s="1179">
        <v>3.5000000000000003E-2</v>
      </c>
      <c r="O30" s="1177"/>
      <c r="P30" s="1179">
        <v>3.1E-2</v>
      </c>
      <c r="Q30" s="1272"/>
      <c r="R30" s="1179">
        <v>5.0999999999999997E-2</v>
      </c>
      <c r="S30" s="1272"/>
      <c r="T30" s="1179">
        <v>4.4999999999999998E-2</v>
      </c>
      <c r="U30" s="1642"/>
      <c r="V30" s="1776"/>
      <c r="W30" s="937"/>
      <c r="X30" s="938"/>
      <c r="Y30" s="1048">
        <f>AVERAGE(N30,L30,T30,R30,P30)</f>
        <v>4.1200000000000001E-2</v>
      </c>
      <c r="Z30" s="293"/>
      <c r="AA30" s="293"/>
      <c r="AB30" s="21"/>
    </row>
    <row r="31" spans="1:28" customFormat="1" ht="12.75" customHeight="1" thickBot="1" x14ac:dyDescent="0.25">
      <c r="A31" s="3"/>
      <c r="B31" s="943" t="s">
        <v>191</v>
      </c>
      <c r="C31" s="1998">
        <f>1-C29-C30</f>
        <v>0.66399999999999992</v>
      </c>
      <c r="D31" s="1999"/>
      <c r="E31" s="1998">
        <f>1-E29-E30</f>
        <v>0.64399999999999991</v>
      </c>
      <c r="F31" s="1999"/>
      <c r="G31" s="1998">
        <f>1-G29-G30</f>
        <v>0.623</v>
      </c>
      <c r="H31" s="1999"/>
      <c r="I31" s="1998">
        <f>1-I29-I30</f>
        <v>0.64999999999999991</v>
      </c>
      <c r="J31" s="1999"/>
      <c r="K31" s="1998">
        <f>1-L29-L30</f>
        <v>0.66500000000000004</v>
      </c>
      <c r="L31" s="1999"/>
      <c r="M31" s="1998">
        <f>1-N29-N30</f>
        <v>0.69</v>
      </c>
      <c r="N31" s="1999"/>
      <c r="O31" s="1998">
        <f>1-P29-P30</f>
        <v>0.65899999999999992</v>
      </c>
      <c r="P31" s="1999"/>
      <c r="Q31" s="1972">
        <f>1-R29-R30</f>
        <v>0.61599999999999999</v>
      </c>
      <c r="R31" s="1973"/>
      <c r="S31" s="1972">
        <f>1-T29-T30</f>
        <v>0.62</v>
      </c>
      <c r="T31" s="1973"/>
      <c r="U31" s="2066"/>
      <c r="V31" s="2028"/>
      <c r="W31" s="937"/>
      <c r="X31" s="2007">
        <f>1-Y29-Y30</f>
        <v>0.65</v>
      </c>
      <c r="Y31" s="2008"/>
      <c r="Z31" s="1050"/>
      <c r="AA31" s="293"/>
      <c r="AB31" s="21"/>
    </row>
    <row r="32" spans="1:28" thickTop="1" x14ac:dyDescent="0.2">
      <c r="B32" s="109"/>
      <c r="C32" s="110"/>
      <c r="D32" s="111"/>
      <c r="E32" s="110"/>
      <c r="F32" s="111"/>
      <c r="G32" s="146"/>
      <c r="H32" s="147"/>
      <c r="I32" s="146"/>
      <c r="J32" s="147"/>
      <c r="K32" s="146"/>
      <c r="L32" s="147"/>
      <c r="M32" s="146"/>
      <c r="N32" s="147"/>
      <c r="O32" s="146"/>
      <c r="P32" s="147"/>
      <c r="Q32" s="146"/>
      <c r="R32" s="147"/>
      <c r="S32" s="146"/>
      <c r="T32" s="147"/>
      <c r="U32" s="146"/>
      <c r="V32" s="147"/>
    </row>
    <row r="33" spans="1:25" x14ac:dyDescent="0.2">
      <c r="A33" s="112" t="s">
        <v>68</v>
      </c>
      <c r="B33" s="96"/>
      <c r="C33" s="28"/>
      <c r="D33" s="28"/>
      <c r="E33" s="28"/>
      <c r="F33" s="28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</row>
    <row r="34" spans="1:25" ht="13.5" thickBot="1" x14ac:dyDescent="0.25">
      <c r="A34" s="112"/>
      <c r="B34" s="96"/>
      <c r="C34" s="28"/>
      <c r="D34" s="28"/>
      <c r="E34" s="28"/>
      <c r="F34" s="28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</row>
    <row r="35" spans="1:25" ht="14.25" thickTop="1" thickBot="1" x14ac:dyDescent="0.25">
      <c r="A35" s="2"/>
      <c r="B35" s="329" t="s">
        <v>69</v>
      </c>
      <c r="C35" s="2013" t="s">
        <v>49</v>
      </c>
      <c r="D35" s="2014"/>
      <c r="E35" s="2015" t="s">
        <v>50</v>
      </c>
      <c r="F35" s="2015"/>
      <c r="G35" s="2002" t="s">
        <v>141</v>
      </c>
      <c r="H35" s="1982"/>
      <c r="I35" s="2081" t="s">
        <v>152</v>
      </c>
      <c r="J35" s="2081"/>
      <c r="K35" s="2082" t="s">
        <v>154</v>
      </c>
      <c r="L35" s="2081"/>
      <c r="M35" s="2082" t="s">
        <v>171</v>
      </c>
      <c r="N35" s="2083"/>
      <c r="O35" s="2081" t="s">
        <v>227</v>
      </c>
      <c r="P35" s="2083"/>
      <c r="Q35" s="2081" t="s">
        <v>237</v>
      </c>
      <c r="R35" s="2083"/>
      <c r="S35" s="2081" t="s">
        <v>272</v>
      </c>
      <c r="T35" s="2083"/>
      <c r="U35" s="2081" t="s">
        <v>274</v>
      </c>
      <c r="V35" s="2084"/>
      <c r="W35" s="955"/>
      <c r="X35" s="2015" t="s">
        <v>213</v>
      </c>
      <c r="Y35" s="2004"/>
    </row>
    <row r="36" spans="1:25" x14ac:dyDescent="0.2">
      <c r="A36" s="2"/>
      <c r="B36" s="330" t="s">
        <v>70</v>
      </c>
      <c r="C36" s="184"/>
      <c r="D36" s="93"/>
      <c r="E36" s="31"/>
      <c r="F36" s="31"/>
      <c r="G36" s="239"/>
      <c r="H36" s="245"/>
      <c r="I36" s="265"/>
      <c r="J36" s="151"/>
      <c r="K36" s="265"/>
      <c r="L36" s="151"/>
      <c r="M36" s="265"/>
      <c r="N36" s="248"/>
      <c r="O36" s="151"/>
      <c r="P36" s="248"/>
      <c r="Q36" s="151"/>
      <c r="R36" s="248"/>
      <c r="S36" s="151"/>
      <c r="T36" s="248"/>
      <c r="U36" s="151"/>
      <c r="V36" s="152"/>
      <c r="W36" s="955"/>
      <c r="X36" s="28"/>
      <c r="Y36" s="930"/>
    </row>
    <row r="37" spans="1:25" x14ac:dyDescent="0.2">
      <c r="A37" s="2"/>
      <c r="B37" s="331" t="s">
        <v>71</v>
      </c>
      <c r="C37" s="54"/>
      <c r="D37" s="188">
        <v>1782853</v>
      </c>
      <c r="E37" s="30"/>
      <c r="F37" s="205">
        <v>1822052</v>
      </c>
      <c r="G37" s="243"/>
      <c r="H37" s="416">
        <v>1801047</v>
      </c>
      <c r="I37" s="138"/>
      <c r="J37" s="451">
        <v>1875834</v>
      </c>
      <c r="K37" s="243"/>
      <c r="L37" s="451">
        <v>1977769</v>
      </c>
      <c r="M37" s="243"/>
      <c r="N37" s="416">
        <v>2108349</v>
      </c>
      <c r="O37" s="138"/>
      <c r="P37" s="416">
        <v>2138955</v>
      </c>
      <c r="Q37" s="138"/>
      <c r="R37" s="416">
        <v>2208694</v>
      </c>
      <c r="S37" s="138"/>
      <c r="T37" s="416">
        <v>2303107</v>
      </c>
      <c r="U37" s="1741"/>
      <c r="V37" s="1793"/>
      <c r="W37" s="955"/>
      <c r="X37" s="30"/>
      <c r="Y37" s="947">
        <f t="shared" ref="Y37:Y46" si="0">AVERAGE(L37,T37,R37,P37,N37)</f>
        <v>2147374.7999999998</v>
      </c>
    </row>
    <row r="38" spans="1:25" x14ac:dyDescent="0.2">
      <c r="A38" s="2"/>
      <c r="B38" s="331" t="s">
        <v>247</v>
      </c>
      <c r="C38" s="54"/>
      <c r="D38" s="188"/>
      <c r="E38" s="30"/>
      <c r="F38" s="205"/>
      <c r="G38" s="243"/>
      <c r="H38" s="416"/>
      <c r="I38" s="138"/>
      <c r="J38" s="451"/>
      <c r="K38" s="243"/>
      <c r="L38" s="451"/>
      <c r="M38" s="243"/>
      <c r="N38" s="416"/>
      <c r="O38" s="138"/>
      <c r="P38" s="416"/>
      <c r="Q38" s="138"/>
      <c r="R38" s="416"/>
      <c r="S38" s="138"/>
      <c r="T38" s="416"/>
      <c r="U38" s="1741"/>
      <c r="V38" s="1793"/>
      <c r="W38" s="955"/>
      <c r="X38" s="30"/>
      <c r="Y38" s="947"/>
    </row>
    <row r="39" spans="1:25" ht="36" x14ac:dyDescent="0.2">
      <c r="A39" s="2"/>
      <c r="B39" s="332" t="s">
        <v>248</v>
      </c>
      <c r="C39" s="184"/>
      <c r="D39" s="189">
        <v>19726</v>
      </c>
      <c r="E39" s="31"/>
      <c r="F39" s="206">
        <v>20654</v>
      </c>
      <c r="G39" s="239"/>
      <c r="H39" s="369">
        <v>19813</v>
      </c>
      <c r="I39" s="139"/>
      <c r="J39" s="347">
        <v>20386</v>
      </c>
      <c r="K39" s="239"/>
      <c r="L39" s="347">
        <v>20757</v>
      </c>
      <c r="M39" s="239"/>
      <c r="N39" s="369">
        <v>21710</v>
      </c>
      <c r="O39" s="139"/>
      <c r="P39" s="369">
        <v>23230</v>
      </c>
      <c r="Q39" s="139"/>
      <c r="R39" s="369">
        <v>24433</v>
      </c>
      <c r="S39" s="139"/>
      <c r="T39" s="369">
        <v>24924</v>
      </c>
      <c r="U39" s="1743"/>
      <c r="V39" s="1794"/>
      <c r="W39" s="955"/>
      <c r="X39" s="31"/>
      <c r="Y39" s="947">
        <f t="shared" si="0"/>
        <v>23010.799999999999</v>
      </c>
    </row>
    <row r="40" spans="1:25" x14ac:dyDescent="0.2">
      <c r="A40" s="2"/>
      <c r="B40" s="333" t="s">
        <v>72</v>
      </c>
      <c r="C40" s="187"/>
      <c r="D40" s="190">
        <f>SUM(D37:D39)</f>
        <v>1802579</v>
      </c>
      <c r="E40" s="90"/>
      <c r="F40" s="207">
        <f>SUM(F37:F39)</f>
        <v>1842706</v>
      </c>
      <c r="G40" s="262"/>
      <c r="H40" s="263">
        <f>SUM(H37:H39)</f>
        <v>1820860</v>
      </c>
      <c r="I40" s="250"/>
      <c r="J40" s="249">
        <f>SUM(J37:J39)</f>
        <v>1896220</v>
      </c>
      <c r="K40" s="262"/>
      <c r="L40" s="249">
        <f>SUM(L37:L39)</f>
        <v>1998526</v>
      </c>
      <c r="M40" s="262"/>
      <c r="N40" s="263">
        <f>SUM(N37:N39)</f>
        <v>2130059</v>
      </c>
      <c r="O40" s="250"/>
      <c r="P40" s="263">
        <f>SUM(P37:P39)</f>
        <v>2162185</v>
      </c>
      <c r="Q40" s="250"/>
      <c r="R40" s="263">
        <f>SUM(R37:R39)</f>
        <v>2233127</v>
      </c>
      <c r="S40" s="250"/>
      <c r="T40" s="263">
        <f>SUM(T37:T39)</f>
        <v>2328031</v>
      </c>
      <c r="U40" s="1795"/>
      <c r="V40" s="1796">
        <f>SUM(V37:V39)</f>
        <v>0</v>
      </c>
      <c r="W40" s="955"/>
      <c r="X40" s="31"/>
      <c r="Y40" s="1008">
        <f t="shared" si="0"/>
        <v>2170385.6</v>
      </c>
    </row>
    <row r="41" spans="1:25" x14ac:dyDescent="0.2">
      <c r="A41" s="2"/>
      <c r="B41" s="330" t="s">
        <v>73</v>
      </c>
      <c r="C41" s="184"/>
      <c r="D41" s="189"/>
      <c r="E41" s="31"/>
      <c r="F41" s="206"/>
      <c r="G41" s="239"/>
      <c r="H41" s="369"/>
      <c r="I41" s="139"/>
      <c r="J41" s="347"/>
      <c r="K41" s="239"/>
      <c r="L41" s="347"/>
      <c r="M41" s="239"/>
      <c r="N41" s="369"/>
      <c r="O41" s="139"/>
      <c r="P41" s="369"/>
      <c r="Q41" s="139"/>
      <c r="R41" s="369"/>
      <c r="S41" s="139"/>
      <c r="T41" s="369"/>
      <c r="U41" s="1743"/>
      <c r="V41" s="1794"/>
      <c r="W41" s="955"/>
      <c r="X41" s="31"/>
      <c r="Y41" s="947"/>
    </row>
    <row r="42" spans="1:25" x14ac:dyDescent="0.2">
      <c r="A42" s="2"/>
      <c r="B42" s="331" t="s">
        <v>71</v>
      </c>
      <c r="C42" s="184"/>
      <c r="D42" s="189"/>
      <c r="E42" s="31"/>
      <c r="F42" s="206"/>
      <c r="G42" s="239"/>
      <c r="H42" s="369"/>
      <c r="I42" s="139"/>
      <c r="J42" s="347"/>
      <c r="K42" s="239"/>
      <c r="L42" s="347"/>
      <c r="M42" s="239"/>
      <c r="N42" s="369"/>
      <c r="O42" s="139"/>
      <c r="P42" s="369"/>
      <c r="Q42" s="139"/>
      <c r="R42" s="369"/>
      <c r="S42" s="139"/>
      <c r="T42" s="369"/>
      <c r="U42" s="1743"/>
      <c r="V42" s="1794"/>
      <c r="W42" s="955"/>
      <c r="X42" s="31"/>
      <c r="Y42" s="947"/>
    </row>
    <row r="43" spans="1:25" x14ac:dyDescent="0.2">
      <c r="A43" s="2"/>
      <c r="B43" s="331" t="s">
        <v>247</v>
      </c>
      <c r="C43" s="184"/>
      <c r="D43" s="189"/>
      <c r="E43" s="31"/>
      <c r="F43" s="206"/>
      <c r="G43" s="239"/>
      <c r="H43" s="369"/>
      <c r="I43" s="139"/>
      <c r="J43" s="347"/>
      <c r="K43" s="239"/>
      <c r="L43" s="347"/>
      <c r="M43" s="239"/>
      <c r="N43" s="369"/>
      <c r="O43" s="139"/>
      <c r="P43" s="369"/>
      <c r="Q43" s="139"/>
      <c r="R43" s="369"/>
      <c r="S43" s="139"/>
      <c r="T43" s="369"/>
      <c r="U43" s="1743"/>
      <c r="V43" s="1794"/>
      <c r="W43" s="955"/>
      <c r="X43" s="31"/>
      <c r="Y43" s="947"/>
    </row>
    <row r="44" spans="1:25" ht="36" x14ac:dyDescent="0.2">
      <c r="A44" s="2"/>
      <c r="B44" s="332" t="s">
        <v>248</v>
      </c>
      <c r="C44" s="184"/>
      <c r="D44" s="189"/>
      <c r="E44" s="31"/>
      <c r="F44" s="206"/>
      <c r="G44" s="239"/>
      <c r="H44" s="369"/>
      <c r="I44" s="139"/>
      <c r="J44" s="347"/>
      <c r="K44" s="239"/>
      <c r="L44" s="347"/>
      <c r="M44" s="239"/>
      <c r="N44" s="369"/>
      <c r="O44" s="139"/>
      <c r="P44" s="369"/>
      <c r="Q44" s="139"/>
      <c r="R44" s="369"/>
      <c r="S44" s="139"/>
      <c r="T44" s="369"/>
      <c r="U44" s="1743"/>
      <c r="V44" s="1794"/>
      <c r="W44" s="955"/>
      <c r="X44" s="31"/>
      <c r="Y44" s="947"/>
    </row>
    <row r="45" spans="1:25" x14ac:dyDescent="0.2">
      <c r="A45" s="2"/>
      <c r="B45" s="333" t="s">
        <v>74</v>
      </c>
      <c r="C45" s="187"/>
      <c r="D45" s="190">
        <f>SUM(D42:D44)</f>
        <v>0</v>
      </c>
      <c r="E45" s="90"/>
      <c r="F45" s="207">
        <f>SUM(F42:F44)</f>
        <v>0</v>
      </c>
      <c r="G45" s="262"/>
      <c r="H45" s="263">
        <f>SUM(H42:H44)</f>
        <v>0</v>
      </c>
      <c r="I45" s="250"/>
      <c r="J45" s="249">
        <f>SUM(J42:J44)</f>
        <v>0</v>
      </c>
      <c r="K45" s="262"/>
      <c r="L45" s="249">
        <f>SUM(L42:L44)</f>
        <v>0</v>
      </c>
      <c r="M45" s="262"/>
      <c r="N45" s="263">
        <f>SUM(N42:N44)</f>
        <v>0</v>
      </c>
      <c r="O45" s="250"/>
      <c r="P45" s="263">
        <f>SUM(P42:P44)</f>
        <v>0</v>
      </c>
      <c r="Q45" s="250"/>
      <c r="R45" s="263">
        <f>SUM(R42:R44)</f>
        <v>0</v>
      </c>
      <c r="S45" s="250"/>
      <c r="T45" s="263">
        <f>SUM(T42:T44)</f>
        <v>0</v>
      </c>
      <c r="U45" s="1795"/>
      <c r="V45" s="1796">
        <f>SUM(V42:V44)</f>
        <v>0</v>
      </c>
      <c r="W45" s="955"/>
      <c r="X45" s="31"/>
      <c r="Y45" s="1008">
        <f t="shared" si="0"/>
        <v>0</v>
      </c>
    </row>
    <row r="46" spans="1:25" ht="13.5" thickBot="1" x14ac:dyDescent="0.25">
      <c r="A46" s="2"/>
      <c r="B46" s="334" t="s">
        <v>75</v>
      </c>
      <c r="C46" s="239"/>
      <c r="D46" s="263">
        <f>SUM(D40,D45)</f>
        <v>1802579</v>
      </c>
      <c r="E46" s="31"/>
      <c r="F46" s="207">
        <f>SUM(F40,F45)</f>
        <v>1842706</v>
      </c>
      <c r="G46" s="239"/>
      <c r="H46" s="263">
        <f>SUM(H40,H45)</f>
        <v>1820860</v>
      </c>
      <c r="I46" s="139"/>
      <c r="J46" s="249">
        <f>SUM(J40,J45)</f>
        <v>1896220</v>
      </c>
      <c r="K46" s="239"/>
      <c r="L46" s="249">
        <f>SUM(L40,L45)</f>
        <v>1998526</v>
      </c>
      <c r="M46" s="239"/>
      <c r="N46" s="263">
        <f>SUM(N40,N45)</f>
        <v>2130059</v>
      </c>
      <c r="O46" s="139"/>
      <c r="P46" s="263">
        <f>SUM(P40,P45)</f>
        <v>2162185</v>
      </c>
      <c r="Q46" s="139"/>
      <c r="R46" s="263">
        <f>SUM(R40,R45)</f>
        <v>2233127</v>
      </c>
      <c r="S46" s="139"/>
      <c r="T46" s="263">
        <f>SUM(T40,T45)</f>
        <v>2328031</v>
      </c>
      <c r="U46" s="1743"/>
      <c r="V46" s="1796">
        <f>SUM(V40,V45)</f>
        <v>0</v>
      </c>
      <c r="W46" s="955"/>
      <c r="X46" s="327"/>
      <c r="Y46" s="1008">
        <f t="shared" si="0"/>
        <v>2170385.6</v>
      </c>
    </row>
    <row r="47" spans="1:25" ht="12" x14ac:dyDescent="0.2">
      <c r="B47" s="81" t="s">
        <v>259</v>
      </c>
      <c r="C47" s="265"/>
      <c r="D47" s="248"/>
      <c r="E47" s="36"/>
      <c r="F47" s="36"/>
      <c r="G47" s="265"/>
      <c r="H47" s="248"/>
      <c r="I47" s="151"/>
      <c r="J47" s="151"/>
      <c r="K47" s="265"/>
      <c r="L47" s="151"/>
      <c r="M47" s="265"/>
      <c r="N47" s="248"/>
      <c r="O47" s="151"/>
      <c r="P47" s="248"/>
      <c r="Q47" s="151"/>
      <c r="R47" s="248"/>
      <c r="S47" s="151"/>
      <c r="T47" s="248"/>
      <c r="U47" s="1797"/>
      <c r="V47" s="1798"/>
      <c r="W47" s="955"/>
      <c r="X47" s="28"/>
      <c r="Y47" s="978"/>
    </row>
    <row r="48" spans="1:25" ht="12" x14ac:dyDescent="0.2">
      <c r="B48" s="78" t="s">
        <v>14</v>
      </c>
      <c r="C48" s="266"/>
      <c r="D48" s="460">
        <f>482118+1639258</f>
        <v>2121376</v>
      </c>
      <c r="E48" s="38"/>
      <c r="F48" s="458">
        <f>2174218+15762</f>
        <v>2189980</v>
      </c>
      <c r="G48" s="432"/>
      <c r="H48" s="433">
        <v>2283100.31</v>
      </c>
      <c r="I48" s="463"/>
      <c r="J48" s="458">
        <v>2472013.87</v>
      </c>
      <c r="K48" s="432"/>
      <c r="L48" s="826">
        <f>117975+2423072+4401</f>
        <v>2545448</v>
      </c>
      <c r="M48" s="432"/>
      <c r="N48" s="510">
        <v>2626413</v>
      </c>
      <c r="O48" s="463"/>
      <c r="P48" s="510">
        <v>2616841</v>
      </c>
      <c r="Q48" s="525"/>
      <c r="R48" s="1140">
        <v>2758393</v>
      </c>
      <c r="S48" s="525"/>
      <c r="T48" s="1572"/>
      <c r="U48" s="1799"/>
      <c r="V48" s="1800"/>
      <c r="W48" s="955"/>
      <c r="X48" s="30"/>
      <c r="Y48" s="949">
        <f>AVERAGE(L48,J48,R48,P48,N48)</f>
        <v>2603821.7740000002</v>
      </c>
    </row>
    <row r="49" spans="1:25" thickBot="1" x14ac:dyDescent="0.25">
      <c r="B49" s="336" t="s">
        <v>15</v>
      </c>
      <c r="C49" s="268"/>
      <c r="D49" s="467">
        <v>0</v>
      </c>
      <c r="E49" s="40"/>
      <c r="F49" s="467">
        <v>0</v>
      </c>
      <c r="G49" s="268"/>
      <c r="H49" s="467">
        <v>0</v>
      </c>
      <c r="I49" s="154"/>
      <c r="J49" s="467">
        <v>0</v>
      </c>
      <c r="K49" s="596"/>
      <c r="L49" s="827">
        <v>0</v>
      </c>
      <c r="M49" s="596"/>
      <c r="N49" s="509">
        <v>0</v>
      </c>
      <c r="O49" s="237"/>
      <c r="P49" s="509">
        <v>0</v>
      </c>
      <c r="Q49" s="1481"/>
      <c r="R49" s="1152">
        <v>0</v>
      </c>
      <c r="S49" s="1481"/>
      <c r="T49" s="1573"/>
      <c r="U49" s="1801"/>
      <c r="V49" s="1774"/>
      <c r="W49" s="955"/>
      <c r="X49" s="113"/>
      <c r="Y49" s="949">
        <f>AVERAGE(L49,J49,R49,P49,N49)</f>
        <v>0</v>
      </c>
    </row>
    <row r="50" spans="1:25" ht="12" x14ac:dyDescent="0.2">
      <c r="B50" s="20"/>
      <c r="C50" s="308" t="s">
        <v>133</v>
      </c>
      <c r="D50" s="417" t="s">
        <v>139</v>
      </c>
      <c r="E50" s="166" t="s">
        <v>133</v>
      </c>
      <c r="F50" s="84" t="s">
        <v>139</v>
      </c>
      <c r="G50" s="380" t="s">
        <v>133</v>
      </c>
      <c r="H50" s="84" t="s">
        <v>139</v>
      </c>
      <c r="I50" s="380" t="s">
        <v>133</v>
      </c>
      <c r="J50" s="84" t="s">
        <v>139</v>
      </c>
      <c r="K50" s="380" t="s">
        <v>133</v>
      </c>
      <c r="L50" s="84" t="s">
        <v>139</v>
      </c>
      <c r="M50" s="386" t="s">
        <v>133</v>
      </c>
      <c r="N50" s="417" t="s">
        <v>139</v>
      </c>
      <c r="O50" s="352" t="s">
        <v>133</v>
      </c>
      <c r="P50" s="417" t="s">
        <v>139</v>
      </c>
      <c r="Q50" s="84" t="s">
        <v>133</v>
      </c>
      <c r="R50" s="194" t="s">
        <v>139</v>
      </c>
      <c r="S50" s="84" t="s">
        <v>133</v>
      </c>
      <c r="T50" s="194" t="s">
        <v>139</v>
      </c>
      <c r="U50" s="1818" t="s">
        <v>133</v>
      </c>
      <c r="V50" s="1818" t="s">
        <v>139</v>
      </c>
      <c r="W50" s="955"/>
      <c r="X50" s="323" t="s">
        <v>133</v>
      </c>
      <c r="Y50" s="295" t="s">
        <v>139</v>
      </c>
    </row>
    <row r="51" spans="1:25" ht="11.45" customHeight="1" x14ac:dyDescent="0.2">
      <c r="B51" s="80" t="s">
        <v>67</v>
      </c>
      <c r="C51" s="475">
        <v>1</v>
      </c>
      <c r="D51" s="1135">
        <v>0</v>
      </c>
      <c r="E51" s="108">
        <v>2</v>
      </c>
      <c r="F51" s="1139">
        <v>500</v>
      </c>
      <c r="G51" s="476">
        <v>2</v>
      </c>
      <c r="H51" s="1140">
        <v>132715</v>
      </c>
      <c r="I51" s="477">
        <v>2</v>
      </c>
      <c r="J51" s="1123">
        <v>195487</v>
      </c>
      <c r="K51" s="532">
        <v>2</v>
      </c>
      <c r="L51" s="1123">
        <v>129841</v>
      </c>
      <c r="M51" s="476">
        <v>1</v>
      </c>
      <c r="N51" s="510">
        <v>15020</v>
      </c>
      <c r="O51" s="476">
        <v>1</v>
      </c>
      <c r="P51" s="510">
        <v>15950</v>
      </c>
      <c r="Q51" s="476">
        <v>1</v>
      </c>
      <c r="R51" s="510">
        <v>15950</v>
      </c>
      <c r="S51" s="476">
        <v>2</v>
      </c>
      <c r="T51" s="510">
        <v>25950</v>
      </c>
      <c r="U51" s="1769"/>
      <c r="V51" s="1770"/>
      <c r="W51" s="1124"/>
      <c r="X51" s="108">
        <f>AVERAGE(S51,Q51,O51,M51,K51)</f>
        <v>1.4</v>
      </c>
      <c r="Y51" s="1125">
        <f>AVERAGE(T51,R51,P51,N51,L51)</f>
        <v>40542.199999999997</v>
      </c>
    </row>
    <row r="52" spans="1:25" ht="11.45" customHeight="1" x14ac:dyDescent="0.2">
      <c r="B52" s="80"/>
      <c r="C52" s="916"/>
      <c r="D52" s="1136"/>
      <c r="E52" s="838"/>
      <c r="F52" s="1126"/>
      <c r="G52" s="551"/>
      <c r="H52" s="1127"/>
      <c r="I52" s="255"/>
      <c r="J52" s="1128"/>
      <c r="K52" s="530"/>
      <c r="L52" s="1129"/>
      <c r="M52" s="551"/>
      <c r="N52" s="468"/>
      <c r="O52" s="551"/>
      <c r="P52" s="468"/>
      <c r="Q52" s="551"/>
      <c r="R52" s="468"/>
      <c r="S52" s="551"/>
      <c r="T52" s="468"/>
      <c r="U52" s="1771"/>
      <c r="V52" s="1772"/>
      <c r="W52" s="1124"/>
      <c r="X52" s="1013"/>
      <c r="Y52" s="1120"/>
    </row>
    <row r="53" spans="1:25" thickBot="1" x14ac:dyDescent="0.25">
      <c r="B53" s="167" t="s">
        <v>16</v>
      </c>
      <c r="C53" s="913">
        <v>1</v>
      </c>
      <c r="D53" s="1137">
        <v>13896</v>
      </c>
      <c r="E53" s="839">
        <v>1</v>
      </c>
      <c r="F53" s="322">
        <v>12000</v>
      </c>
      <c r="G53" s="552">
        <v>2</v>
      </c>
      <c r="H53" s="442">
        <v>28113</v>
      </c>
      <c r="I53" s="550">
        <v>2</v>
      </c>
      <c r="J53" s="456">
        <v>28907</v>
      </c>
      <c r="K53" s="552">
        <v>1</v>
      </c>
      <c r="L53" s="453">
        <v>16326</v>
      </c>
      <c r="M53" s="552">
        <v>1</v>
      </c>
      <c r="N53" s="524">
        <v>15920</v>
      </c>
      <c r="O53" s="552">
        <v>1</v>
      </c>
      <c r="P53" s="524">
        <v>14050</v>
      </c>
      <c r="Q53" s="552">
        <v>1</v>
      </c>
      <c r="R53" s="524">
        <v>17850</v>
      </c>
      <c r="S53" s="552">
        <v>1</v>
      </c>
      <c r="T53" s="524">
        <v>15950</v>
      </c>
      <c r="U53" s="1773"/>
      <c r="V53" s="1819"/>
      <c r="W53" s="1124"/>
      <c r="X53" s="839">
        <f>AVERAGE(S53,Q53,O53,M53,K53)</f>
        <v>1</v>
      </c>
      <c r="Y53" s="1121">
        <f>AVERAGE(T53,R53,P53,N53,L53)</f>
        <v>16019.2</v>
      </c>
    </row>
    <row r="54" spans="1:25" thickTop="1" x14ac:dyDescent="0.2">
      <c r="B54" s="81" t="s">
        <v>84</v>
      </c>
      <c r="C54" s="199"/>
      <c r="D54" s="209"/>
      <c r="E54" s="45"/>
      <c r="F54" s="323"/>
      <c r="G54" s="269"/>
      <c r="H54" s="419"/>
      <c r="I54" s="156"/>
      <c r="J54" s="307"/>
      <c r="K54" s="269"/>
      <c r="L54" s="307"/>
      <c r="M54" s="269"/>
      <c r="N54" s="419"/>
      <c r="O54" s="156"/>
      <c r="P54" s="419"/>
      <c r="Q54" s="156"/>
      <c r="R54" s="419"/>
      <c r="S54" s="156"/>
      <c r="T54" s="419"/>
      <c r="U54" s="1804"/>
      <c r="V54" s="1805"/>
      <c r="W54" s="955"/>
      <c r="X54" s="109"/>
      <c r="Y54" s="1030"/>
    </row>
    <row r="55" spans="1:25" ht="12" x14ac:dyDescent="0.2">
      <c r="B55" s="337" t="s">
        <v>35</v>
      </c>
      <c r="C55" s="201"/>
      <c r="D55" s="210"/>
      <c r="E55" s="97"/>
      <c r="F55" s="34"/>
      <c r="G55" s="271"/>
      <c r="H55" s="420"/>
      <c r="I55" s="157"/>
      <c r="J55" s="135"/>
      <c r="K55" s="271"/>
      <c r="L55" s="135"/>
      <c r="M55" s="271"/>
      <c r="N55" s="420"/>
      <c r="O55" s="157"/>
      <c r="P55" s="420"/>
      <c r="Q55" s="157"/>
      <c r="R55" s="420"/>
      <c r="S55" s="157"/>
      <c r="T55" s="420"/>
      <c r="U55" s="1806"/>
      <c r="V55" s="1807"/>
      <c r="W55" s="955"/>
      <c r="X55" s="720"/>
      <c r="Y55" s="1011"/>
    </row>
    <row r="56" spans="1:25" ht="12" x14ac:dyDescent="0.2">
      <c r="B56" s="338" t="s">
        <v>85</v>
      </c>
      <c r="C56" s="202"/>
      <c r="D56" s="232">
        <v>530271.68999999994</v>
      </c>
      <c r="E56" s="35"/>
      <c r="F56" s="345">
        <v>93058.74</v>
      </c>
      <c r="G56" s="272"/>
      <c r="H56" s="534">
        <v>78634.460000000006</v>
      </c>
      <c r="I56" s="254"/>
      <c r="J56" s="542">
        <v>943853.43</v>
      </c>
      <c r="K56" s="272"/>
      <c r="L56" s="540">
        <v>114583.69</v>
      </c>
      <c r="M56" s="272"/>
      <c r="N56" s="546">
        <v>226094</v>
      </c>
      <c r="O56" s="254"/>
      <c r="P56" s="546">
        <v>193088</v>
      </c>
      <c r="Q56" s="254"/>
      <c r="R56" s="546">
        <v>313345</v>
      </c>
      <c r="S56" s="254"/>
      <c r="T56" s="1574"/>
      <c r="U56" s="1820"/>
      <c r="V56" s="1809"/>
      <c r="X56" s="1038"/>
      <c r="Y56" s="949">
        <f>AVERAGE(L56,J56,R56,P56,N56)</f>
        <v>358192.82400000002</v>
      </c>
    </row>
    <row r="57" spans="1:25" thickBot="1" x14ac:dyDescent="0.25">
      <c r="B57" s="339" t="s">
        <v>86</v>
      </c>
      <c r="C57" s="204"/>
      <c r="D57" s="211">
        <v>33551.1</v>
      </c>
      <c r="E57" s="37"/>
      <c r="F57" s="324">
        <v>34610.050000000003</v>
      </c>
      <c r="G57" s="274"/>
      <c r="H57" s="324">
        <v>36230.75</v>
      </c>
      <c r="I57" s="274"/>
      <c r="J57" s="455">
        <v>39856.050000000003</v>
      </c>
      <c r="K57" s="274"/>
      <c r="L57" s="324">
        <v>39757.769999999997</v>
      </c>
      <c r="M57" s="274"/>
      <c r="N57" s="485">
        <v>29546.6</v>
      </c>
      <c r="O57" s="260"/>
      <c r="P57" s="485">
        <v>31827</v>
      </c>
      <c r="Q57" s="260"/>
      <c r="R57" s="485">
        <v>36579</v>
      </c>
      <c r="S57" s="260"/>
      <c r="T57" s="1575"/>
      <c r="U57" s="1810"/>
      <c r="V57" s="1811"/>
      <c r="X57" s="1015"/>
      <c r="Y57" s="1024">
        <f>AVERAGE(L57,J57,R57,P57,N57)</f>
        <v>35513.284</v>
      </c>
    </row>
    <row r="58" spans="1:25" thickTop="1" x14ac:dyDescent="0.2">
      <c r="B58" s="96"/>
      <c r="C58" s="97"/>
      <c r="D58" s="98"/>
      <c r="E58" s="97"/>
      <c r="F58" s="34"/>
      <c r="G58" s="157"/>
      <c r="H58" s="135" t="s">
        <v>157</v>
      </c>
      <c r="I58" s="157"/>
      <c r="J58" s="135"/>
      <c r="K58" s="157"/>
      <c r="L58" s="135"/>
      <c r="M58" s="157"/>
      <c r="N58" s="135"/>
      <c r="O58" s="157"/>
      <c r="P58" s="135"/>
      <c r="Q58" s="157"/>
      <c r="R58" s="135"/>
      <c r="S58" s="157"/>
      <c r="T58" s="135"/>
      <c r="U58" s="157"/>
      <c r="V58" s="135"/>
    </row>
    <row r="59" spans="1:25" x14ac:dyDescent="0.2">
      <c r="A59" s="2" t="s">
        <v>76</v>
      </c>
      <c r="B59" s="96"/>
      <c r="C59" s="97"/>
      <c r="D59" s="98"/>
      <c r="E59" s="97"/>
      <c r="F59" s="34"/>
      <c r="G59" s="157"/>
      <c r="H59" s="135"/>
      <c r="I59" s="157"/>
      <c r="J59" s="135"/>
      <c r="K59" s="157"/>
      <c r="L59" s="135"/>
      <c r="M59" s="157"/>
      <c r="N59" s="135"/>
      <c r="O59" s="157"/>
      <c r="P59" s="135"/>
      <c r="Q59" s="157"/>
      <c r="R59" s="135"/>
      <c r="S59" s="157"/>
      <c r="T59" s="135"/>
      <c r="U59" s="157"/>
      <c r="V59" s="135"/>
    </row>
    <row r="60" spans="1:25" thickBot="1" x14ac:dyDescent="0.25">
      <c r="B60" s="96"/>
      <c r="C60" s="97"/>
      <c r="D60" s="98"/>
      <c r="E60" s="97"/>
      <c r="F60" s="34"/>
      <c r="G60" s="157"/>
      <c r="H60" s="135"/>
      <c r="I60" s="157"/>
      <c r="J60" s="135"/>
      <c r="K60" s="157"/>
      <c r="L60" s="135"/>
      <c r="M60" s="157"/>
      <c r="N60" s="135"/>
      <c r="O60" s="157"/>
      <c r="P60" s="135"/>
      <c r="Q60" s="157"/>
      <c r="R60" s="135"/>
      <c r="S60" s="157"/>
      <c r="T60" s="135"/>
      <c r="U60" s="157"/>
      <c r="V60" s="135"/>
    </row>
    <row r="61" spans="1:25" ht="14.25" customHeight="1" thickTop="1" thickBot="1" x14ac:dyDescent="0.25">
      <c r="B61" s="19"/>
      <c r="C61" s="2013" t="s">
        <v>49</v>
      </c>
      <c r="D61" s="2014"/>
      <c r="E61" s="2015" t="s">
        <v>50</v>
      </c>
      <c r="F61" s="2015"/>
      <c r="G61" s="2002" t="s">
        <v>141</v>
      </c>
      <c r="H61" s="1982"/>
      <c r="I61" s="2002" t="s">
        <v>152</v>
      </c>
      <c r="J61" s="1974"/>
      <c r="K61" s="2002" t="s">
        <v>154</v>
      </c>
      <c r="L61" s="1974"/>
      <c r="M61" s="2002" t="s">
        <v>171</v>
      </c>
      <c r="N61" s="1982"/>
      <c r="O61" s="1974" t="s">
        <v>227</v>
      </c>
      <c r="P61" s="1982"/>
      <c r="Q61" s="1974" t="s">
        <v>237</v>
      </c>
      <c r="R61" s="1982"/>
      <c r="S61" s="1974" t="s">
        <v>272</v>
      </c>
      <c r="T61" s="1982"/>
      <c r="U61" s="1974" t="s">
        <v>274</v>
      </c>
      <c r="V61" s="1975"/>
      <c r="X61" s="2003" t="s">
        <v>213</v>
      </c>
      <c r="Y61" s="2004"/>
    </row>
    <row r="62" spans="1:25" ht="12" x14ac:dyDescent="0.2">
      <c r="B62" s="81" t="s">
        <v>53</v>
      </c>
      <c r="C62" s="54"/>
      <c r="D62" s="92"/>
      <c r="E62" s="30"/>
      <c r="F62" s="30"/>
      <c r="G62" s="243"/>
      <c r="H62" s="244"/>
      <c r="I62" s="138"/>
      <c r="J62" s="138"/>
      <c r="K62" s="243"/>
      <c r="L62" s="138"/>
      <c r="M62" s="243"/>
      <c r="N62" s="244"/>
      <c r="O62" s="138"/>
      <c r="P62" s="244"/>
      <c r="Q62" s="138"/>
      <c r="R62" s="244"/>
      <c r="S62" s="138"/>
      <c r="T62" s="244"/>
      <c r="U62" s="138"/>
      <c r="V62" s="140"/>
      <c r="X62" s="831"/>
      <c r="Y62" s="1249"/>
    </row>
    <row r="63" spans="1:25" ht="12" x14ac:dyDescent="0.2">
      <c r="B63" s="74" t="s">
        <v>54</v>
      </c>
      <c r="C63" s="184"/>
      <c r="D63" s="165"/>
      <c r="E63" s="31"/>
      <c r="F63" s="171"/>
      <c r="G63" s="239"/>
      <c r="H63" s="261"/>
      <c r="I63" s="139"/>
      <c r="J63" s="183"/>
      <c r="K63" s="239"/>
      <c r="L63" s="183"/>
      <c r="M63" s="239"/>
      <c r="N63" s="261"/>
      <c r="O63" s="139"/>
      <c r="P63" s="261"/>
      <c r="Q63" s="139"/>
      <c r="R63" s="261"/>
      <c r="S63" s="139"/>
      <c r="T63" s="261"/>
      <c r="U63" s="139"/>
      <c r="V63" s="142"/>
      <c r="X63" s="24"/>
      <c r="Y63" s="1130"/>
    </row>
    <row r="64" spans="1:25" ht="12" x14ac:dyDescent="0.2">
      <c r="B64" s="75" t="s">
        <v>55</v>
      </c>
      <c r="C64" s="184"/>
      <c r="D64" s="165">
        <f>19+7</f>
        <v>26</v>
      </c>
      <c r="E64" s="31"/>
      <c r="F64" s="171">
        <v>26</v>
      </c>
      <c r="G64" s="239"/>
      <c r="H64" s="261">
        <v>26</v>
      </c>
      <c r="I64" s="139"/>
      <c r="J64" s="183">
        <v>28</v>
      </c>
      <c r="K64" s="239"/>
      <c r="L64" s="183">
        <v>27</v>
      </c>
      <c r="M64" s="239"/>
      <c r="N64" s="261">
        <v>29</v>
      </c>
      <c r="O64" s="139"/>
      <c r="P64" s="261">
        <v>29</v>
      </c>
      <c r="Q64" s="139"/>
      <c r="R64" s="261">
        <v>30</v>
      </c>
      <c r="S64" s="139"/>
      <c r="T64" s="261">
        <v>29</v>
      </c>
      <c r="U64" s="1743"/>
      <c r="V64" s="1649"/>
      <c r="X64" s="12"/>
      <c r="Y64" s="1113">
        <f t="shared" ref="Y64:Y69" si="1">AVERAGE(L64,T64,R64,P64,N64)</f>
        <v>28.8</v>
      </c>
    </row>
    <row r="65" spans="2:25" ht="12" x14ac:dyDescent="0.2">
      <c r="B65" s="75" t="s">
        <v>181</v>
      </c>
      <c r="C65" s="184"/>
      <c r="D65" s="165">
        <v>3</v>
      </c>
      <c r="E65" s="31"/>
      <c r="F65" s="171">
        <v>3</v>
      </c>
      <c r="G65" s="239"/>
      <c r="H65" s="261">
        <v>6</v>
      </c>
      <c r="I65" s="139"/>
      <c r="J65" s="183">
        <v>1</v>
      </c>
      <c r="K65" s="239"/>
      <c r="L65" s="183">
        <v>5</v>
      </c>
      <c r="M65" s="239"/>
      <c r="N65" s="261">
        <v>2</v>
      </c>
      <c r="O65" s="139"/>
      <c r="P65" s="261">
        <v>2</v>
      </c>
      <c r="Q65" s="139"/>
      <c r="R65" s="261">
        <v>3</v>
      </c>
      <c r="S65" s="139"/>
      <c r="T65" s="261">
        <v>3</v>
      </c>
      <c r="U65" s="1743"/>
      <c r="V65" s="1649"/>
      <c r="X65" s="12"/>
      <c r="Y65" s="1113">
        <f t="shared" si="1"/>
        <v>3</v>
      </c>
    </row>
    <row r="66" spans="2:25" ht="12" x14ac:dyDescent="0.2">
      <c r="B66" s="74" t="s">
        <v>57</v>
      </c>
      <c r="C66" s="184"/>
      <c r="D66" s="94"/>
      <c r="E66" s="31"/>
      <c r="F66" s="39"/>
      <c r="G66" s="239"/>
      <c r="H66" s="240"/>
      <c r="I66" s="139"/>
      <c r="J66" s="241"/>
      <c r="K66" s="239"/>
      <c r="L66" s="241"/>
      <c r="M66" s="239"/>
      <c r="N66" s="240"/>
      <c r="O66" s="139"/>
      <c r="P66" s="240"/>
      <c r="Q66" s="139"/>
      <c r="R66" s="240"/>
      <c r="S66" s="139"/>
      <c r="T66" s="240"/>
      <c r="U66" s="1743"/>
      <c r="V66" s="1650"/>
      <c r="X66" s="12"/>
      <c r="Y66" s="1113"/>
    </row>
    <row r="67" spans="2:25" ht="12" x14ac:dyDescent="0.2">
      <c r="B67" s="75" t="s">
        <v>55</v>
      </c>
      <c r="C67" s="184"/>
      <c r="D67" s="94">
        <v>0</v>
      </c>
      <c r="E67" s="31"/>
      <c r="F67" s="39">
        <v>0</v>
      </c>
      <c r="G67" s="239"/>
      <c r="H67" s="240">
        <v>0</v>
      </c>
      <c r="I67" s="139"/>
      <c r="J67" s="241">
        <v>0</v>
      </c>
      <c r="K67" s="239"/>
      <c r="L67" s="241">
        <v>0</v>
      </c>
      <c r="M67" s="239"/>
      <c r="N67" s="240">
        <v>0</v>
      </c>
      <c r="O67" s="139"/>
      <c r="P67" s="240">
        <v>0</v>
      </c>
      <c r="Q67" s="139"/>
      <c r="R67" s="240">
        <v>0</v>
      </c>
      <c r="S67" s="139"/>
      <c r="T67" s="240">
        <v>0</v>
      </c>
      <c r="U67" s="1743"/>
      <c r="V67" s="1650"/>
      <c r="X67" s="12"/>
      <c r="Y67" s="1113">
        <f t="shared" si="1"/>
        <v>0</v>
      </c>
    </row>
    <row r="68" spans="2:25" ht="12" x14ac:dyDescent="0.2">
      <c r="B68" s="341" t="s">
        <v>181</v>
      </c>
      <c r="C68" s="184"/>
      <c r="D68" s="94">
        <v>0</v>
      </c>
      <c r="E68" s="31"/>
      <c r="F68" s="39">
        <v>0</v>
      </c>
      <c r="G68" s="239"/>
      <c r="H68" s="240">
        <v>0</v>
      </c>
      <c r="I68" s="139"/>
      <c r="J68" s="241">
        <v>0</v>
      </c>
      <c r="K68" s="239"/>
      <c r="L68" s="241">
        <v>0</v>
      </c>
      <c r="M68" s="239"/>
      <c r="N68" s="240">
        <v>0</v>
      </c>
      <c r="O68" s="139"/>
      <c r="P68" s="240">
        <v>0</v>
      </c>
      <c r="Q68" s="139"/>
      <c r="R68" s="240">
        <v>0</v>
      </c>
      <c r="S68" s="139"/>
      <c r="T68" s="240">
        <v>0</v>
      </c>
      <c r="U68" s="1743"/>
      <c r="V68" s="1650"/>
      <c r="X68" s="12"/>
      <c r="Y68" s="1113">
        <f t="shared" si="1"/>
        <v>0</v>
      </c>
    </row>
    <row r="69" spans="2:25" thickBot="1" x14ac:dyDescent="0.25">
      <c r="B69" s="79" t="s">
        <v>13</v>
      </c>
      <c r="C69" s="233"/>
      <c r="D69" s="234">
        <f>SUM(D64:D68)</f>
        <v>29</v>
      </c>
      <c r="E69" s="107"/>
      <c r="F69" s="106">
        <f>SUM(F64:F68)</f>
        <v>29</v>
      </c>
      <c r="G69" s="297"/>
      <c r="H69" s="427">
        <v>32</v>
      </c>
      <c r="I69" s="426"/>
      <c r="J69" s="454">
        <f>SUM(J64:J68)</f>
        <v>29</v>
      </c>
      <c r="K69" s="297"/>
      <c r="L69" s="454">
        <f>SUM(L64:L68)</f>
        <v>32</v>
      </c>
      <c r="M69" s="297"/>
      <c r="N69" s="427">
        <f>SUM(N64:N68)</f>
        <v>31</v>
      </c>
      <c r="O69" s="426"/>
      <c r="P69" s="427">
        <f>SUM(P64:P68)</f>
        <v>31</v>
      </c>
      <c r="Q69" s="426"/>
      <c r="R69" s="427">
        <f>SUM(R64:R68)</f>
        <v>33</v>
      </c>
      <c r="S69" s="426"/>
      <c r="T69" s="427">
        <f>SUM(T64:T68)</f>
        <v>32</v>
      </c>
      <c r="U69" s="1744"/>
      <c r="V69" s="1812"/>
      <c r="X69" s="831"/>
      <c r="Y69" s="1114">
        <f t="shared" si="1"/>
        <v>31.8</v>
      </c>
    </row>
    <row r="70" spans="2:25" thickTop="1" x14ac:dyDescent="0.2">
      <c r="B70" s="342" t="s">
        <v>135</v>
      </c>
      <c r="C70" s="392"/>
      <c r="D70" s="393"/>
      <c r="E70" s="43" t="s">
        <v>133</v>
      </c>
      <c r="F70" s="41" t="s">
        <v>134</v>
      </c>
      <c r="G70" s="317" t="s">
        <v>133</v>
      </c>
      <c r="H70" s="412" t="s">
        <v>134</v>
      </c>
      <c r="I70" s="411" t="s">
        <v>133</v>
      </c>
      <c r="J70" s="449" t="s">
        <v>134</v>
      </c>
      <c r="K70" s="317" t="s">
        <v>133</v>
      </c>
      <c r="L70" s="449" t="s">
        <v>134</v>
      </c>
      <c r="M70" s="317" t="s">
        <v>133</v>
      </c>
      <c r="N70" s="441" t="s">
        <v>134</v>
      </c>
      <c r="O70" s="411" t="s">
        <v>133</v>
      </c>
      <c r="P70" s="412" t="s">
        <v>134</v>
      </c>
      <c r="Q70" s="411" t="s">
        <v>133</v>
      </c>
      <c r="R70" s="412" t="s">
        <v>134</v>
      </c>
      <c r="S70" s="411" t="s">
        <v>133</v>
      </c>
      <c r="T70" s="412" t="s">
        <v>134</v>
      </c>
      <c r="U70" s="1745" t="s">
        <v>133</v>
      </c>
      <c r="V70" s="1813" t="s">
        <v>134</v>
      </c>
      <c r="X70" s="952" t="s">
        <v>133</v>
      </c>
      <c r="Y70" s="862" t="s">
        <v>134</v>
      </c>
    </row>
    <row r="71" spans="2:25" ht="12" x14ac:dyDescent="0.2">
      <c r="B71" s="75" t="s">
        <v>87</v>
      </c>
      <c r="C71" s="319">
        <v>28</v>
      </c>
      <c r="D71" s="216">
        <f>C71/D$69</f>
        <v>0.96551724137931039</v>
      </c>
      <c r="E71" s="173">
        <v>28</v>
      </c>
      <c r="F71" s="221">
        <f t="shared" ref="F71:H78" si="2">E71/F$69</f>
        <v>0.96551724137931039</v>
      </c>
      <c r="G71" s="215">
        <v>30</v>
      </c>
      <c r="H71" s="216">
        <f t="shared" si="2"/>
        <v>0.9375</v>
      </c>
      <c r="I71" s="173">
        <v>28</v>
      </c>
      <c r="J71" s="221">
        <f t="shared" ref="J71:L78" si="3">I71/J$69</f>
        <v>0.96551724137931039</v>
      </c>
      <c r="K71" s="215">
        <v>30</v>
      </c>
      <c r="L71" s="221">
        <f t="shared" si="3"/>
        <v>0.9375</v>
      </c>
      <c r="M71" s="215">
        <f>27+2</f>
        <v>29</v>
      </c>
      <c r="N71" s="216">
        <f t="shared" ref="N71:T78" si="4">M71/N$69</f>
        <v>0.93548387096774188</v>
      </c>
      <c r="O71" s="173">
        <v>29</v>
      </c>
      <c r="P71" s="216">
        <f t="shared" si="4"/>
        <v>0.93548387096774188</v>
      </c>
      <c r="Q71" s="173">
        <v>29</v>
      </c>
      <c r="R71" s="216">
        <f t="shared" si="4"/>
        <v>0.87878787878787878</v>
      </c>
      <c r="S71" s="173">
        <f>27+3</f>
        <v>30</v>
      </c>
      <c r="T71" s="216">
        <f t="shared" si="4"/>
        <v>0.9375</v>
      </c>
      <c r="U71" s="1662"/>
      <c r="V71" s="1657"/>
      <c r="W71" s="955"/>
      <c r="X71" s="1016">
        <f t="shared" ref="X71:X90" si="5">AVERAGE(K71,S71,Q71,O71,M71)</f>
        <v>29.4</v>
      </c>
      <c r="Y71" s="863">
        <f>AVERAGE(L71,T71,R71,P71,N71)</f>
        <v>0.92495112414467262</v>
      </c>
    </row>
    <row r="72" spans="2:25" ht="12" x14ac:dyDescent="0.2">
      <c r="B72" s="85" t="s">
        <v>88</v>
      </c>
      <c r="C72" s="319">
        <v>1</v>
      </c>
      <c r="D72" s="216">
        <f t="shared" ref="D72:D89" si="6">C72/$D$69</f>
        <v>3.4482758620689655E-2</v>
      </c>
      <c r="E72" s="173">
        <v>1</v>
      </c>
      <c r="F72" s="221">
        <f t="shared" si="2"/>
        <v>3.4482758620689655E-2</v>
      </c>
      <c r="G72" s="215">
        <v>1</v>
      </c>
      <c r="H72" s="216">
        <f t="shared" si="2"/>
        <v>3.125E-2</v>
      </c>
      <c r="I72" s="173">
        <v>1</v>
      </c>
      <c r="J72" s="221">
        <f t="shared" si="3"/>
        <v>3.4482758620689655E-2</v>
      </c>
      <c r="K72" s="215">
        <v>1</v>
      </c>
      <c r="L72" s="221">
        <f t="shared" si="3"/>
        <v>3.125E-2</v>
      </c>
      <c r="M72" s="215">
        <v>1</v>
      </c>
      <c r="N72" s="216">
        <f t="shared" si="4"/>
        <v>3.2258064516129031E-2</v>
      </c>
      <c r="O72" s="173">
        <v>1</v>
      </c>
      <c r="P72" s="216">
        <f t="shared" si="4"/>
        <v>3.2258064516129031E-2</v>
      </c>
      <c r="Q72" s="173">
        <v>1</v>
      </c>
      <c r="R72" s="216">
        <f t="shared" si="4"/>
        <v>3.0303030303030304E-2</v>
      </c>
      <c r="S72" s="173">
        <f>0</f>
        <v>0</v>
      </c>
      <c r="T72" s="216">
        <f t="shared" si="4"/>
        <v>0</v>
      </c>
      <c r="U72" s="1662"/>
      <c r="V72" s="1657"/>
      <c r="W72" s="955"/>
      <c r="X72" s="1016">
        <f t="shared" si="5"/>
        <v>0.8</v>
      </c>
      <c r="Y72" s="863">
        <f t="shared" ref="Y72:Y90" si="7">AVERAGE(L72,T72,R72,P72,N72)</f>
        <v>2.5213831867057675E-2</v>
      </c>
    </row>
    <row r="73" spans="2:25" ht="12" x14ac:dyDescent="0.2">
      <c r="B73" s="85" t="s">
        <v>89</v>
      </c>
      <c r="C73" s="319">
        <v>0</v>
      </c>
      <c r="D73" s="216">
        <f t="shared" si="6"/>
        <v>0</v>
      </c>
      <c r="E73" s="173">
        <v>0</v>
      </c>
      <c r="F73" s="221">
        <f t="shared" si="2"/>
        <v>0</v>
      </c>
      <c r="G73" s="215">
        <v>0</v>
      </c>
      <c r="H73" s="216">
        <f t="shared" si="2"/>
        <v>0</v>
      </c>
      <c r="I73" s="173">
        <v>0</v>
      </c>
      <c r="J73" s="221">
        <f t="shared" si="3"/>
        <v>0</v>
      </c>
      <c r="K73" s="215">
        <v>0</v>
      </c>
      <c r="L73" s="221">
        <f t="shared" si="3"/>
        <v>0</v>
      </c>
      <c r="M73" s="215">
        <v>0</v>
      </c>
      <c r="N73" s="216">
        <f t="shared" si="4"/>
        <v>0</v>
      </c>
      <c r="O73" s="173">
        <v>0</v>
      </c>
      <c r="P73" s="216">
        <f t="shared" si="4"/>
        <v>0</v>
      </c>
      <c r="Q73" s="173">
        <v>0</v>
      </c>
      <c r="R73" s="216">
        <f t="shared" si="4"/>
        <v>0</v>
      </c>
      <c r="S73" s="173">
        <f>0</f>
        <v>0</v>
      </c>
      <c r="T73" s="216">
        <f t="shared" si="4"/>
        <v>0</v>
      </c>
      <c r="U73" s="1662"/>
      <c r="V73" s="1657"/>
      <c r="W73" s="955"/>
      <c r="X73" s="1016">
        <f t="shared" si="5"/>
        <v>0</v>
      </c>
      <c r="Y73" s="863">
        <f t="shared" si="7"/>
        <v>0</v>
      </c>
    </row>
    <row r="74" spans="2:25" ht="12" x14ac:dyDescent="0.2">
      <c r="B74" s="85" t="s">
        <v>90</v>
      </c>
      <c r="C74" s="319">
        <v>0</v>
      </c>
      <c r="D74" s="216">
        <f t="shared" si="6"/>
        <v>0</v>
      </c>
      <c r="E74" s="173">
        <v>0</v>
      </c>
      <c r="F74" s="221">
        <f t="shared" si="2"/>
        <v>0</v>
      </c>
      <c r="G74" s="215">
        <v>0</v>
      </c>
      <c r="H74" s="216">
        <f t="shared" si="2"/>
        <v>0</v>
      </c>
      <c r="I74" s="173">
        <v>0</v>
      </c>
      <c r="J74" s="221">
        <f t="shared" si="3"/>
        <v>0</v>
      </c>
      <c r="K74" s="215">
        <v>0</v>
      </c>
      <c r="L74" s="221">
        <f t="shared" si="3"/>
        <v>0</v>
      </c>
      <c r="M74" s="215">
        <v>0</v>
      </c>
      <c r="N74" s="216">
        <f t="shared" si="4"/>
        <v>0</v>
      </c>
      <c r="O74" s="173">
        <v>0</v>
      </c>
      <c r="P74" s="216">
        <f t="shared" si="4"/>
        <v>0</v>
      </c>
      <c r="Q74" s="173">
        <v>1</v>
      </c>
      <c r="R74" s="216">
        <f t="shared" si="4"/>
        <v>3.0303030303030304E-2</v>
      </c>
      <c r="S74" s="173">
        <f>0</f>
        <v>0</v>
      </c>
      <c r="T74" s="216">
        <f t="shared" si="4"/>
        <v>0</v>
      </c>
      <c r="U74" s="1662"/>
      <c r="V74" s="1657"/>
      <c r="W74" s="955"/>
      <c r="X74" s="1016">
        <f t="shared" si="5"/>
        <v>0.2</v>
      </c>
      <c r="Y74" s="863">
        <f t="shared" si="7"/>
        <v>6.0606060606060606E-3</v>
      </c>
    </row>
    <row r="75" spans="2:25" ht="12" x14ac:dyDescent="0.2">
      <c r="B75" s="85" t="s">
        <v>91</v>
      </c>
      <c r="C75" s="319">
        <v>0</v>
      </c>
      <c r="D75" s="216">
        <f t="shared" si="6"/>
        <v>0</v>
      </c>
      <c r="E75" s="173">
        <v>0</v>
      </c>
      <c r="F75" s="221">
        <f t="shared" si="2"/>
        <v>0</v>
      </c>
      <c r="G75" s="215">
        <v>0</v>
      </c>
      <c r="H75" s="216">
        <f t="shared" si="2"/>
        <v>0</v>
      </c>
      <c r="I75" s="173">
        <v>0</v>
      </c>
      <c r="J75" s="221">
        <f t="shared" si="3"/>
        <v>0</v>
      </c>
      <c r="K75" s="215">
        <v>1</v>
      </c>
      <c r="L75" s="221">
        <f t="shared" si="3"/>
        <v>3.125E-2</v>
      </c>
      <c r="M75" s="215">
        <v>1</v>
      </c>
      <c r="N75" s="216">
        <f t="shared" si="4"/>
        <v>3.2258064516129031E-2</v>
      </c>
      <c r="O75" s="173">
        <v>1</v>
      </c>
      <c r="P75" s="216">
        <f t="shared" si="4"/>
        <v>3.2258064516129031E-2</v>
      </c>
      <c r="Q75" s="173">
        <v>2</v>
      </c>
      <c r="R75" s="216">
        <f t="shared" si="4"/>
        <v>6.0606060606060608E-2</v>
      </c>
      <c r="S75" s="173">
        <f>2</f>
        <v>2</v>
      </c>
      <c r="T75" s="216">
        <f t="shared" si="4"/>
        <v>6.25E-2</v>
      </c>
      <c r="U75" s="1662"/>
      <c r="V75" s="1657"/>
      <c r="W75" s="955"/>
      <c r="X75" s="1016">
        <f t="shared" si="5"/>
        <v>1.4</v>
      </c>
      <c r="Y75" s="863">
        <f t="shared" si="7"/>
        <v>4.3774437927663737E-2</v>
      </c>
    </row>
    <row r="76" spans="2:25" ht="12" x14ac:dyDescent="0.2">
      <c r="B76" s="85" t="s">
        <v>92</v>
      </c>
      <c r="C76" s="319">
        <v>0</v>
      </c>
      <c r="D76" s="216">
        <f t="shared" si="6"/>
        <v>0</v>
      </c>
      <c r="E76" s="173">
        <v>0</v>
      </c>
      <c r="F76" s="221">
        <f t="shared" si="2"/>
        <v>0</v>
      </c>
      <c r="G76" s="215">
        <v>1</v>
      </c>
      <c r="H76" s="216">
        <f t="shared" si="2"/>
        <v>3.125E-2</v>
      </c>
      <c r="I76" s="173">
        <v>0</v>
      </c>
      <c r="J76" s="221">
        <f t="shared" si="3"/>
        <v>0</v>
      </c>
      <c r="K76" s="215">
        <v>0</v>
      </c>
      <c r="L76" s="221">
        <f t="shared" si="3"/>
        <v>0</v>
      </c>
      <c r="M76" s="215">
        <v>0</v>
      </c>
      <c r="N76" s="216">
        <f t="shared" si="4"/>
        <v>0</v>
      </c>
      <c r="O76" s="173">
        <v>0</v>
      </c>
      <c r="P76" s="216">
        <f t="shared" si="4"/>
        <v>0</v>
      </c>
      <c r="Q76" s="173">
        <v>0</v>
      </c>
      <c r="R76" s="216">
        <f t="shared" si="4"/>
        <v>0</v>
      </c>
      <c r="S76" s="173">
        <f>0</f>
        <v>0</v>
      </c>
      <c r="T76" s="216">
        <f t="shared" si="4"/>
        <v>0</v>
      </c>
      <c r="U76" s="1662"/>
      <c r="V76" s="1657"/>
      <c r="W76" s="955"/>
      <c r="X76" s="1016">
        <f t="shared" si="5"/>
        <v>0</v>
      </c>
      <c r="Y76" s="863">
        <f t="shared" si="7"/>
        <v>0</v>
      </c>
    </row>
    <row r="77" spans="2:25" ht="12" x14ac:dyDescent="0.2">
      <c r="B77" s="85" t="s">
        <v>256</v>
      </c>
      <c r="C77" s="346"/>
      <c r="D77" s="216"/>
      <c r="E77" s="174"/>
      <c r="F77" s="221"/>
      <c r="G77" s="1510"/>
      <c r="H77" s="1511"/>
      <c r="I77" s="1512"/>
      <c r="J77" s="1513"/>
      <c r="K77" s="1510"/>
      <c r="L77" s="1513"/>
      <c r="M77" s="1510"/>
      <c r="N77" s="1511"/>
      <c r="O77" s="1512"/>
      <c r="P77" s="1511"/>
      <c r="Q77" s="174">
        <v>0</v>
      </c>
      <c r="R77" s="216">
        <f t="shared" si="4"/>
        <v>0</v>
      </c>
      <c r="S77" s="174">
        <f>0</f>
        <v>0</v>
      </c>
      <c r="T77" s="216">
        <f t="shared" si="4"/>
        <v>0</v>
      </c>
      <c r="U77" s="1663"/>
      <c r="V77" s="1657"/>
      <c r="W77" s="955"/>
      <c r="X77" s="1016">
        <f t="shared" si="5"/>
        <v>0</v>
      </c>
      <c r="Y77" s="863">
        <f t="shared" si="7"/>
        <v>0</v>
      </c>
    </row>
    <row r="78" spans="2:25" ht="12" x14ac:dyDescent="0.2">
      <c r="B78" s="85" t="s">
        <v>93</v>
      </c>
      <c r="C78" s="346">
        <v>0</v>
      </c>
      <c r="D78" s="216">
        <f t="shared" si="6"/>
        <v>0</v>
      </c>
      <c r="E78" s="174">
        <v>0</v>
      </c>
      <c r="F78" s="221">
        <f t="shared" si="2"/>
        <v>0</v>
      </c>
      <c r="G78" s="217">
        <v>0</v>
      </c>
      <c r="H78" s="216">
        <f t="shared" si="2"/>
        <v>0</v>
      </c>
      <c r="I78" s="174">
        <v>0</v>
      </c>
      <c r="J78" s="221">
        <f t="shared" si="3"/>
        <v>0</v>
      </c>
      <c r="K78" s="217">
        <v>0</v>
      </c>
      <c r="L78" s="221">
        <f t="shared" si="3"/>
        <v>0</v>
      </c>
      <c r="M78" s="217">
        <v>0</v>
      </c>
      <c r="N78" s="216">
        <f t="shared" si="4"/>
        <v>0</v>
      </c>
      <c r="O78" s="174">
        <v>0</v>
      </c>
      <c r="P78" s="216">
        <f t="shared" si="4"/>
        <v>0</v>
      </c>
      <c r="Q78" s="174">
        <v>0</v>
      </c>
      <c r="R78" s="216">
        <f t="shared" si="4"/>
        <v>0</v>
      </c>
      <c r="S78" s="174">
        <f>0</f>
        <v>0</v>
      </c>
      <c r="T78" s="216">
        <f t="shared" si="4"/>
        <v>0</v>
      </c>
      <c r="U78" s="1663"/>
      <c r="V78" s="1657"/>
      <c r="W78" s="955"/>
      <c r="X78" s="1016">
        <f t="shared" si="5"/>
        <v>0</v>
      </c>
      <c r="Y78" s="863">
        <f t="shared" si="7"/>
        <v>0</v>
      </c>
    </row>
    <row r="79" spans="2:25" ht="12" x14ac:dyDescent="0.2">
      <c r="B79" s="343" t="s">
        <v>136</v>
      </c>
      <c r="C79" s="218"/>
      <c r="D79" s="216"/>
      <c r="E79" s="226"/>
      <c r="F79" s="310"/>
      <c r="G79" s="326"/>
      <c r="H79" s="394"/>
      <c r="I79" s="226"/>
      <c r="J79" s="310"/>
      <c r="K79" s="326"/>
      <c r="L79" s="310"/>
      <c r="M79" s="326"/>
      <c r="N79" s="394"/>
      <c r="O79" s="226"/>
      <c r="P79" s="394"/>
      <c r="Q79" s="226"/>
      <c r="R79" s="394"/>
      <c r="S79" s="226"/>
      <c r="T79" s="394"/>
      <c r="U79" s="1675"/>
      <c r="V79" s="1814"/>
      <c r="W79" s="955"/>
      <c r="X79" s="1016"/>
      <c r="Y79" s="863"/>
    </row>
    <row r="80" spans="2:25" ht="12" x14ac:dyDescent="0.2">
      <c r="B80" s="75" t="s">
        <v>124</v>
      </c>
      <c r="C80" s="230">
        <v>19</v>
      </c>
      <c r="D80" s="216">
        <f t="shared" si="6"/>
        <v>0.65517241379310343</v>
      </c>
      <c r="E80" s="171">
        <v>19</v>
      </c>
      <c r="F80" s="311">
        <f>E80/F$69</f>
        <v>0.65517241379310343</v>
      </c>
      <c r="G80" s="229">
        <v>20</v>
      </c>
      <c r="H80" s="395">
        <f>G80/H$69</f>
        <v>0.625</v>
      </c>
      <c r="I80" s="183">
        <v>19</v>
      </c>
      <c r="J80" s="221">
        <f>I80/J$69</f>
        <v>0.65517241379310343</v>
      </c>
      <c r="K80" s="229">
        <v>19</v>
      </c>
      <c r="L80" s="221">
        <f>K80/L$69</f>
        <v>0.59375</v>
      </c>
      <c r="M80" s="229">
        <f>17+1</f>
        <v>18</v>
      </c>
      <c r="N80" s="216">
        <f>M80/N$69</f>
        <v>0.58064516129032262</v>
      </c>
      <c r="O80" s="183">
        <v>18</v>
      </c>
      <c r="P80" s="216">
        <f>O80/P$69</f>
        <v>0.58064516129032262</v>
      </c>
      <c r="Q80" s="183">
        <v>19</v>
      </c>
      <c r="R80" s="216">
        <f>Q80/R$69</f>
        <v>0.5757575757575758</v>
      </c>
      <c r="S80" s="183">
        <f>2+17</f>
        <v>19</v>
      </c>
      <c r="T80" s="216">
        <f>S80/T$69</f>
        <v>0.59375</v>
      </c>
      <c r="U80" s="1676"/>
      <c r="V80" s="1657"/>
      <c r="W80" s="955"/>
      <c r="X80" s="1016">
        <f t="shared" si="5"/>
        <v>18.600000000000001</v>
      </c>
      <c r="Y80" s="863">
        <f t="shared" si="7"/>
        <v>0.58490957966764412</v>
      </c>
    </row>
    <row r="81" spans="1:27" ht="12" x14ac:dyDescent="0.2">
      <c r="B81" s="75" t="s">
        <v>125</v>
      </c>
      <c r="C81" s="230">
        <v>10</v>
      </c>
      <c r="D81" s="216">
        <f t="shared" si="6"/>
        <v>0.34482758620689657</v>
      </c>
      <c r="E81" s="223">
        <v>10</v>
      </c>
      <c r="F81" s="311">
        <f>E81/F$69</f>
        <v>0.34482758620689657</v>
      </c>
      <c r="G81" s="230">
        <v>12</v>
      </c>
      <c r="H81" s="395">
        <f>G81/H$69</f>
        <v>0.375</v>
      </c>
      <c r="I81" s="283">
        <v>10</v>
      </c>
      <c r="J81" s="221">
        <f>I81/J$69</f>
        <v>0.34482758620689657</v>
      </c>
      <c r="K81" s="230">
        <v>13</v>
      </c>
      <c r="L81" s="221">
        <f>K81/L$69</f>
        <v>0.40625</v>
      </c>
      <c r="M81" s="230">
        <f>12+1</f>
        <v>13</v>
      </c>
      <c r="N81" s="216">
        <f>M81/N$69</f>
        <v>0.41935483870967744</v>
      </c>
      <c r="O81" s="283">
        <v>13</v>
      </c>
      <c r="P81" s="216">
        <f>O81/P$69</f>
        <v>0.41935483870967744</v>
      </c>
      <c r="Q81" s="283">
        <v>14</v>
      </c>
      <c r="R81" s="216">
        <f>Q81/R$69</f>
        <v>0.42424242424242425</v>
      </c>
      <c r="S81" s="283">
        <f>1+12</f>
        <v>13</v>
      </c>
      <c r="T81" s="216">
        <f>S81/T$69</f>
        <v>0.40625</v>
      </c>
      <c r="U81" s="1677"/>
      <c r="V81" s="1657"/>
      <c r="W81" s="955"/>
      <c r="X81" s="1016">
        <f t="shared" si="5"/>
        <v>13.2</v>
      </c>
      <c r="Y81" s="863">
        <f t="shared" si="7"/>
        <v>0.41509042033235588</v>
      </c>
    </row>
    <row r="82" spans="1:27" ht="12" x14ac:dyDescent="0.2">
      <c r="B82" s="343" t="s">
        <v>137</v>
      </c>
      <c r="C82" s="219"/>
      <c r="D82" s="216"/>
      <c r="E82" s="227"/>
      <c r="F82" s="311"/>
      <c r="G82" s="315"/>
      <c r="H82" s="395"/>
      <c r="I82" s="285"/>
      <c r="J82" s="221"/>
      <c r="K82" s="315"/>
      <c r="L82" s="221"/>
      <c r="M82" s="315"/>
      <c r="N82" s="216"/>
      <c r="O82" s="285"/>
      <c r="P82" s="216"/>
      <c r="Q82" s="285"/>
      <c r="R82" s="216"/>
      <c r="S82" s="285"/>
      <c r="T82" s="216"/>
      <c r="U82" s="1678"/>
      <c r="V82" s="1657"/>
      <c r="W82" s="955"/>
      <c r="X82" s="1016"/>
      <c r="Y82" s="863"/>
    </row>
    <row r="83" spans="1:27" ht="12" x14ac:dyDescent="0.2">
      <c r="B83" s="75" t="s">
        <v>126</v>
      </c>
      <c r="C83" s="224">
        <v>19</v>
      </c>
      <c r="D83" s="216">
        <f t="shared" si="6"/>
        <v>0.65517241379310343</v>
      </c>
      <c r="E83" s="223">
        <v>19</v>
      </c>
      <c r="F83" s="311">
        <f>E83/F$69</f>
        <v>0.65517241379310343</v>
      </c>
      <c r="G83" s="230">
        <v>18</v>
      </c>
      <c r="H83" s="395">
        <f>G83/H$69</f>
        <v>0.5625</v>
      </c>
      <c r="I83" s="283">
        <v>19</v>
      </c>
      <c r="J83" s="221">
        <f>I83/J$69</f>
        <v>0.65517241379310343</v>
      </c>
      <c r="K83" s="230">
        <v>16</v>
      </c>
      <c r="L83" s="221">
        <f>K83/L$69</f>
        <v>0.5</v>
      </c>
      <c r="M83" s="230">
        <v>16</v>
      </c>
      <c r="N83" s="216">
        <f>M83/N$69</f>
        <v>0.5161290322580645</v>
      </c>
      <c r="O83" s="283">
        <v>16</v>
      </c>
      <c r="P83" s="216">
        <f>O83/P$69</f>
        <v>0.5161290322580645</v>
      </c>
      <c r="Q83" s="283">
        <v>16</v>
      </c>
      <c r="R83" s="216">
        <f>Q83/R$69</f>
        <v>0.48484848484848486</v>
      </c>
      <c r="S83" s="283">
        <f>0+15</f>
        <v>15</v>
      </c>
      <c r="T83" s="216">
        <f>S83/T$69</f>
        <v>0.46875</v>
      </c>
      <c r="U83" s="1677"/>
      <c r="V83" s="1657"/>
      <c r="W83" s="955"/>
      <c r="X83" s="1016">
        <f t="shared" si="5"/>
        <v>15.8</v>
      </c>
      <c r="Y83" s="863">
        <f t="shared" si="7"/>
        <v>0.4971713098729228</v>
      </c>
    </row>
    <row r="84" spans="1:27" ht="12" x14ac:dyDescent="0.2">
      <c r="B84" s="75" t="s">
        <v>127</v>
      </c>
      <c r="C84" s="224">
        <v>7</v>
      </c>
      <c r="D84" s="216">
        <f t="shared" si="6"/>
        <v>0.2413793103448276</v>
      </c>
      <c r="E84" s="223">
        <v>5</v>
      </c>
      <c r="F84" s="311">
        <f>E84/F$69</f>
        <v>0.17241379310344829</v>
      </c>
      <c r="G84" s="230">
        <v>6</v>
      </c>
      <c r="H84" s="395">
        <f>G84/H$69</f>
        <v>0.1875</v>
      </c>
      <c r="I84" s="283">
        <v>5</v>
      </c>
      <c r="J84" s="221">
        <f>I84/J$69</f>
        <v>0.17241379310344829</v>
      </c>
      <c r="K84" s="230">
        <v>7</v>
      </c>
      <c r="L84" s="221">
        <f>K84/L$69</f>
        <v>0.21875</v>
      </c>
      <c r="M84" s="230">
        <v>8</v>
      </c>
      <c r="N84" s="216">
        <f>M84/N$69</f>
        <v>0.25806451612903225</v>
      </c>
      <c r="O84" s="283">
        <v>8</v>
      </c>
      <c r="P84" s="216">
        <f>O84/P$69</f>
        <v>0.25806451612903225</v>
      </c>
      <c r="Q84" s="283">
        <v>9</v>
      </c>
      <c r="R84" s="216">
        <f>Q84/R$69</f>
        <v>0.27272727272727271</v>
      </c>
      <c r="S84" s="283">
        <f>0+9</f>
        <v>9</v>
      </c>
      <c r="T84" s="216">
        <f>S84/T$69</f>
        <v>0.28125</v>
      </c>
      <c r="U84" s="1677"/>
      <c r="V84" s="1657"/>
      <c r="W84" s="955"/>
      <c r="X84" s="1016">
        <f t="shared" si="5"/>
        <v>8.1999999999999993</v>
      </c>
      <c r="Y84" s="863">
        <f t="shared" si="7"/>
        <v>0.25777126099706743</v>
      </c>
    </row>
    <row r="85" spans="1:27" ht="12" x14ac:dyDescent="0.2">
      <c r="B85" s="75" t="s">
        <v>128</v>
      </c>
      <c r="C85" s="224">
        <v>3</v>
      </c>
      <c r="D85" s="216">
        <f t="shared" si="6"/>
        <v>0.10344827586206896</v>
      </c>
      <c r="E85" s="223">
        <v>5</v>
      </c>
      <c r="F85" s="311">
        <f>E85/F$69</f>
        <v>0.17241379310344829</v>
      </c>
      <c r="G85" s="230">
        <v>8</v>
      </c>
      <c r="H85" s="395">
        <f>G85/H$69</f>
        <v>0.25</v>
      </c>
      <c r="I85" s="283">
        <v>5</v>
      </c>
      <c r="J85" s="221">
        <f>I85/J$69</f>
        <v>0.17241379310344829</v>
      </c>
      <c r="K85" s="230">
        <v>9</v>
      </c>
      <c r="L85" s="221">
        <f>K85/L$69</f>
        <v>0.28125</v>
      </c>
      <c r="M85" s="230">
        <f>5+2</f>
        <v>7</v>
      </c>
      <c r="N85" s="216">
        <f>M85/N$69</f>
        <v>0.22580645161290322</v>
      </c>
      <c r="O85" s="283">
        <v>7</v>
      </c>
      <c r="P85" s="216">
        <f>O85/P$69</f>
        <v>0.22580645161290322</v>
      </c>
      <c r="Q85" s="283">
        <v>8</v>
      </c>
      <c r="R85" s="216">
        <f>Q85/R$69</f>
        <v>0.24242424242424243</v>
      </c>
      <c r="S85" s="283">
        <f>3+5</f>
        <v>8</v>
      </c>
      <c r="T85" s="216">
        <f>S85/T$69</f>
        <v>0.25</v>
      </c>
      <c r="U85" s="1677"/>
      <c r="V85" s="1657"/>
      <c r="W85" s="955"/>
      <c r="X85" s="1016">
        <f t="shared" si="5"/>
        <v>7.8</v>
      </c>
      <c r="Y85" s="863">
        <f t="shared" si="7"/>
        <v>0.24505742913000977</v>
      </c>
    </row>
    <row r="86" spans="1:27" ht="12" x14ac:dyDescent="0.2">
      <c r="B86" s="343" t="s">
        <v>138</v>
      </c>
      <c r="C86" s="219"/>
      <c r="D86" s="216"/>
      <c r="E86" s="227"/>
      <c r="F86" s="311"/>
      <c r="G86" s="315"/>
      <c r="H86" s="395"/>
      <c r="I86" s="285"/>
      <c r="J86" s="221"/>
      <c r="K86" s="315"/>
      <c r="L86" s="221"/>
      <c r="M86" s="315"/>
      <c r="N86" s="216"/>
      <c r="O86" s="285"/>
      <c r="P86" s="216"/>
      <c r="Q86" s="285"/>
      <c r="R86" s="216"/>
      <c r="S86" s="285"/>
      <c r="T86" s="216"/>
      <c r="U86" s="1678"/>
      <c r="V86" s="1657"/>
      <c r="W86" s="955"/>
      <c r="X86" s="1016"/>
      <c r="Y86" s="863"/>
    </row>
    <row r="87" spans="1:27" ht="12" x14ac:dyDescent="0.2">
      <c r="B87" s="75" t="s">
        <v>129</v>
      </c>
      <c r="C87" s="224">
        <v>23</v>
      </c>
      <c r="D87" s="216">
        <f t="shared" si="6"/>
        <v>0.7931034482758621</v>
      </c>
      <c r="E87" s="223">
        <v>22</v>
      </c>
      <c r="F87" s="311">
        <f>E87/F$69</f>
        <v>0.75862068965517238</v>
      </c>
      <c r="G87" s="230">
        <v>22</v>
      </c>
      <c r="H87" s="395">
        <f>G87/H$69</f>
        <v>0.6875</v>
      </c>
      <c r="I87" s="283">
        <v>23</v>
      </c>
      <c r="J87" s="221">
        <f>I87/J$69</f>
        <v>0.7931034482758621</v>
      </c>
      <c r="K87" s="230">
        <v>25</v>
      </c>
      <c r="L87" s="221">
        <f>K87/L$69</f>
        <v>0.78125</v>
      </c>
      <c r="M87" s="230">
        <f>24+1</f>
        <v>25</v>
      </c>
      <c r="N87" s="216">
        <f>M87/N$69</f>
        <v>0.80645161290322576</v>
      </c>
      <c r="O87" s="283">
        <v>24</v>
      </c>
      <c r="P87" s="216">
        <f>O87/P$69</f>
        <v>0.77419354838709675</v>
      </c>
      <c r="Q87" s="283">
        <v>25</v>
      </c>
      <c r="R87" s="216">
        <f>Q87/R$69</f>
        <v>0.75757575757575757</v>
      </c>
      <c r="S87" s="283">
        <f>0+24</f>
        <v>24</v>
      </c>
      <c r="T87" s="216">
        <f>S87/T$69</f>
        <v>0.75</v>
      </c>
      <c r="U87" s="1677"/>
      <c r="V87" s="1657"/>
      <c r="W87" s="955"/>
      <c r="X87" s="1016">
        <f t="shared" si="5"/>
        <v>24.6</v>
      </c>
      <c r="Y87" s="863">
        <f t="shared" si="7"/>
        <v>0.77389418377321617</v>
      </c>
    </row>
    <row r="88" spans="1:27" ht="12" x14ac:dyDescent="0.2">
      <c r="B88" s="75" t="s">
        <v>130</v>
      </c>
      <c r="C88" s="224">
        <v>5</v>
      </c>
      <c r="D88" s="216">
        <f t="shared" si="6"/>
        <v>0.17241379310344829</v>
      </c>
      <c r="E88" s="223">
        <v>6</v>
      </c>
      <c r="F88" s="311">
        <f>E88/F$69</f>
        <v>0.20689655172413793</v>
      </c>
      <c r="G88" s="230">
        <v>8</v>
      </c>
      <c r="H88" s="395">
        <f>G88/H$69</f>
        <v>0.25</v>
      </c>
      <c r="I88" s="283">
        <v>5</v>
      </c>
      <c r="J88" s="221">
        <f>I88/J$69</f>
        <v>0.17241379310344829</v>
      </c>
      <c r="K88" s="230">
        <v>6</v>
      </c>
      <c r="L88" s="221">
        <f>K88/L$69</f>
        <v>0.1875</v>
      </c>
      <c r="M88" s="230">
        <f>5+1</f>
        <v>6</v>
      </c>
      <c r="N88" s="216">
        <f>M88/N$69</f>
        <v>0.19354838709677419</v>
      </c>
      <c r="O88" s="283">
        <v>7</v>
      </c>
      <c r="P88" s="216">
        <f>O88/P$69</f>
        <v>0.22580645161290322</v>
      </c>
      <c r="Q88" s="283">
        <v>8</v>
      </c>
      <c r="R88" s="216">
        <f>Q88/R$69</f>
        <v>0.24242424242424243</v>
      </c>
      <c r="S88" s="283">
        <f>3+5</f>
        <v>8</v>
      </c>
      <c r="T88" s="216">
        <f>S88/T$69</f>
        <v>0.25</v>
      </c>
      <c r="U88" s="1677"/>
      <c r="V88" s="1657"/>
      <c r="X88" s="1016">
        <f t="shared" si="5"/>
        <v>7</v>
      </c>
      <c r="Y88" s="863">
        <f t="shared" si="7"/>
        <v>0.21985581622678399</v>
      </c>
    </row>
    <row r="89" spans="1:27" ht="12" x14ac:dyDescent="0.2">
      <c r="B89" s="75" t="s">
        <v>131</v>
      </c>
      <c r="C89" s="224">
        <v>1</v>
      </c>
      <c r="D89" s="216">
        <f t="shared" si="6"/>
        <v>3.4482758620689655E-2</v>
      </c>
      <c r="E89" s="223">
        <v>1</v>
      </c>
      <c r="F89" s="311">
        <f>E89/F$69</f>
        <v>3.4482758620689655E-2</v>
      </c>
      <c r="G89" s="230">
        <v>2</v>
      </c>
      <c r="H89" s="395">
        <f>G89/H$69</f>
        <v>6.25E-2</v>
      </c>
      <c r="I89" s="283">
        <v>1</v>
      </c>
      <c r="J89" s="221">
        <f>I89/J$69</f>
        <v>3.4482758620689655E-2</v>
      </c>
      <c r="K89" s="230">
        <v>1</v>
      </c>
      <c r="L89" s="221">
        <f>K89/L$69</f>
        <v>3.125E-2</v>
      </c>
      <c r="M89" s="230">
        <v>0</v>
      </c>
      <c r="N89" s="216">
        <f>M89/N$69</f>
        <v>0</v>
      </c>
      <c r="O89" s="283">
        <v>0</v>
      </c>
      <c r="P89" s="216">
        <f>O89/P$69</f>
        <v>0</v>
      </c>
      <c r="Q89" s="283">
        <v>0</v>
      </c>
      <c r="R89" s="216">
        <f>Q89/R$69</f>
        <v>0</v>
      </c>
      <c r="S89" s="283">
        <f>0</f>
        <v>0</v>
      </c>
      <c r="T89" s="216">
        <f>S89/T$69</f>
        <v>0</v>
      </c>
      <c r="U89" s="1677"/>
      <c r="V89" s="1657"/>
      <c r="X89" s="1016">
        <f t="shared" si="5"/>
        <v>0.2</v>
      </c>
      <c r="Y89" s="863">
        <f t="shared" si="7"/>
        <v>6.2500000000000003E-3</v>
      </c>
    </row>
    <row r="90" spans="1:27" thickBot="1" x14ac:dyDescent="0.25">
      <c r="B90" s="344" t="s">
        <v>132</v>
      </c>
      <c r="C90" s="61">
        <v>0</v>
      </c>
      <c r="D90" s="220"/>
      <c r="E90" s="228">
        <v>0</v>
      </c>
      <c r="F90" s="312"/>
      <c r="G90" s="375">
        <v>0</v>
      </c>
      <c r="H90" s="397"/>
      <c r="I90" s="284">
        <v>0</v>
      </c>
      <c r="J90" s="222">
        <f>I90/J$69</f>
        <v>0</v>
      </c>
      <c r="K90" s="375">
        <v>0</v>
      </c>
      <c r="L90" s="222">
        <f>K90/L$69</f>
        <v>0</v>
      </c>
      <c r="M90" s="375">
        <v>0</v>
      </c>
      <c r="N90" s="220">
        <f>M90/N$69</f>
        <v>0</v>
      </c>
      <c r="O90" s="284">
        <v>0</v>
      </c>
      <c r="P90" s="220">
        <f>O90/P$69</f>
        <v>0</v>
      </c>
      <c r="Q90" s="284">
        <v>0</v>
      </c>
      <c r="R90" s="220">
        <f>Q90/R$69</f>
        <v>0</v>
      </c>
      <c r="S90" s="284">
        <f>0</f>
        <v>0</v>
      </c>
      <c r="T90" s="220">
        <f>S90/T$69</f>
        <v>0</v>
      </c>
      <c r="U90" s="1679"/>
      <c r="V90" s="1658"/>
      <c r="X90" s="1016">
        <f t="shared" si="5"/>
        <v>0</v>
      </c>
      <c r="Y90" s="863">
        <f t="shared" si="7"/>
        <v>0</v>
      </c>
    </row>
    <row r="91" spans="1:27" customFormat="1" ht="14.25" thickTop="1" thickBot="1" x14ac:dyDescent="0.25">
      <c r="A91" s="1"/>
      <c r="B91" s="956" t="s">
        <v>186</v>
      </c>
      <c r="C91" s="1992" t="s">
        <v>51</v>
      </c>
      <c r="D91" s="1993"/>
      <c r="E91" s="1992" t="s">
        <v>52</v>
      </c>
      <c r="F91" s="1993"/>
      <c r="G91" s="1989" t="s">
        <v>184</v>
      </c>
      <c r="H91" s="1990"/>
      <c r="I91" s="1989" t="s">
        <v>185</v>
      </c>
      <c r="J91" s="1990"/>
      <c r="K91" s="1989" t="s">
        <v>202</v>
      </c>
      <c r="L91" s="1990"/>
      <c r="M91" s="1991" t="s">
        <v>203</v>
      </c>
      <c r="N91" s="1979"/>
      <c r="O91" s="1970" t="s">
        <v>228</v>
      </c>
      <c r="P91" s="1979"/>
      <c r="Q91" s="1970" t="s">
        <v>238</v>
      </c>
      <c r="R91" s="1979"/>
      <c r="S91" s="1970" t="s">
        <v>273</v>
      </c>
      <c r="T91" s="1979"/>
      <c r="U91" s="1970" t="s">
        <v>275</v>
      </c>
      <c r="V91" s="1976"/>
      <c r="X91" s="2003" t="s">
        <v>213</v>
      </c>
      <c r="Y91" s="2004"/>
    </row>
    <row r="92" spans="1:27" customFormat="1" x14ac:dyDescent="0.2">
      <c r="A92" s="1"/>
      <c r="B92" s="957"/>
      <c r="C92" s="958"/>
      <c r="D92" s="959"/>
      <c r="E92" s="1273" t="s">
        <v>133</v>
      </c>
      <c r="F92" s="1180" t="s">
        <v>17</v>
      </c>
      <c r="G92" s="958" t="s">
        <v>133</v>
      </c>
      <c r="H92" s="1242" t="s">
        <v>17</v>
      </c>
      <c r="I92" s="1273" t="s">
        <v>133</v>
      </c>
      <c r="J92" s="1242" t="s">
        <v>17</v>
      </c>
      <c r="K92" s="1273" t="s">
        <v>133</v>
      </c>
      <c r="L92" s="1242" t="s">
        <v>17</v>
      </c>
      <c r="M92" s="1273" t="s">
        <v>133</v>
      </c>
      <c r="N92" s="1242" t="s">
        <v>17</v>
      </c>
      <c r="O92" s="1273" t="s">
        <v>133</v>
      </c>
      <c r="P92" s="959" t="s">
        <v>17</v>
      </c>
      <c r="Q92" s="1400" t="s">
        <v>133</v>
      </c>
      <c r="R92" s="959" t="s">
        <v>17</v>
      </c>
      <c r="S92" s="1400" t="s">
        <v>133</v>
      </c>
      <c r="T92" s="959" t="s">
        <v>17</v>
      </c>
      <c r="U92" s="1400" t="s">
        <v>133</v>
      </c>
      <c r="V92" s="954" t="s">
        <v>17</v>
      </c>
      <c r="X92" s="953" t="s">
        <v>133</v>
      </c>
      <c r="Y92" s="954" t="s">
        <v>17</v>
      </c>
    </row>
    <row r="93" spans="1:27" customFormat="1" x14ac:dyDescent="0.2">
      <c r="A93" s="1"/>
      <c r="B93" s="341" t="s">
        <v>187</v>
      </c>
      <c r="C93" s="960">
        <v>0</v>
      </c>
      <c r="D93" s="961">
        <v>0</v>
      </c>
      <c r="E93" s="960">
        <v>0</v>
      </c>
      <c r="F93" s="961">
        <v>0</v>
      </c>
      <c r="G93" s="960">
        <v>0</v>
      </c>
      <c r="H93" s="961">
        <v>0</v>
      </c>
      <c r="I93" s="960">
        <v>0</v>
      </c>
      <c r="J93" s="961">
        <v>0</v>
      </c>
      <c r="K93" s="960">
        <v>0</v>
      </c>
      <c r="L93" s="961">
        <v>0</v>
      </c>
      <c r="M93" s="960">
        <v>0</v>
      </c>
      <c r="N93" s="961">
        <v>0</v>
      </c>
      <c r="O93" s="960">
        <v>0</v>
      </c>
      <c r="P93" s="961">
        <v>0</v>
      </c>
      <c r="Q93" s="960">
        <v>0</v>
      </c>
      <c r="R93" s="961">
        <v>0</v>
      </c>
      <c r="S93" s="960">
        <v>0</v>
      </c>
      <c r="T93" s="961">
        <v>0</v>
      </c>
      <c r="U93" s="1659"/>
      <c r="V93" s="1660"/>
      <c r="X93" s="1115">
        <f t="shared" ref="X93:Y95" si="8">AVERAGE(K93,S93,Q93,O93,M93)</f>
        <v>0</v>
      </c>
      <c r="Y93" s="1116">
        <f t="shared" si="8"/>
        <v>0</v>
      </c>
    </row>
    <row r="94" spans="1:27" customFormat="1" x14ac:dyDescent="0.2">
      <c r="A94" s="1"/>
      <c r="B94" s="341" t="s">
        <v>188</v>
      </c>
      <c r="C94" s="960">
        <v>14</v>
      </c>
      <c r="D94" s="961">
        <v>7.4</v>
      </c>
      <c r="E94" s="960">
        <v>13</v>
      </c>
      <c r="F94" s="961">
        <v>6.5</v>
      </c>
      <c r="G94" s="960">
        <v>13</v>
      </c>
      <c r="H94" s="961">
        <v>6.5</v>
      </c>
      <c r="I94" s="960">
        <v>13</v>
      </c>
      <c r="J94" s="961">
        <v>6.5</v>
      </c>
      <c r="K94" s="960">
        <v>14</v>
      </c>
      <c r="L94" s="961">
        <v>7</v>
      </c>
      <c r="M94" s="960">
        <v>14</v>
      </c>
      <c r="N94" s="961">
        <v>7</v>
      </c>
      <c r="O94" s="960">
        <v>12</v>
      </c>
      <c r="P94" s="961">
        <v>6</v>
      </c>
      <c r="Q94" s="960">
        <v>10</v>
      </c>
      <c r="R94" s="961">
        <v>5</v>
      </c>
      <c r="S94" s="960">
        <v>12</v>
      </c>
      <c r="T94" s="961">
        <v>6</v>
      </c>
      <c r="U94" s="1659"/>
      <c r="V94" s="1660"/>
      <c r="X94" s="1115">
        <f t="shared" si="8"/>
        <v>12.4</v>
      </c>
      <c r="Y94" s="1116">
        <f t="shared" si="8"/>
        <v>6.2</v>
      </c>
    </row>
    <row r="95" spans="1:27" customFormat="1" ht="13.5" thickBot="1" x14ac:dyDescent="0.25">
      <c r="A95" s="1"/>
      <c r="B95" s="344" t="s">
        <v>211</v>
      </c>
      <c r="C95" s="962">
        <v>0</v>
      </c>
      <c r="D95" s="963">
        <v>0</v>
      </c>
      <c r="E95" s="964">
        <v>0</v>
      </c>
      <c r="F95" s="963">
        <v>0</v>
      </c>
      <c r="G95" s="964">
        <v>0</v>
      </c>
      <c r="H95" s="963">
        <v>0</v>
      </c>
      <c r="I95" s="964">
        <v>0</v>
      </c>
      <c r="J95" s="963">
        <v>0</v>
      </c>
      <c r="K95" s="964">
        <v>0</v>
      </c>
      <c r="L95" s="963">
        <v>0</v>
      </c>
      <c r="M95" s="964">
        <v>0</v>
      </c>
      <c r="N95" s="963">
        <v>0</v>
      </c>
      <c r="O95" s="964">
        <v>0</v>
      </c>
      <c r="P95" s="963">
        <v>0</v>
      </c>
      <c r="Q95" s="964">
        <v>0</v>
      </c>
      <c r="R95" s="963">
        <v>0</v>
      </c>
      <c r="S95" s="964">
        <v>0</v>
      </c>
      <c r="T95" s="963">
        <v>0</v>
      </c>
      <c r="U95" s="1680"/>
      <c r="V95" s="1661"/>
      <c r="X95" s="1115">
        <f t="shared" si="8"/>
        <v>0</v>
      </c>
      <c r="Y95" s="1116">
        <f t="shared" si="8"/>
        <v>0</v>
      </c>
    </row>
    <row r="96" spans="1:27" customFormat="1" ht="17.25" thickTop="1" thickBot="1" x14ac:dyDescent="0.3">
      <c r="A96" s="966"/>
      <c r="B96" s="967"/>
      <c r="C96" s="1992" t="s">
        <v>51</v>
      </c>
      <c r="D96" s="1993"/>
      <c r="E96" s="1992" t="s">
        <v>52</v>
      </c>
      <c r="F96" s="1993"/>
      <c r="G96" s="1989" t="s">
        <v>184</v>
      </c>
      <c r="H96" s="1990"/>
      <c r="I96" s="1989" t="s">
        <v>185</v>
      </c>
      <c r="J96" s="1990"/>
      <c r="K96" s="1989" t="s">
        <v>202</v>
      </c>
      <c r="L96" s="1990"/>
      <c r="M96" s="1991" t="s">
        <v>203</v>
      </c>
      <c r="N96" s="1979"/>
      <c r="O96" s="1970" t="s">
        <v>254</v>
      </c>
      <c r="P96" s="1979"/>
      <c r="Q96" s="1970" t="s">
        <v>238</v>
      </c>
      <c r="R96" s="1979"/>
      <c r="S96" s="1970" t="s">
        <v>273</v>
      </c>
      <c r="T96" s="1979"/>
      <c r="U96" s="1970" t="s">
        <v>275</v>
      </c>
      <c r="V96" s="1976"/>
      <c r="W96" s="968"/>
      <c r="X96" s="1987"/>
      <c r="Y96" s="1988"/>
      <c r="Z96" s="28"/>
      <c r="AA96" s="3"/>
    </row>
    <row r="97" spans="1:27" customFormat="1" x14ac:dyDescent="0.2">
      <c r="A97" s="3"/>
      <c r="B97" s="342" t="s">
        <v>210</v>
      </c>
      <c r="C97" s="3"/>
      <c r="D97" s="969"/>
      <c r="E97" s="970"/>
      <c r="F97" s="971"/>
      <c r="G97" s="972"/>
      <c r="H97" s="973"/>
      <c r="I97" s="974"/>
      <c r="J97" s="593"/>
      <c r="K97" s="975"/>
      <c r="L97" s="976"/>
      <c r="M97" s="975"/>
      <c r="N97" s="991"/>
      <c r="O97" s="117"/>
      <c r="P97" s="1422"/>
      <c r="Q97" s="975"/>
      <c r="R97" s="991"/>
      <c r="S97" s="975"/>
      <c r="T97" s="991"/>
      <c r="U97" s="975"/>
      <c r="V97" s="977"/>
      <c r="W97" s="28"/>
      <c r="X97" s="28"/>
      <c r="Y97" s="28"/>
      <c r="Z97" s="3"/>
      <c r="AA97" s="3"/>
    </row>
    <row r="98" spans="1:27" customFormat="1" x14ac:dyDescent="0.2">
      <c r="A98" s="930"/>
      <c r="B98" s="979" t="s">
        <v>192</v>
      </c>
      <c r="C98" s="1983">
        <v>18.850000000000001</v>
      </c>
      <c r="D98" s="1984"/>
      <c r="E98" s="980"/>
      <c r="F98" s="981"/>
      <c r="G98" s="982"/>
      <c r="H98" s="983"/>
      <c r="I98" s="1983">
        <v>19.899999999999999</v>
      </c>
      <c r="J98" s="1984"/>
      <c r="K98" s="984"/>
      <c r="L98" s="985"/>
      <c r="M98" s="984"/>
      <c r="N98" s="991"/>
      <c r="O98" s="136"/>
      <c r="P98" s="1401">
        <v>24.1</v>
      </c>
      <c r="Q98" s="984"/>
      <c r="R98" s="991"/>
      <c r="S98" s="984"/>
      <c r="T98" s="991"/>
      <c r="U98" s="984"/>
      <c r="V98" s="977"/>
      <c r="W98" s="28"/>
      <c r="X98" s="28"/>
      <c r="Y98" s="1106"/>
      <c r="Z98" s="3"/>
      <c r="AA98" s="3"/>
    </row>
    <row r="99" spans="1:27" customFormat="1" x14ac:dyDescent="0.2">
      <c r="A99" s="930"/>
      <c r="B99" s="986" t="s">
        <v>193</v>
      </c>
      <c r="C99" s="1983"/>
      <c r="D99" s="1984"/>
      <c r="E99" s="980"/>
      <c r="F99" s="981"/>
      <c r="G99" s="982"/>
      <c r="H99" s="983"/>
      <c r="I99" s="1983"/>
      <c r="J99" s="1984"/>
      <c r="K99" s="984"/>
      <c r="L99" s="985"/>
      <c r="M99" s="984"/>
      <c r="N99" s="991"/>
      <c r="O99" s="136"/>
      <c r="P99" s="1401"/>
      <c r="Q99" s="984"/>
      <c r="R99" s="991"/>
      <c r="S99" s="984"/>
      <c r="T99" s="991"/>
      <c r="U99" s="984"/>
      <c r="V99" s="977"/>
      <c r="W99" s="28"/>
      <c r="X99" s="28"/>
      <c r="Y99" s="1106"/>
      <c r="Z99" s="3"/>
      <c r="AA99" s="3"/>
    </row>
    <row r="100" spans="1:27" customFormat="1" x14ac:dyDescent="0.2">
      <c r="A100" s="930"/>
      <c r="B100" s="986" t="s">
        <v>194</v>
      </c>
      <c r="C100" s="1983">
        <v>0</v>
      </c>
      <c r="D100" s="1984"/>
      <c r="E100" s="980"/>
      <c r="F100" s="981"/>
      <c r="G100" s="982"/>
      <c r="H100" s="983"/>
      <c r="I100" s="1983">
        <v>0</v>
      </c>
      <c r="J100" s="1984"/>
      <c r="K100" s="984"/>
      <c r="L100" s="985"/>
      <c r="M100" s="984"/>
      <c r="N100" s="991"/>
      <c r="O100" s="136"/>
      <c r="P100" s="1401">
        <v>5</v>
      </c>
      <c r="Q100" s="984"/>
      <c r="R100" s="991"/>
      <c r="S100" s="984"/>
      <c r="T100" s="991"/>
      <c r="U100" s="984"/>
      <c r="V100" s="977"/>
      <c r="W100" s="28"/>
      <c r="X100" s="28"/>
      <c r="Y100" s="1106"/>
      <c r="Z100" s="3"/>
      <c r="AA100" s="3"/>
    </row>
    <row r="101" spans="1:27" customFormat="1" x14ac:dyDescent="0.2">
      <c r="A101" s="930"/>
      <c r="B101" s="979" t="s">
        <v>195</v>
      </c>
      <c r="C101" s="1983">
        <v>7.4</v>
      </c>
      <c r="D101" s="1984"/>
      <c r="E101" s="980"/>
      <c r="F101" s="981"/>
      <c r="G101" s="982"/>
      <c r="H101" s="983"/>
      <c r="I101" s="1983">
        <v>6.5</v>
      </c>
      <c r="J101" s="1984"/>
      <c r="K101" s="984"/>
      <c r="L101" s="985"/>
      <c r="M101" s="984"/>
      <c r="N101" s="991"/>
      <c r="O101" s="136"/>
      <c r="P101" s="1401">
        <v>1</v>
      </c>
      <c r="Q101" s="984"/>
      <c r="R101" s="991"/>
      <c r="S101" s="984"/>
      <c r="T101" s="991"/>
      <c r="U101" s="984"/>
      <c r="V101" s="977"/>
      <c r="W101" s="28"/>
      <c r="X101" s="28"/>
      <c r="Y101" s="1106"/>
      <c r="Z101" s="3"/>
      <c r="AA101" s="3"/>
    </row>
    <row r="102" spans="1:27" customFormat="1" x14ac:dyDescent="0.2">
      <c r="A102" s="930"/>
      <c r="B102" s="987" t="s">
        <v>196</v>
      </c>
      <c r="C102" s="1983">
        <v>0.75</v>
      </c>
      <c r="D102" s="1984"/>
      <c r="E102" s="980"/>
      <c r="F102" s="981"/>
      <c r="G102" s="982"/>
      <c r="H102" s="983"/>
      <c r="I102" s="1983">
        <v>3.15</v>
      </c>
      <c r="J102" s="1984"/>
      <c r="K102" s="984"/>
      <c r="L102" s="985"/>
      <c r="M102" s="984"/>
      <c r="N102" s="991"/>
      <c r="O102" s="136"/>
      <c r="P102" s="1401">
        <v>4.7</v>
      </c>
      <c r="Q102" s="984"/>
      <c r="R102" s="991"/>
      <c r="S102" s="984"/>
      <c r="T102" s="991"/>
      <c r="U102" s="984"/>
      <c r="V102" s="977"/>
      <c r="W102" s="28"/>
      <c r="X102" s="28"/>
      <c r="Y102" s="1106"/>
      <c r="Z102" s="3"/>
      <c r="AA102" s="3"/>
    </row>
    <row r="103" spans="1:27" customFormat="1" x14ac:dyDescent="0.2">
      <c r="A103" s="930"/>
      <c r="B103" s="987" t="s">
        <v>197</v>
      </c>
      <c r="C103" s="1983">
        <f>SUM(C98:D102)</f>
        <v>27</v>
      </c>
      <c r="D103" s="1984"/>
      <c r="E103" s="980"/>
      <c r="F103" s="981"/>
      <c r="G103" s="982"/>
      <c r="H103" s="983"/>
      <c r="I103" s="1983">
        <f>SUM(I98:J102)</f>
        <v>29.549999999999997</v>
      </c>
      <c r="J103" s="1984"/>
      <c r="K103" s="984"/>
      <c r="L103" s="985"/>
      <c r="M103" s="984"/>
      <c r="N103" s="991"/>
      <c r="O103" s="136"/>
      <c r="P103" s="1401">
        <f>SUM(P98:P102)</f>
        <v>34.800000000000004</v>
      </c>
      <c r="Q103" s="984"/>
      <c r="R103" s="991"/>
      <c r="S103" s="984"/>
      <c r="T103" s="991"/>
      <c r="U103" s="984"/>
      <c r="V103" s="977"/>
      <c r="W103" s="28"/>
      <c r="X103" s="28"/>
      <c r="Y103" s="1106"/>
      <c r="Z103" s="3"/>
      <c r="AA103" s="3"/>
    </row>
    <row r="104" spans="1:27" customFormat="1" ht="13.5" thickBot="1" x14ac:dyDescent="0.25">
      <c r="A104" s="930"/>
      <c r="B104" s="988" t="s">
        <v>204</v>
      </c>
      <c r="C104" s="2056"/>
      <c r="D104" s="2055"/>
      <c r="E104" s="989"/>
      <c r="F104" s="990"/>
      <c r="G104" s="975"/>
      <c r="H104" s="991"/>
      <c r="I104" s="2056"/>
      <c r="J104" s="2055"/>
      <c r="K104" s="984"/>
      <c r="L104" s="985"/>
      <c r="M104" s="984"/>
      <c r="N104" s="991"/>
      <c r="O104" s="136"/>
      <c r="P104" s="1422"/>
      <c r="Q104" s="984"/>
      <c r="R104" s="991"/>
      <c r="S104" s="984"/>
      <c r="T104" s="991"/>
      <c r="U104" s="984"/>
      <c r="V104" s="977"/>
      <c r="W104" s="28"/>
      <c r="X104" s="28"/>
      <c r="Y104" s="1106"/>
      <c r="Z104" s="3"/>
      <c r="AA104" s="3"/>
    </row>
    <row r="105" spans="1:27" customFormat="1" x14ac:dyDescent="0.2">
      <c r="A105" s="930"/>
      <c r="B105" s="979" t="s">
        <v>198</v>
      </c>
      <c r="C105" s="2043">
        <v>3598</v>
      </c>
      <c r="D105" s="2044"/>
      <c r="E105" s="992"/>
      <c r="F105" s="993"/>
      <c r="G105" s="994"/>
      <c r="H105" s="995"/>
      <c r="I105" s="2043">
        <v>3117</v>
      </c>
      <c r="J105" s="2044"/>
      <c r="K105" s="984"/>
      <c r="L105" s="985"/>
      <c r="M105" s="984"/>
      <c r="N105" s="991"/>
      <c r="O105" s="136"/>
      <c r="P105" s="1462">
        <v>2938</v>
      </c>
      <c r="Q105" s="984"/>
      <c r="R105" s="991"/>
      <c r="S105" s="984"/>
      <c r="T105" s="991"/>
      <c r="U105" s="984"/>
      <c r="V105" s="977"/>
      <c r="W105" s="28"/>
      <c r="X105" s="28"/>
      <c r="Y105" s="1473"/>
      <c r="Z105" s="3"/>
      <c r="AA105" s="3"/>
    </row>
    <row r="106" spans="1:27" customFormat="1" x14ac:dyDescent="0.2">
      <c r="A106" s="930"/>
      <c r="B106" s="987" t="s">
        <v>199</v>
      </c>
      <c r="C106" s="2043">
        <v>0</v>
      </c>
      <c r="D106" s="2044"/>
      <c r="E106" s="992"/>
      <c r="F106" s="993"/>
      <c r="G106" s="994"/>
      <c r="H106" s="995"/>
      <c r="I106" s="2043">
        <v>0</v>
      </c>
      <c r="J106" s="2044"/>
      <c r="K106" s="984"/>
      <c r="L106" s="985"/>
      <c r="M106" s="984"/>
      <c r="N106" s="991"/>
      <c r="O106" s="136"/>
      <c r="P106" s="1462">
        <v>348</v>
      </c>
      <c r="Q106" s="984"/>
      <c r="R106" s="991"/>
      <c r="S106" s="984"/>
      <c r="T106" s="991"/>
      <c r="U106" s="984"/>
      <c r="V106" s="977"/>
      <c r="W106" s="28"/>
      <c r="X106" s="28"/>
      <c r="Y106" s="1473"/>
      <c r="Z106" s="3"/>
      <c r="AA106" s="3"/>
    </row>
    <row r="107" spans="1:27" customFormat="1" x14ac:dyDescent="0.2">
      <c r="A107" s="930"/>
      <c r="B107" s="987" t="s">
        <v>200</v>
      </c>
      <c r="C107" s="2043">
        <v>265</v>
      </c>
      <c r="D107" s="2044"/>
      <c r="E107" s="992"/>
      <c r="F107" s="993"/>
      <c r="G107" s="994"/>
      <c r="H107" s="995"/>
      <c r="I107" s="2043">
        <v>523</v>
      </c>
      <c r="J107" s="2044"/>
      <c r="K107" s="984"/>
      <c r="L107" s="985"/>
      <c r="M107" s="984"/>
      <c r="N107" s="991"/>
      <c r="O107" s="136"/>
      <c r="P107" s="1462">
        <v>569</v>
      </c>
      <c r="Q107" s="984"/>
      <c r="R107" s="991"/>
      <c r="S107" s="984"/>
      <c r="T107" s="991"/>
      <c r="U107" s="984"/>
      <c r="V107" s="977"/>
      <c r="W107" s="28"/>
      <c r="X107" s="28"/>
      <c r="Y107" s="1473"/>
      <c r="Z107" s="3"/>
      <c r="AA107" s="3"/>
    </row>
    <row r="108" spans="1:27" customFormat="1" x14ac:dyDescent="0.2">
      <c r="A108" s="930"/>
      <c r="B108" s="987" t="s">
        <v>209</v>
      </c>
      <c r="C108" s="2043">
        <f>SUM(C105:D107)</f>
        <v>3863</v>
      </c>
      <c r="D108" s="2044"/>
      <c r="E108" s="992"/>
      <c r="F108" s="993"/>
      <c r="G108" s="994"/>
      <c r="H108" s="995"/>
      <c r="I108" s="2043">
        <f>SUM(I105:J107)</f>
        <v>3640</v>
      </c>
      <c r="J108" s="2044"/>
      <c r="K108" s="984"/>
      <c r="L108" s="985"/>
      <c r="M108" s="984"/>
      <c r="N108" s="991"/>
      <c r="O108" s="136"/>
      <c r="P108" s="1462">
        <f>SUM(P105:P107)</f>
        <v>3855</v>
      </c>
      <c r="Q108" s="984"/>
      <c r="R108" s="991"/>
      <c r="S108" s="984"/>
      <c r="T108" s="991"/>
      <c r="U108" s="984"/>
      <c r="V108" s="977"/>
      <c r="W108" s="28"/>
      <c r="X108" s="28"/>
      <c r="Y108" s="1473"/>
      <c r="Z108" s="3"/>
      <c r="AA108" s="3"/>
    </row>
    <row r="109" spans="1:27" customFormat="1" ht="13.5" thickBot="1" x14ac:dyDescent="0.25">
      <c r="A109" s="930"/>
      <c r="B109" s="988" t="s">
        <v>205</v>
      </c>
      <c r="C109" s="2056"/>
      <c r="D109" s="2055"/>
      <c r="E109" s="989"/>
      <c r="F109" s="990"/>
      <c r="G109" s="975"/>
      <c r="H109" s="991"/>
      <c r="I109" s="2056"/>
      <c r="J109" s="2055"/>
      <c r="K109" s="984"/>
      <c r="L109" s="985"/>
      <c r="M109" s="984"/>
      <c r="N109" s="991"/>
      <c r="O109" s="136"/>
      <c r="P109" s="1422"/>
      <c r="Q109" s="984"/>
      <c r="R109" s="991"/>
      <c r="S109" s="984"/>
      <c r="T109" s="991"/>
      <c r="U109" s="984"/>
      <c r="V109" s="977"/>
      <c r="W109" s="28"/>
      <c r="X109" s="28"/>
      <c r="Y109" s="1106"/>
      <c r="Z109" s="28"/>
      <c r="AA109" s="28"/>
    </row>
    <row r="110" spans="1:27" customFormat="1" x14ac:dyDescent="0.2">
      <c r="A110" s="930"/>
      <c r="B110" s="979" t="s">
        <v>206</v>
      </c>
      <c r="C110" s="1985">
        <f>C105/C98</f>
        <v>190.87533156498671</v>
      </c>
      <c r="D110" s="1986"/>
      <c r="E110" s="996"/>
      <c r="F110" s="997"/>
      <c r="G110" s="998"/>
      <c r="H110" s="999"/>
      <c r="I110" s="1985">
        <f>I105/I98</f>
        <v>156.63316582914575</v>
      </c>
      <c r="J110" s="1986"/>
      <c r="K110" s="1000"/>
      <c r="L110" s="1001"/>
      <c r="M110" s="1000"/>
      <c r="N110" s="999"/>
      <c r="O110" s="494"/>
      <c r="P110" s="1402">
        <f>P105/P98</f>
        <v>121.90871369294605</v>
      </c>
      <c r="Q110" s="1000"/>
      <c r="R110" s="999"/>
      <c r="S110" s="1000"/>
      <c r="T110" s="999"/>
      <c r="U110" s="1000"/>
      <c r="V110" s="1460"/>
      <c r="W110" s="668"/>
      <c r="X110" s="668"/>
      <c r="Y110" s="1106"/>
      <c r="Z110" s="21"/>
      <c r="AA110" s="21"/>
    </row>
    <row r="111" spans="1:27" customFormat="1" x14ac:dyDescent="0.2">
      <c r="A111" s="930"/>
      <c r="B111" s="987" t="s">
        <v>207</v>
      </c>
      <c r="C111" s="1985">
        <v>0</v>
      </c>
      <c r="D111" s="1986"/>
      <c r="E111" s="996"/>
      <c r="F111" s="997"/>
      <c r="G111" s="998"/>
      <c r="H111" s="999"/>
      <c r="I111" s="1985">
        <v>0</v>
      </c>
      <c r="J111" s="1986"/>
      <c r="K111" s="1000"/>
      <c r="L111" s="1001"/>
      <c r="M111" s="1000"/>
      <c r="N111" s="999"/>
      <c r="O111" s="494"/>
      <c r="P111" s="1402">
        <f>P106/P100</f>
        <v>69.599999999999994</v>
      </c>
      <c r="Q111" s="1000"/>
      <c r="R111" s="999"/>
      <c r="S111" s="1000"/>
      <c r="T111" s="999"/>
      <c r="U111" s="1000"/>
      <c r="V111" s="1460"/>
      <c r="W111" s="668"/>
      <c r="X111" s="668"/>
      <c r="Y111" s="1106"/>
      <c r="Z111" s="21"/>
      <c r="AA111" s="21"/>
    </row>
    <row r="112" spans="1:27" customFormat="1" x14ac:dyDescent="0.2">
      <c r="A112" s="930"/>
      <c r="B112" s="987" t="s">
        <v>208</v>
      </c>
      <c r="C112" s="1985">
        <f>C107/C102</f>
        <v>353.33333333333331</v>
      </c>
      <c r="D112" s="1986"/>
      <c r="E112" s="996"/>
      <c r="F112" s="997"/>
      <c r="G112" s="998"/>
      <c r="H112" s="999"/>
      <c r="I112" s="1985">
        <f>I107/I102</f>
        <v>166.03174603174602</v>
      </c>
      <c r="J112" s="1986"/>
      <c r="K112" s="1000"/>
      <c r="L112" s="1001"/>
      <c r="M112" s="1000"/>
      <c r="N112" s="999"/>
      <c r="O112" s="494"/>
      <c r="P112" s="1402">
        <f>P107/P102</f>
        <v>121.06382978723404</v>
      </c>
      <c r="Q112" s="1000"/>
      <c r="R112" s="999"/>
      <c r="S112" s="1000"/>
      <c r="T112" s="999"/>
      <c r="U112" s="1000"/>
      <c r="V112" s="1460"/>
      <c r="W112" s="668"/>
      <c r="X112" s="668"/>
      <c r="Y112" s="1106"/>
      <c r="Z112" s="21"/>
      <c r="AA112" s="21"/>
    </row>
    <row r="113" spans="1:27" customFormat="1" ht="13.5" thickBot="1" x14ac:dyDescent="0.25">
      <c r="A113" s="930"/>
      <c r="B113" s="1002" t="s">
        <v>201</v>
      </c>
      <c r="C113" s="2045">
        <f>C108/C103</f>
        <v>143.07407407407408</v>
      </c>
      <c r="D113" s="2046"/>
      <c r="E113" s="1003"/>
      <c r="F113" s="1004"/>
      <c r="G113" s="1005"/>
      <c r="H113" s="1006"/>
      <c r="I113" s="2045">
        <f>I108/I103</f>
        <v>123.18104906937396</v>
      </c>
      <c r="J113" s="2046"/>
      <c r="K113" s="1005"/>
      <c r="L113" s="1006"/>
      <c r="M113" s="1005"/>
      <c r="N113" s="1006"/>
      <c r="O113" s="1233"/>
      <c r="P113" s="1423">
        <f>P108/P103</f>
        <v>110.77586206896551</v>
      </c>
      <c r="Q113" s="1005"/>
      <c r="R113" s="1006"/>
      <c r="S113" s="1005"/>
      <c r="T113" s="1006"/>
      <c r="U113" s="1005"/>
      <c r="V113" s="1461"/>
      <c r="W113" s="668"/>
      <c r="X113" s="668"/>
      <c r="Y113" s="1106"/>
      <c r="Z113" s="21"/>
      <c r="AA113" s="21"/>
    </row>
    <row r="114" spans="1:27" ht="13.5" thickTop="1" x14ac:dyDescent="0.2">
      <c r="B114" s="3" t="str">
        <f>Dean_AS!B169</f>
        <v>*Note: Beginning with the 2009 collection cycle, Instructional FTE was defined according to the national Delaware Study of Instructional Costs and Productivity</v>
      </c>
      <c r="Y114" s="28"/>
    </row>
    <row r="115" spans="1:27" x14ac:dyDescent="0.2">
      <c r="P115" s="3" t="s">
        <v>29</v>
      </c>
    </row>
  </sheetData>
  <mergeCells count="125">
    <mergeCell ref="C113:D113"/>
    <mergeCell ref="I113:J113"/>
    <mergeCell ref="X7:Y7"/>
    <mergeCell ref="X20:Y20"/>
    <mergeCell ref="X35:Y35"/>
    <mergeCell ref="X61:Y61"/>
    <mergeCell ref="X31:Y31"/>
    <mergeCell ref="X28:Y28"/>
    <mergeCell ref="C110:D110"/>
    <mergeCell ref="I110:J110"/>
    <mergeCell ref="Q91:R91"/>
    <mergeCell ref="Q96:R96"/>
    <mergeCell ref="Q7:R7"/>
    <mergeCell ref="Q20:R20"/>
    <mergeCell ref="Q28:R28"/>
    <mergeCell ref="Q31:R31"/>
    <mergeCell ref="Q35:R35"/>
    <mergeCell ref="Q61:R61"/>
    <mergeCell ref="C106:D106"/>
    <mergeCell ref="I106:J106"/>
    <mergeCell ref="C111:D111"/>
    <mergeCell ref="I111:J111"/>
    <mergeCell ref="C104:D104"/>
    <mergeCell ref="I104:J104"/>
    <mergeCell ref="C105:D105"/>
    <mergeCell ref="I105:J105"/>
    <mergeCell ref="C112:D112"/>
    <mergeCell ref="I112:J112"/>
    <mergeCell ref="C107:D107"/>
    <mergeCell ref="I107:J107"/>
    <mergeCell ref="C108:D108"/>
    <mergeCell ref="I108:J108"/>
    <mergeCell ref="C109:D109"/>
    <mergeCell ref="I109:J109"/>
    <mergeCell ref="C98:D98"/>
    <mergeCell ref="I98:J98"/>
    <mergeCell ref="C99:D99"/>
    <mergeCell ref="I99:J99"/>
    <mergeCell ref="C31:D31"/>
    <mergeCell ref="C102:D102"/>
    <mergeCell ref="I102:J102"/>
    <mergeCell ref="C103:D103"/>
    <mergeCell ref="I103:J103"/>
    <mergeCell ref="C100:D100"/>
    <mergeCell ref="I100:J100"/>
    <mergeCell ref="C101:D101"/>
    <mergeCell ref="I101:J101"/>
    <mergeCell ref="G91:H91"/>
    <mergeCell ref="I91:J91"/>
    <mergeCell ref="E31:F31"/>
    <mergeCell ref="G31:H31"/>
    <mergeCell ref="E91:F91"/>
    <mergeCell ref="X91:Y91"/>
    <mergeCell ref="C96:D96"/>
    <mergeCell ref="E96:F96"/>
    <mergeCell ref="G96:H96"/>
    <mergeCell ref="I96:J96"/>
    <mergeCell ref="K96:L96"/>
    <mergeCell ref="M96:N96"/>
    <mergeCell ref="X96:Y96"/>
    <mergeCell ref="C91:D91"/>
    <mergeCell ref="K91:L91"/>
    <mergeCell ref="M91:N91"/>
    <mergeCell ref="U96:V96"/>
    <mergeCell ref="O96:P96"/>
    <mergeCell ref="S91:T91"/>
    <mergeCell ref="S96:T96"/>
    <mergeCell ref="C20:D20"/>
    <mergeCell ref="E20:F20"/>
    <mergeCell ref="C28:D28"/>
    <mergeCell ref="E28:F28"/>
    <mergeCell ref="K7:L7"/>
    <mergeCell ref="K20:L20"/>
    <mergeCell ref="C29:D29"/>
    <mergeCell ref="E29:F29"/>
    <mergeCell ref="M61:N61"/>
    <mergeCell ref="M28:N28"/>
    <mergeCell ref="M31:N31"/>
    <mergeCell ref="C61:D61"/>
    <mergeCell ref="E61:F61"/>
    <mergeCell ref="E35:F35"/>
    <mergeCell ref="C35:D35"/>
    <mergeCell ref="G35:H35"/>
    <mergeCell ref="C30:D30"/>
    <mergeCell ref="E30:F30"/>
    <mergeCell ref="G30:H30"/>
    <mergeCell ref="K61:L61"/>
    <mergeCell ref="K28:L28"/>
    <mergeCell ref="K31:L31"/>
    <mergeCell ref="I61:J61"/>
    <mergeCell ref="G28:H28"/>
    <mergeCell ref="S28:T28"/>
    <mergeCell ref="S31:T31"/>
    <mergeCell ref="S35:T35"/>
    <mergeCell ref="S61:T61"/>
    <mergeCell ref="O7:P7"/>
    <mergeCell ref="O20:P20"/>
    <mergeCell ref="O28:P28"/>
    <mergeCell ref="O31:P31"/>
    <mergeCell ref="O35:P35"/>
    <mergeCell ref="O61:P61"/>
    <mergeCell ref="G20:H20"/>
    <mergeCell ref="G29:H29"/>
    <mergeCell ref="G61:H61"/>
    <mergeCell ref="I28:J28"/>
    <mergeCell ref="U91:V91"/>
    <mergeCell ref="M35:N35"/>
    <mergeCell ref="U7:V7"/>
    <mergeCell ref="U20:V20"/>
    <mergeCell ref="U28:V28"/>
    <mergeCell ref="U31:V31"/>
    <mergeCell ref="U35:V35"/>
    <mergeCell ref="U61:V61"/>
    <mergeCell ref="O91:P91"/>
    <mergeCell ref="I7:J7"/>
    <mergeCell ref="I20:J20"/>
    <mergeCell ref="I35:J35"/>
    <mergeCell ref="I29:J29"/>
    <mergeCell ref="I31:J31"/>
    <mergeCell ref="M7:N7"/>
    <mergeCell ref="M20:N20"/>
    <mergeCell ref="K35:L35"/>
    <mergeCell ref="I30:J30"/>
    <mergeCell ref="S7:T7"/>
    <mergeCell ref="S20:T20"/>
  </mergeCells>
  <phoneticPr fontId="3" type="noConversion"/>
  <printOptions horizontalCentered="1"/>
  <pageMargins left="0.5" right="0.5" top="0.5" bottom="0.5" header="0.5" footer="0.5"/>
  <pageSetup scale="66" orientation="landscape" r:id="rId1"/>
  <headerFooter alignWithMargins="0">
    <oddFooter>&amp;R&amp;P of &amp;N
&amp;D</oddFooter>
  </headerFooter>
  <rowBreaks count="1" manualBreakCount="1">
    <brk id="58" max="20" man="1"/>
  </rowBreaks>
  <ignoredErrors>
    <ignoredError sqref="M71:M89 S71:S90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B240"/>
  <sheetViews>
    <sheetView view="pageBreakPreview" zoomScaleNormal="100" workbookViewId="0">
      <pane xSplit="2" ySplit="1" topLeftCell="I2" activePane="bottomRight" state="frozen"/>
      <selection activeCell="V50" sqref="V50"/>
      <selection pane="topRight" activeCell="V50" sqref="V50"/>
      <selection pane="bottomLeft" activeCell="V50" sqref="V50"/>
      <selection pane="bottomRight" activeCell="V50" sqref="V50"/>
    </sheetView>
  </sheetViews>
  <sheetFormatPr defaultColWidth="10.28515625" defaultRowHeight="12.75" x14ac:dyDescent="0.2"/>
  <cols>
    <col min="1" max="1" width="3.7109375" customWidth="1"/>
    <col min="2" max="2" width="29.7109375" customWidth="1"/>
    <col min="3" max="3" width="7.7109375" customWidth="1"/>
    <col min="4" max="4" width="10.140625" customWidth="1"/>
    <col min="5" max="5" width="7.7109375" customWidth="1"/>
    <col min="6" max="6" width="10.28515625" customWidth="1"/>
    <col min="7" max="7" width="7.7109375" style="115" customWidth="1"/>
    <col min="8" max="8" width="10.28515625" style="115" customWidth="1"/>
    <col min="9" max="9" width="7.7109375" style="115" customWidth="1"/>
    <col min="10" max="10" width="10.28515625" style="115" customWidth="1"/>
    <col min="11" max="11" width="7.7109375" customWidth="1"/>
    <col min="12" max="12" width="10" customWidth="1"/>
    <col min="13" max="13" width="7.7109375" customWidth="1"/>
    <col min="14" max="14" width="10" customWidth="1"/>
    <col min="15" max="15" width="7.7109375" customWidth="1"/>
    <col min="16" max="16" width="10" customWidth="1"/>
    <col min="17" max="17" width="7.7109375" customWidth="1"/>
    <col min="18" max="18" width="10" customWidth="1"/>
    <col min="19" max="19" width="7.7109375" customWidth="1"/>
    <col min="20" max="20" width="10" customWidth="1"/>
    <col min="21" max="21" width="7.7109375" customWidth="1"/>
    <col min="22" max="22" width="10" customWidth="1"/>
    <col min="23" max="23" width="1.85546875" customWidth="1"/>
    <col min="24" max="24" width="7.7109375" customWidth="1"/>
    <col min="25" max="25" width="10.28515625" customWidth="1"/>
    <col min="26" max="26" width="1.42578125" customWidth="1"/>
  </cols>
  <sheetData>
    <row r="1" spans="1:25" ht="18" x14ac:dyDescent="0.25">
      <c r="A1" s="1183" t="str">
        <f>Dean_AS!A1</f>
        <v>Department Profile Report - FY 2015</v>
      </c>
      <c r="B1" s="1183"/>
      <c r="C1" s="1183"/>
      <c r="D1" s="1183"/>
      <c r="E1" s="1183"/>
      <c r="F1" s="1183"/>
      <c r="G1" s="1183"/>
      <c r="H1" s="1183"/>
      <c r="I1" s="1181"/>
      <c r="J1" s="1181"/>
      <c r="K1" s="1182"/>
      <c r="L1" s="1182"/>
      <c r="M1" s="1182"/>
      <c r="N1" s="1182"/>
      <c r="O1" s="1182"/>
      <c r="P1" s="1182"/>
      <c r="Q1" s="1182"/>
      <c r="R1" s="1182"/>
      <c r="S1" s="1182"/>
      <c r="T1" s="1182"/>
      <c r="U1" s="1182"/>
      <c r="V1" s="1182"/>
      <c r="W1" s="1182"/>
      <c r="X1" s="1182"/>
      <c r="Y1" s="1182"/>
    </row>
    <row r="2" spans="1:25" x14ac:dyDescent="0.2">
      <c r="A2" s="3"/>
      <c r="B2" s="3"/>
      <c r="C2" s="3"/>
      <c r="D2" s="3"/>
      <c r="E2" s="3"/>
      <c r="F2" s="3"/>
      <c r="G2" s="117"/>
      <c r="H2" s="117"/>
      <c r="I2" s="117"/>
      <c r="J2" s="117"/>
    </row>
    <row r="3" spans="1:25" x14ac:dyDescent="0.2">
      <c r="A3" s="2" t="s">
        <v>179</v>
      </c>
      <c r="B3" s="117"/>
      <c r="C3" s="3"/>
      <c r="D3" s="3"/>
      <c r="E3" s="3"/>
      <c r="F3" s="3"/>
      <c r="G3" s="117"/>
      <c r="H3" s="117"/>
      <c r="I3" s="117"/>
      <c r="J3" s="117"/>
    </row>
    <row r="4" spans="1:25" ht="6.75" customHeight="1" x14ac:dyDescent="0.2">
      <c r="A4" s="3"/>
      <c r="B4" s="3"/>
      <c r="C4" s="3"/>
      <c r="D4" s="3"/>
      <c r="E4" s="3"/>
      <c r="F4" s="3"/>
      <c r="G4" s="117"/>
      <c r="H4" s="117"/>
      <c r="I4" s="117"/>
      <c r="J4" s="117"/>
    </row>
    <row r="5" spans="1:25" x14ac:dyDescent="0.2">
      <c r="A5" s="2" t="s">
        <v>77</v>
      </c>
      <c r="B5" s="3"/>
      <c r="C5" s="3"/>
      <c r="D5" s="3"/>
      <c r="E5" s="3"/>
      <c r="F5" s="3"/>
      <c r="G5" s="117"/>
      <c r="H5" s="117"/>
      <c r="I5" s="117"/>
      <c r="J5" s="117"/>
      <c r="T5" s="617"/>
      <c r="V5" s="617"/>
    </row>
    <row r="6" spans="1:25" ht="13.5" thickBot="1" x14ac:dyDescent="0.25">
      <c r="A6" s="4"/>
      <c r="B6" s="3"/>
      <c r="C6" s="3"/>
      <c r="D6" s="3"/>
      <c r="E6" s="3"/>
      <c r="F6" s="3"/>
      <c r="G6" s="117"/>
      <c r="H6" s="117"/>
      <c r="I6" s="117"/>
      <c r="J6" s="117"/>
    </row>
    <row r="7" spans="1:25" ht="14.25" thickTop="1" thickBot="1" x14ac:dyDescent="0.25">
      <c r="A7" s="3"/>
      <c r="B7" s="1541"/>
      <c r="C7" s="29" t="s">
        <v>49</v>
      </c>
      <c r="D7" s="51"/>
      <c r="E7" s="29" t="s">
        <v>50</v>
      </c>
      <c r="F7" s="7"/>
      <c r="G7" s="302" t="s">
        <v>141</v>
      </c>
      <c r="H7" s="121"/>
      <c r="I7" s="1994" t="s">
        <v>152</v>
      </c>
      <c r="J7" s="1968"/>
      <c r="K7" s="1994" t="s">
        <v>154</v>
      </c>
      <c r="L7" s="1968"/>
      <c r="M7" s="1994" t="s">
        <v>171</v>
      </c>
      <c r="N7" s="1980"/>
      <c r="O7" s="1968" t="s">
        <v>227</v>
      </c>
      <c r="P7" s="1980"/>
      <c r="Q7" s="1968" t="s">
        <v>237</v>
      </c>
      <c r="R7" s="1980"/>
      <c r="S7" s="1968" t="s">
        <v>272</v>
      </c>
      <c r="T7" s="1980"/>
      <c r="U7" s="1968" t="s">
        <v>274</v>
      </c>
      <c r="V7" s="1969"/>
      <c r="X7" s="2003" t="s">
        <v>213</v>
      </c>
      <c r="Y7" s="2004"/>
    </row>
    <row r="8" spans="1:25" x14ac:dyDescent="0.2">
      <c r="A8" s="3"/>
      <c r="B8" s="831"/>
      <c r="C8" s="42" t="s">
        <v>1</v>
      </c>
      <c r="D8" s="47" t="s">
        <v>2</v>
      </c>
      <c r="E8" s="42" t="s">
        <v>1</v>
      </c>
      <c r="F8" s="8" t="s">
        <v>2</v>
      </c>
      <c r="G8" s="303" t="s">
        <v>1</v>
      </c>
      <c r="H8" s="125" t="s">
        <v>2</v>
      </c>
      <c r="I8" s="303" t="s">
        <v>1</v>
      </c>
      <c r="J8" s="300" t="s">
        <v>2</v>
      </c>
      <c r="K8" s="303" t="s">
        <v>1</v>
      </c>
      <c r="L8" s="300" t="s">
        <v>2</v>
      </c>
      <c r="M8" s="303" t="s">
        <v>1</v>
      </c>
      <c r="N8" s="125" t="s">
        <v>2</v>
      </c>
      <c r="O8" s="124" t="s">
        <v>1</v>
      </c>
      <c r="P8" s="125" t="s">
        <v>2</v>
      </c>
      <c r="Q8" s="124" t="s">
        <v>1</v>
      </c>
      <c r="R8" s="125" t="s">
        <v>2</v>
      </c>
      <c r="S8" s="124" t="s">
        <v>1</v>
      </c>
      <c r="T8" s="125" t="s">
        <v>2</v>
      </c>
      <c r="U8" s="124" t="s">
        <v>1</v>
      </c>
      <c r="V8" s="126" t="s">
        <v>2</v>
      </c>
      <c r="X8" s="921" t="s">
        <v>214</v>
      </c>
      <c r="Y8" s="922" t="s">
        <v>215</v>
      </c>
    </row>
    <row r="9" spans="1:25" ht="13.5" thickBot="1" x14ac:dyDescent="0.25">
      <c r="A9" s="3"/>
      <c r="B9" s="1542"/>
      <c r="C9" s="46" t="s">
        <v>3</v>
      </c>
      <c r="D9" s="48" t="s">
        <v>4</v>
      </c>
      <c r="E9" s="46" t="s">
        <v>3</v>
      </c>
      <c r="F9" s="26" t="s">
        <v>4</v>
      </c>
      <c r="G9" s="304" t="s">
        <v>3</v>
      </c>
      <c r="H9" s="123" t="s">
        <v>4</v>
      </c>
      <c r="I9" s="304" t="s">
        <v>3</v>
      </c>
      <c r="J9" s="301" t="s">
        <v>4</v>
      </c>
      <c r="K9" s="304" t="s">
        <v>3</v>
      </c>
      <c r="L9" s="301" t="s">
        <v>4</v>
      </c>
      <c r="M9" s="304" t="s">
        <v>3</v>
      </c>
      <c r="N9" s="123" t="s">
        <v>4</v>
      </c>
      <c r="O9" s="127" t="s">
        <v>3</v>
      </c>
      <c r="P9" s="123" t="s">
        <v>4</v>
      </c>
      <c r="Q9" s="127" t="s">
        <v>3</v>
      </c>
      <c r="R9" s="123" t="s">
        <v>4</v>
      </c>
      <c r="S9" s="127" t="s">
        <v>3</v>
      </c>
      <c r="T9" s="123" t="s">
        <v>4</v>
      </c>
      <c r="U9" s="127" t="s">
        <v>3</v>
      </c>
      <c r="V9" s="128" t="s">
        <v>4</v>
      </c>
      <c r="X9" s="923" t="s">
        <v>3</v>
      </c>
      <c r="Y9" s="924" t="s">
        <v>4</v>
      </c>
    </row>
    <row r="10" spans="1:25" x14ac:dyDescent="0.2">
      <c r="A10" s="3"/>
      <c r="B10" s="23" t="s">
        <v>5</v>
      </c>
      <c r="C10" s="15"/>
      <c r="D10" s="49"/>
      <c r="E10" s="15"/>
      <c r="F10" s="13"/>
      <c r="G10" s="305"/>
      <c r="H10" s="131"/>
      <c r="I10" s="305"/>
      <c r="J10" s="150"/>
      <c r="K10" s="305"/>
      <c r="L10" s="150"/>
      <c r="M10" s="305"/>
      <c r="N10" s="131"/>
      <c r="O10" s="130"/>
      <c r="P10" s="131"/>
      <c r="Q10" s="130"/>
      <c r="R10" s="131"/>
      <c r="S10" s="130"/>
      <c r="T10" s="131"/>
      <c r="U10" s="130"/>
      <c r="V10" s="296"/>
      <c r="X10" s="925"/>
      <c r="Y10" s="581"/>
    </row>
    <row r="11" spans="1:25" x14ac:dyDescent="0.2">
      <c r="A11" s="3"/>
      <c r="B11" s="1543" t="s">
        <v>158</v>
      </c>
      <c r="C11" s="349"/>
      <c r="D11" s="348"/>
      <c r="E11" s="349"/>
      <c r="F11" s="446"/>
      <c r="G11" s="447"/>
      <c r="H11" s="437"/>
      <c r="I11" s="447"/>
      <c r="J11" s="457"/>
      <c r="K11" s="447"/>
      <c r="L11" s="457"/>
      <c r="M11" s="447"/>
      <c r="N11" s="437"/>
      <c r="O11" s="448"/>
      <c r="P11" s="437"/>
      <c r="Q11" s="448"/>
      <c r="R11" s="437"/>
      <c r="S11" s="448"/>
      <c r="T11" s="437"/>
      <c r="U11" s="448"/>
      <c r="V11" s="445"/>
      <c r="X11" s="926"/>
      <c r="Y11" s="927"/>
    </row>
    <row r="12" spans="1:25" s="617" customFormat="1" x14ac:dyDescent="0.2">
      <c r="A12" s="618"/>
      <c r="B12" s="1544" t="s">
        <v>221</v>
      </c>
      <c r="C12" s="722">
        <v>24</v>
      </c>
      <c r="D12" s="723">
        <v>10</v>
      </c>
      <c r="E12" s="722">
        <f>34+5</f>
        <v>39</v>
      </c>
      <c r="F12" s="728">
        <f>3+2</f>
        <v>5</v>
      </c>
      <c r="G12" s="776">
        <v>40</v>
      </c>
      <c r="H12" s="659">
        <v>9</v>
      </c>
      <c r="I12" s="776">
        <f>45+4</f>
        <v>49</v>
      </c>
      <c r="J12" s="726">
        <v>12</v>
      </c>
      <c r="K12" s="776">
        <v>52</v>
      </c>
      <c r="L12" s="726">
        <f>15+1</f>
        <v>16</v>
      </c>
      <c r="M12" s="776">
        <f>53+7</f>
        <v>60</v>
      </c>
      <c r="N12" s="659">
        <v>11</v>
      </c>
      <c r="O12" s="777">
        <v>81</v>
      </c>
      <c r="P12" s="659">
        <f>16+1</f>
        <v>17</v>
      </c>
      <c r="Q12" s="777">
        <v>92</v>
      </c>
      <c r="R12" s="659">
        <v>25</v>
      </c>
      <c r="S12" s="777">
        <v>107</v>
      </c>
      <c r="T12" s="659">
        <v>24</v>
      </c>
      <c r="U12" s="1789"/>
      <c r="V12" s="1671"/>
      <c r="X12" s="926">
        <f>AVERAGE(M12,K12,S12,Q12,O12)</f>
        <v>78.400000000000006</v>
      </c>
      <c r="Y12" s="928">
        <f>AVERAGE(L12,T12,R12,P12,N12)</f>
        <v>18.600000000000001</v>
      </c>
    </row>
    <row r="13" spans="1:25" s="617" customFormat="1" x14ac:dyDescent="0.2">
      <c r="A13" s="618"/>
      <c r="B13" s="1545" t="s">
        <v>80</v>
      </c>
      <c r="C13" s="777">
        <v>3</v>
      </c>
      <c r="D13" s="723">
        <v>0</v>
      </c>
      <c r="E13" s="722">
        <v>3</v>
      </c>
      <c r="F13" s="728">
        <v>1</v>
      </c>
      <c r="G13" s="776">
        <v>1</v>
      </c>
      <c r="H13" s="659">
        <v>2</v>
      </c>
      <c r="I13" s="776">
        <v>0</v>
      </c>
      <c r="J13" s="726">
        <v>1</v>
      </c>
      <c r="K13" s="776">
        <v>0</v>
      </c>
      <c r="L13" s="726">
        <v>2</v>
      </c>
      <c r="M13" s="776">
        <v>4</v>
      </c>
      <c r="N13" s="659">
        <v>4</v>
      </c>
      <c r="O13" s="777">
        <v>7</v>
      </c>
      <c r="P13" s="659">
        <v>4</v>
      </c>
      <c r="Q13" s="777">
        <v>15</v>
      </c>
      <c r="R13" s="659">
        <v>6</v>
      </c>
      <c r="S13" s="777">
        <v>14</v>
      </c>
      <c r="T13" s="659">
        <v>3</v>
      </c>
      <c r="U13" s="1789"/>
      <c r="V13" s="1671"/>
      <c r="X13" s="926">
        <f t="shared" ref="X13:X19" si="0">AVERAGE(M13,K13,S13,Q13,O13)</f>
        <v>8</v>
      </c>
      <c r="Y13" s="928">
        <f t="shared" ref="Y13:Y19" si="1">AVERAGE(L13,T13,R13,P13,N13)</f>
        <v>3.8</v>
      </c>
    </row>
    <row r="14" spans="1:25" s="617" customFormat="1" x14ac:dyDescent="0.2">
      <c r="A14" s="618"/>
      <c r="B14" s="1545" t="s">
        <v>167</v>
      </c>
      <c r="C14" s="672">
        <v>35</v>
      </c>
      <c r="D14" s="700">
        <v>18</v>
      </c>
      <c r="E14" s="672">
        <v>27</v>
      </c>
      <c r="F14" s="701">
        <v>11</v>
      </c>
      <c r="G14" s="662">
        <v>34</v>
      </c>
      <c r="H14" s="663">
        <f>8+1</f>
        <v>9</v>
      </c>
      <c r="I14" s="662">
        <v>36</v>
      </c>
      <c r="J14" s="665">
        <v>17</v>
      </c>
      <c r="K14" s="662">
        <v>33</v>
      </c>
      <c r="L14" s="665">
        <v>12</v>
      </c>
      <c r="M14" s="662">
        <v>38</v>
      </c>
      <c r="N14" s="663">
        <v>8</v>
      </c>
      <c r="O14" s="664">
        <v>20</v>
      </c>
      <c r="P14" s="663">
        <v>14</v>
      </c>
      <c r="Q14" s="664">
        <v>17</v>
      </c>
      <c r="R14" s="663">
        <v>6</v>
      </c>
      <c r="S14" s="664">
        <v>17</v>
      </c>
      <c r="T14" s="663">
        <v>6</v>
      </c>
      <c r="U14" s="1790"/>
      <c r="V14" s="1646"/>
      <c r="X14" s="926">
        <f t="shared" si="0"/>
        <v>25</v>
      </c>
      <c r="Y14" s="928">
        <f t="shared" si="1"/>
        <v>9.1999999999999993</v>
      </c>
    </row>
    <row r="15" spans="1:25" s="617" customFormat="1" x14ac:dyDescent="0.2">
      <c r="A15" s="618"/>
      <c r="B15" s="1546" t="s">
        <v>159</v>
      </c>
      <c r="C15" s="672"/>
      <c r="D15" s="700"/>
      <c r="E15" s="672"/>
      <c r="F15" s="701"/>
      <c r="G15" s="662"/>
      <c r="H15" s="663"/>
      <c r="I15" s="662"/>
      <c r="J15" s="665"/>
      <c r="K15" s="662"/>
      <c r="L15" s="665"/>
      <c r="M15" s="662"/>
      <c r="N15" s="663"/>
      <c r="O15" s="664"/>
      <c r="P15" s="663"/>
      <c r="Q15" s="664"/>
      <c r="R15" s="663"/>
      <c r="S15" s="664"/>
      <c r="T15" s="663"/>
      <c r="U15" s="1790"/>
      <c r="V15" s="1646"/>
      <c r="W15" s="1020"/>
      <c r="X15" s="926"/>
      <c r="Y15" s="928"/>
    </row>
    <row r="16" spans="1:25" s="617" customFormat="1" x14ac:dyDescent="0.2">
      <c r="A16" s="618"/>
      <c r="B16" s="1547" t="s">
        <v>221</v>
      </c>
      <c r="C16" s="705">
        <v>93</v>
      </c>
      <c r="D16" s="703">
        <v>11</v>
      </c>
      <c r="E16" s="705">
        <f>84+15</f>
        <v>99</v>
      </c>
      <c r="F16" s="704">
        <v>18</v>
      </c>
      <c r="G16" s="710">
        <v>107</v>
      </c>
      <c r="H16" s="729">
        <f>16+1</f>
        <v>17</v>
      </c>
      <c r="I16" s="710">
        <v>111</v>
      </c>
      <c r="J16" s="730">
        <f>13+2</f>
        <v>15</v>
      </c>
      <c r="K16" s="710">
        <v>108</v>
      </c>
      <c r="L16" s="730">
        <f>14+1</f>
        <v>15</v>
      </c>
      <c r="M16" s="710">
        <f>88+9</f>
        <v>97</v>
      </c>
      <c r="N16" s="729">
        <v>17</v>
      </c>
      <c r="O16" s="734">
        <v>89</v>
      </c>
      <c r="P16" s="729">
        <v>14</v>
      </c>
      <c r="Q16" s="734">
        <v>106</v>
      </c>
      <c r="R16" s="663">
        <v>14</v>
      </c>
      <c r="S16" s="734">
        <v>104</v>
      </c>
      <c r="T16" s="729">
        <v>12</v>
      </c>
      <c r="U16" s="1791"/>
      <c r="V16" s="1647"/>
      <c r="W16" s="1020"/>
      <c r="X16" s="926">
        <f t="shared" si="0"/>
        <v>100.8</v>
      </c>
      <c r="Y16" s="928">
        <f t="shared" si="1"/>
        <v>14.4</v>
      </c>
    </row>
    <row r="17" spans="1:28" s="617" customFormat="1" x14ac:dyDescent="0.2">
      <c r="A17" s="618"/>
      <c r="B17" s="1545" t="s">
        <v>167</v>
      </c>
      <c r="C17" s="1172"/>
      <c r="D17" s="1173"/>
      <c r="E17" s="1172"/>
      <c r="F17" s="1174"/>
      <c r="G17" s="1175"/>
      <c r="H17" s="1173"/>
      <c r="I17" s="1175"/>
      <c r="J17" s="1174"/>
      <c r="K17" s="1175"/>
      <c r="L17" s="1174"/>
      <c r="M17" s="710">
        <v>0</v>
      </c>
      <c r="N17" s="729">
        <v>2</v>
      </c>
      <c r="O17" s="734">
        <v>18</v>
      </c>
      <c r="P17" s="729">
        <v>12</v>
      </c>
      <c r="Q17" s="734">
        <v>17</v>
      </c>
      <c r="R17" s="729">
        <v>7</v>
      </c>
      <c r="S17" s="734">
        <v>20</v>
      </c>
      <c r="T17" s="729">
        <v>11</v>
      </c>
      <c r="U17" s="1791"/>
      <c r="V17" s="1647"/>
      <c r="W17" s="1020"/>
      <c r="X17" s="926">
        <f t="shared" si="0"/>
        <v>13.75</v>
      </c>
      <c r="Y17" s="928">
        <f t="shared" si="1"/>
        <v>8</v>
      </c>
    </row>
    <row r="18" spans="1:28" s="617" customFormat="1" x14ac:dyDescent="0.2">
      <c r="A18" s="618"/>
      <c r="B18" s="1548" t="s">
        <v>122</v>
      </c>
      <c r="C18" s="734">
        <v>8</v>
      </c>
      <c r="D18" s="703">
        <v>2</v>
      </c>
      <c r="E18" s="705">
        <v>8</v>
      </c>
      <c r="F18" s="704">
        <v>0</v>
      </c>
      <c r="G18" s="710">
        <v>9</v>
      </c>
      <c r="H18" s="729">
        <v>3</v>
      </c>
      <c r="I18" s="710">
        <v>12</v>
      </c>
      <c r="J18" s="730">
        <v>3</v>
      </c>
      <c r="K18" s="710">
        <v>7</v>
      </c>
      <c r="L18" s="730">
        <v>1</v>
      </c>
      <c r="M18" s="710">
        <v>7</v>
      </c>
      <c r="N18" s="729">
        <v>1</v>
      </c>
      <c r="O18" s="734">
        <v>10</v>
      </c>
      <c r="P18" s="729">
        <v>1</v>
      </c>
      <c r="Q18" s="734">
        <v>14</v>
      </c>
      <c r="R18" s="729">
        <v>2</v>
      </c>
      <c r="S18" s="734">
        <v>19</v>
      </c>
      <c r="T18" s="729">
        <v>4</v>
      </c>
      <c r="U18" s="1791"/>
      <c r="V18" s="1647"/>
      <c r="W18" s="1020"/>
      <c r="X18" s="926">
        <f t="shared" si="0"/>
        <v>11.4</v>
      </c>
      <c r="Y18" s="928">
        <f t="shared" si="1"/>
        <v>1.8</v>
      </c>
    </row>
    <row r="19" spans="1:28" s="617" customFormat="1" ht="13.5" thickBot="1" x14ac:dyDescent="0.25">
      <c r="A19" s="618"/>
      <c r="B19" s="1549" t="s">
        <v>123</v>
      </c>
      <c r="C19" s="717">
        <v>11</v>
      </c>
      <c r="D19" s="712">
        <v>1</v>
      </c>
      <c r="E19" s="714">
        <v>18</v>
      </c>
      <c r="F19" s="713">
        <v>0</v>
      </c>
      <c r="G19" s="715">
        <v>19</v>
      </c>
      <c r="H19" s="716">
        <v>0</v>
      </c>
      <c r="I19" s="715">
        <v>15</v>
      </c>
      <c r="J19" s="718">
        <v>0</v>
      </c>
      <c r="K19" s="715">
        <v>17</v>
      </c>
      <c r="L19" s="718">
        <v>1</v>
      </c>
      <c r="M19" s="715">
        <v>18</v>
      </c>
      <c r="N19" s="716">
        <v>0</v>
      </c>
      <c r="O19" s="717">
        <v>15</v>
      </c>
      <c r="P19" s="716">
        <v>2</v>
      </c>
      <c r="Q19" s="717">
        <v>34</v>
      </c>
      <c r="R19" s="716">
        <v>3</v>
      </c>
      <c r="S19" s="717">
        <v>29</v>
      </c>
      <c r="T19" s="716">
        <v>1</v>
      </c>
      <c r="U19" s="1792"/>
      <c r="V19" s="1648"/>
      <c r="X19" s="929">
        <f t="shared" si="0"/>
        <v>22.6</v>
      </c>
      <c r="Y19" s="1021">
        <f t="shared" si="1"/>
        <v>1.4</v>
      </c>
    </row>
    <row r="20" spans="1:28" ht="13.5" thickTop="1" x14ac:dyDescent="0.2">
      <c r="A20" s="3"/>
      <c r="B20" s="70" t="s">
        <v>170</v>
      </c>
      <c r="C20" s="33"/>
      <c r="D20" s="34"/>
      <c r="E20" s="33"/>
      <c r="F20" s="34"/>
      <c r="G20" s="133"/>
      <c r="H20" s="135"/>
      <c r="I20" s="133"/>
      <c r="J20" s="135"/>
      <c r="K20" s="133"/>
      <c r="L20" s="135"/>
      <c r="M20" s="133"/>
      <c r="N20" s="135"/>
      <c r="O20" s="133"/>
      <c r="P20" s="135"/>
      <c r="Q20" s="133"/>
      <c r="R20" s="135"/>
      <c r="S20" s="133"/>
      <c r="T20" s="135"/>
      <c r="U20" s="133"/>
      <c r="V20" s="135"/>
    </row>
    <row r="21" spans="1:28" ht="13.5" thickBot="1" x14ac:dyDescent="0.25">
      <c r="A21" s="3"/>
      <c r="B21" s="3"/>
      <c r="C21" s="3"/>
      <c r="D21" s="3"/>
      <c r="E21" s="3"/>
      <c r="F21" s="3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</row>
    <row r="22" spans="1:28" ht="14.25" thickTop="1" thickBot="1" x14ac:dyDescent="0.25">
      <c r="A22" s="3"/>
      <c r="B22" s="19"/>
      <c r="C22" s="2013" t="s">
        <v>49</v>
      </c>
      <c r="D22" s="2014"/>
      <c r="E22" s="2015" t="s">
        <v>50</v>
      </c>
      <c r="F22" s="2015"/>
      <c r="G22" s="2002" t="s">
        <v>141</v>
      </c>
      <c r="H22" s="1982"/>
      <c r="I22" s="2002" t="s">
        <v>152</v>
      </c>
      <c r="J22" s="1974"/>
      <c r="K22" s="2002" t="s">
        <v>154</v>
      </c>
      <c r="L22" s="1974"/>
      <c r="M22" s="2002" t="s">
        <v>171</v>
      </c>
      <c r="N22" s="1982"/>
      <c r="O22" s="1974" t="s">
        <v>227</v>
      </c>
      <c r="P22" s="1982"/>
      <c r="Q22" s="1974" t="s">
        <v>237</v>
      </c>
      <c r="R22" s="1982"/>
      <c r="S22" s="1974" t="s">
        <v>272</v>
      </c>
      <c r="T22" s="1982"/>
      <c r="U22" s="1974" t="s">
        <v>274</v>
      </c>
      <c r="V22" s="1975"/>
      <c r="X22" s="2003" t="s">
        <v>213</v>
      </c>
      <c r="Y22" s="2004"/>
    </row>
    <row r="23" spans="1:28" x14ac:dyDescent="0.2">
      <c r="A23" s="3"/>
      <c r="B23" s="81" t="s">
        <v>7</v>
      </c>
      <c r="C23" s="54"/>
      <c r="D23" s="92"/>
      <c r="E23" s="30"/>
      <c r="F23" s="30"/>
      <c r="G23" s="243"/>
      <c r="H23" s="244"/>
      <c r="I23" s="138"/>
      <c r="J23" s="138"/>
      <c r="K23" s="243"/>
      <c r="L23" s="138"/>
      <c r="M23" s="243"/>
      <c r="N23" s="244"/>
      <c r="O23" s="138"/>
      <c r="P23" s="244"/>
      <c r="Q23" s="138"/>
      <c r="R23" s="244"/>
      <c r="S23" s="138"/>
      <c r="T23" s="244"/>
      <c r="U23" s="138"/>
      <c r="V23" s="140"/>
      <c r="X23" s="831"/>
      <c r="Y23" s="930"/>
    </row>
    <row r="24" spans="1:28" x14ac:dyDescent="0.2">
      <c r="A24" s="3"/>
      <c r="B24" s="78" t="s">
        <v>8</v>
      </c>
      <c r="C24" s="184"/>
      <c r="D24" s="93"/>
      <c r="E24" s="31"/>
      <c r="F24" s="31"/>
      <c r="G24" s="239"/>
      <c r="H24" s="245"/>
      <c r="I24" s="139"/>
      <c r="J24" s="139"/>
      <c r="K24" s="239"/>
      <c r="L24" s="139"/>
      <c r="M24" s="239"/>
      <c r="N24" s="245"/>
      <c r="O24" s="139"/>
      <c r="P24" s="245"/>
      <c r="Q24" s="139"/>
      <c r="R24" s="245"/>
      <c r="S24" s="139"/>
      <c r="T24" s="245"/>
      <c r="U24" s="139"/>
      <c r="V24" s="141"/>
      <c r="X24" s="831"/>
      <c r="Y24" s="930"/>
    </row>
    <row r="25" spans="1:28" x14ac:dyDescent="0.2">
      <c r="A25" s="3"/>
      <c r="B25" s="78" t="s">
        <v>9</v>
      </c>
      <c r="C25" s="184"/>
      <c r="D25" s="165">
        <f>6688+1131+755</f>
        <v>8574</v>
      </c>
      <c r="E25" s="31"/>
      <c r="F25" s="171">
        <f>1172+6754+674</f>
        <v>8600</v>
      </c>
      <c r="G25" s="239"/>
      <c r="H25" s="261">
        <f>416+6583+1030</f>
        <v>8029</v>
      </c>
      <c r="I25" s="139"/>
      <c r="J25" s="183">
        <v>8031</v>
      </c>
      <c r="K25" s="239"/>
      <c r="L25" s="183">
        <v>7843</v>
      </c>
      <c r="M25" s="239"/>
      <c r="N25" s="261">
        <f>603+3996+2379+829</f>
        <v>7807</v>
      </c>
      <c r="O25" s="139"/>
      <c r="P25" s="261">
        <v>7144</v>
      </c>
      <c r="Q25" s="139"/>
      <c r="R25" s="261">
        <v>7991</v>
      </c>
      <c r="S25" s="139"/>
      <c r="T25" s="261">
        <v>7881</v>
      </c>
      <c r="U25" s="1743"/>
      <c r="V25" s="1649"/>
      <c r="X25" s="24"/>
      <c r="Y25" s="947">
        <f>AVERAGE(L25,T25,R25,P25,N25)</f>
        <v>7733.2</v>
      </c>
      <c r="AA25" t="s">
        <v>29</v>
      </c>
    </row>
    <row r="26" spans="1:28" x14ac:dyDescent="0.2">
      <c r="A26" s="3"/>
      <c r="B26" s="78" t="s">
        <v>10</v>
      </c>
      <c r="C26" s="184"/>
      <c r="D26" s="165">
        <f>4241+1071+468</f>
        <v>5780</v>
      </c>
      <c r="E26" s="31"/>
      <c r="F26" s="171">
        <f>1116+4579+407</f>
        <v>6102</v>
      </c>
      <c r="G26" s="239"/>
      <c r="H26" s="261">
        <f>709+5050+1278</f>
        <v>7037</v>
      </c>
      <c r="I26" s="139"/>
      <c r="J26" s="183">
        <v>6930</v>
      </c>
      <c r="K26" s="239"/>
      <c r="L26" s="183">
        <v>6260</v>
      </c>
      <c r="M26" s="239"/>
      <c r="N26" s="261">
        <f>614+2611+2438+1075</f>
        <v>6738</v>
      </c>
      <c r="O26" s="139"/>
      <c r="P26" s="261">
        <v>6698</v>
      </c>
      <c r="Q26" s="139"/>
      <c r="R26" s="261">
        <v>6641</v>
      </c>
      <c r="S26" s="139"/>
      <c r="T26" s="261">
        <v>6115</v>
      </c>
      <c r="U26" s="1743"/>
      <c r="V26" s="1649"/>
      <c r="X26" s="12"/>
      <c r="Y26" s="947">
        <f>AVERAGE(L26,T26,R26,P26,N26)</f>
        <v>6490.4</v>
      </c>
    </row>
    <row r="27" spans="1:28" x14ac:dyDescent="0.2">
      <c r="A27" s="3"/>
      <c r="B27" s="78" t="s">
        <v>11</v>
      </c>
      <c r="C27" s="184"/>
      <c r="D27" s="165">
        <f>237+398</f>
        <v>635</v>
      </c>
      <c r="E27" s="31"/>
      <c r="F27" s="171">
        <f>333+188</f>
        <v>521</v>
      </c>
      <c r="G27" s="239"/>
      <c r="H27" s="261">
        <f>213+474</f>
        <v>687</v>
      </c>
      <c r="I27" s="139"/>
      <c r="J27" s="183">
        <v>757</v>
      </c>
      <c r="K27" s="239"/>
      <c r="L27" s="183">
        <v>752</v>
      </c>
      <c r="M27" s="239"/>
      <c r="N27" s="261">
        <f>174+141+356</f>
        <v>671</v>
      </c>
      <c r="O27" s="139"/>
      <c r="P27" s="261">
        <v>644</v>
      </c>
      <c r="Q27" s="139"/>
      <c r="R27" s="261">
        <v>701</v>
      </c>
      <c r="S27" s="139"/>
      <c r="T27" s="261">
        <v>612</v>
      </c>
      <c r="U27" s="1743"/>
      <c r="V27" s="1649"/>
      <c r="X27" s="12"/>
      <c r="Y27" s="947">
        <f>AVERAGE(L27,T27,R27,P27,N27)</f>
        <v>676</v>
      </c>
    </row>
    <row r="28" spans="1:28" x14ac:dyDescent="0.2">
      <c r="A28" s="3"/>
      <c r="B28" s="78" t="s">
        <v>12</v>
      </c>
      <c r="C28" s="184"/>
      <c r="D28" s="94">
        <v>0</v>
      </c>
      <c r="E28" s="31"/>
      <c r="F28" s="39">
        <v>0</v>
      </c>
      <c r="G28" s="239"/>
      <c r="H28" s="240">
        <v>0</v>
      </c>
      <c r="I28" s="139"/>
      <c r="J28" s="241">
        <v>0</v>
      </c>
      <c r="K28" s="239"/>
      <c r="L28" s="241">
        <v>0</v>
      </c>
      <c r="M28" s="239"/>
      <c r="N28" s="240">
        <v>0</v>
      </c>
      <c r="O28" s="139"/>
      <c r="P28" s="240">
        <v>0</v>
      </c>
      <c r="Q28" s="139"/>
      <c r="R28" s="240">
        <v>0</v>
      </c>
      <c r="S28" s="139"/>
      <c r="T28" s="240">
        <v>0</v>
      </c>
      <c r="U28" s="1743"/>
      <c r="V28" s="1650"/>
      <c r="X28" s="12"/>
      <c r="Y28" s="947">
        <f>AVERAGE(L28,T28,R28,P28,N28)</f>
        <v>0</v>
      </c>
    </row>
    <row r="29" spans="1:28" ht="13.5" thickBot="1" x14ac:dyDescent="0.25">
      <c r="A29" s="3"/>
      <c r="B29" s="79" t="s">
        <v>13</v>
      </c>
      <c r="C29" s="185"/>
      <c r="D29" s="186">
        <f>SUM(D25:D28)</f>
        <v>14989</v>
      </c>
      <c r="E29" s="90"/>
      <c r="F29" s="58">
        <f>SUM(F25:F28)</f>
        <v>15223</v>
      </c>
      <c r="G29" s="246"/>
      <c r="H29" s="247">
        <f>SUM(H25:H28)</f>
        <v>15753</v>
      </c>
      <c r="I29" s="164"/>
      <c r="J29" s="242">
        <f>SUM(J25:J28)</f>
        <v>15718</v>
      </c>
      <c r="K29" s="246"/>
      <c r="L29" s="242">
        <f>SUM(L25:L28)</f>
        <v>14855</v>
      </c>
      <c r="M29" s="246"/>
      <c r="N29" s="247">
        <f>SUM(N25:N28)</f>
        <v>15216</v>
      </c>
      <c r="O29" s="164"/>
      <c r="P29" s="247">
        <f>SUM(P25:P28)</f>
        <v>14486</v>
      </c>
      <c r="Q29" s="164"/>
      <c r="R29" s="247">
        <f>SUM(R25:R28)</f>
        <v>15333</v>
      </c>
      <c r="S29" s="164"/>
      <c r="T29" s="247">
        <f>SUM(T25:T28)</f>
        <v>14608</v>
      </c>
      <c r="U29" s="1788"/>
      <c r="V29" s="1651">
        <f>SUM(V25:V28)</f>
        <v>0</v>
      </c>
      <c r="W29" s="1031"/>
      <c r="X29" s="946"/>
      <c r="Y29" s="1008">
        <f>AVERAGE(L29,T29,R29,P29,N29)</f>
        <v>14899.6</v>
      </c>
      <c r="AB29" s="1634"/>
    </row>
    <row r="30" spans="1:28" ht="12" customHeight="1" thickTop="1" thickBot="1" x14ac:dyDescent="0.25">
      <c r="A30" s="930"/>
      <c r="B30" s="931" t="s">
        <v>212</v>
      </c>
      <c r="C30" s="1992" t="s">
        <v>51</v>
      </c>
      <c r="D30" s="1997"/>
      <c r="E30" s="1992" t="s">
        <v>52</v>
      </c>
      <c r="F30" s="1997"/>
      <c r="G30" s="1989" t="s">
        <v>184</v>
      </c>
      <c r="H30" s="1981"/>
      <c r="I30" s="1989" t="s">
        <v>185</v>
      </c>
      <c r="J30" s="2005"/>
      <c r="K30" s="1989" t="s">
        <v>202</v>
      </c>
      <c r="L30" s="2005"/>
      <c r="M30" s="1991" t="s">
        <v>203</v>
      </c>
      <c r="N30" s="1981"/>
      <c r="O30" s="1970" t="s">
        <v>228</v>
      </c>
      <c r="P30" s="1981"/>
      <c r="Q30" s="1970" t="s">
        <v>238</v>
      </c>
      <c r="R30" s="1981"/>
      <c r="S30" s="1970" t="s">
        <v>273</v>
      </c>
      <c r="T30" s="1981"/>
      <c r="U30" s="2069" t="s">
        <v>275</v>
      </c>
      <c r="V30" s="2130"/>
      <c r="W30" s="932"/>
      <c r="X30" s="2009"/>
      <c r="Y30" s="2010"/>
      <c r="Z30" s="293"/>
      <c r="AA30" s="293"/>
      <c r="AB30" s="21"/>
    </row>
    <row r="31" spans="1:28" ht="12" customHeight="1" x14ac:dyDescent="0.2">
      <c r="A31" s="930"/>
      <c r="B31" s="933" t="s">
        <v>189</v>
      </c>
      <c r="C31" s="2016">
        <v>9.4E-2</v>
      </c>
      <c r="D31" s="2017"/>
      <c r="E31" s="1995">
        <v>9.9000000000000005E-2</v>
      </c>
      <c r="F31" s="1996"/>
      <c r="G31" s="1995">
        <v>0.12</v>
      </c>
      <c r="H31" s="1996"/>
      <c r="I31" s="1995">
        <v>0.112</v>
      </c>
      <c r="J31" s="2006"/>
      <c r="K31" s="934"/>
      <c r="L31" s="935">
        <v>0.11799999999999999</v>
      </c>
      <c r="M31" s="936"/>
      <c r="N31" s="1178">
        <v>0.11700000000000001</v>
      </c>
      <c r="O31" s="1176"/>
      <c r="P31" s="1178">
        <v>9.8000000000000004E-2</v>
      </c>
      <c r="Q31" s="1271"/>
      <c r="R31" s="1178">
        <v>0.13600000000000001</v>
      </c>
      <c r="S31" s="1271"/>
      <c r="T31" s="1178">
        <v>0.16</v>
      </c>
      <c r="U31" s="1639"/>
      <c r="V31" s="1775"/>
      <c r="W31" s="937"/>
      <c r="X31" s="938"/>
      <c r="Y31" s="1048">
        <f>AVERAGE(L31,T31,R31,P31,N31)</f>
        <v>0.1258</v>
      </c>
      <c r="Z31" s="293"/>
      <c r="AA31" s="293"/>
      <c r="AB31" s="21"/>
    </row>
    <row r="32" spans="1:28" ht="12" customHeight="1" x14ac:dyDescent="0.2">
      <c r="A32" s="930"/>
      <c r="B32" s="940" t="s">
        <v>190</v>
      </c>
      <c r="C32" s="2018">
        <v>3.1E-2</v>
      </c>
      <c r="D32" s="2019"/>
      <c r="E32" s="2000">
        <v>1.9E-2</v>
      </c>
      <c r="F32" s="2001"/>
      <c r="G32" s="2000">
        <v>3.1E-2</v>
      </c>
      <c r="H32" s="2001"/>
      <c r="I32" s="2000">
        <v>2.9000000000000001E-2</v>
      </c>
      <c r="J32" s="2011"/>
      <c r="K32" s="941"/>
      <c r="L32" s="942">
        <v>3.2000000000000001E-2</v>
      </c>
      <c r="M32" s="941"/>
      <c r="N32" s="1179">
        <v>3.1E-2</v>
      </c>
      <c r="O32" s="1177"/>
      <c r="P32" s="1179">
        <v>3.1E-2</v>
      </c>
      <c r="Q32" s="1272"/>
      <c r="R32" s="1179">
        <v>2.9000000000000001E-2</v>
      </c>
      <c r="S32" s="1272"/>
      <c r="T32" s="1179">
        <v>2.7E-2</v>
      </c>
      <c r="U32" s="1642"/>
      <c r="V32" s="1776"/>
      <c r="W32" s="937"/>
      <c r="X32" s="938"/>
      <c r="Y32" s="1048">
        <f>AVERAGE(L32,T32,R32,P32,N32)</f>
        <v>0.03</v>
      </c>
      <c r="Z32" s="293"/>
      <c r="AA32" s="293"/>
      <c r="AB32" s="21"/>
    </row>
    <row r="33" spans="1:28" ht="12" customHeight="1" thickBot="1" x14ac:dyDescent="0.25">
      <c r="A33" s="3"/>
      <c r="B33" s="943" t="s">
        <v>191</v>
      </c>
      <c r="C33" s="1998">
        <f>1-C31-C32</f>
        <v>0.875</v>
      </c>
      <c r="D33" s="1999"/>
      <c r="E33" s="1998">
        <f>1-E31-E32</f>
        <v>0.88200000000000001</v>
      </c>
      <c r="F33" s="1999"/>
      <c r="G33" s="1998">
        <f>1-G31-G32</f>
        <v>0.84899999999999998</v>
      </c>
      <c r="H33" s="1999"/>
      <c r="I33" s="1998">
        <f>1-I31-I32</f>
        <v>0.85899999999999999</v>
      </c>
      <c r="J33" s="1999"/>
      <c r="K33" s="1998">
        <f>1-L31-L32</f>
        <v>0.85</v>
      </c>
      <c r="L33" s="1999"/>
      <c r="M33" s="1998">
        <f>1-N31-N32</f>
        <v>0.85199999999999998</v>
      </c>
      <c r="N33" s="1999"/>
      <c r="O33" s="1998">
        <f>1-P31-P32</f>
        <v>0.871</v>
      </c>
      <c r="P33" s="1999"/>
      <c r="Q33" s="2060">
        <f>1-R31-R32</f>
        <v>0.83499999999999996</v>
      </c>
      <c r="R33" s="1973"/>
      <c r="S33" s="1972">
        <f>1-T31-T32</f>
        <v>0.81299999999999994</v>
      </c>
      <c r="T33" s="1973"/>
      <c r="U33" s="2066">
        <f>1-V31-V32</f>
        <v>1</v>
      </c>
      <c r="V33" s="2131"/>
      <c r="W33" s="937"/>
      <c r="X33" s="2007">
        <f>AVERAGE(K33,S33,Q33,O33,M33)</f>
        <v>0.84420000000000006</v>
      </c>
      <c r="Y33" s="2012" t="e">
        <f>AVERAGE(L33,T33,R33,P33,N33)</f>
        <v>#DIV/0!</v>
      </c>
      <c r="Z33" s="1050"/>
      <c r="AA33" s="293"/>
      <c r="AB33" s="21"/>
    </row>
    <row r="34" spans="1:28" s="3" customFormat="1" thickTop="1" x14ac:dyDescent="0.2">
      <c r="B34" s="109"/>
      <c r="C34" s="110"/>
      <c r="D34" s="111"/>
      <c r="E34" s="110"/>
      <c r="F34" s="111"/>
      <c r="G34" s="146"/>
      <c r="H34" s="147"/>
      <c r="I34" s="146"/>
      <c r="J34" s="147"/>
      <c r="K34" s="146"/>
      <c r="L34" s="147"/>
      <c r="M34" s="146"/>
      <c r="N34" s="147"/>
      <c r="O34" s="146"/>
      <c r="P34" s="147"/>
      <c r="Q34" s="146"/>
      <c r="R34" s="147"/>
      <c r="S34" s="146"/>
      <c r="T34" s="147"/>
      <c r="U34" s="146"/>
      <c r="V34" s="147"/>
      <c r="Y34" s="578"/>
    </row>
    <row r="35" spans="1:28" s="3" customFormat="1" x14ac:dyDescent="0.2">
      <c r="A35" s="112" t="s">
        <v>68</v>
      </c>
      <c r="B35" s="96"/>
      <c r="C35" s="28"/>
      <c r="D35" s="28"/>
      <c r="E35" s="28"/>
      <c r="F35" s="28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</row>
    <row r="36" spans="1:28" s="3" customFormat="1" ht="13.5" thickBot="1" x14ac:dyDescent="0.25">
      <c r="A36" s="112"/>
      <c r="B36" s="96"/>
      <c r="C36" s="28"/>
      <c r="D36" s="28"/>
      <c r="E36" s="28"/>
      <c r="F36" s="28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</row>
    <row r="37" spans="1:28" s="3" customFormat="1" ht="14.25" thickTop="1" thickBot="1" x14ac:dyDescent="0.25">
      <c r="A37" s="2"/>
      <c r="B37" s="357" t="s">
        <v>69</v>
      </c>
      <c r="C37" s="2013" t="s">
        <v>49</v>
      </c>
      <c r="D37" s="2014"/>
      <c r="E37" s="2015" t="s">
        <v>50</v>
      </c>
      <c r="F37" s="2015"/>
      <c r="G37" s="2002" t="s">
        <v>141</v>
      </c>
      <c r="H37" s="1982"/>
      <c r="I37" s="2002" t="s">
        <v>152</v>
      </c>
      <c r="J37" s="1974"/>
      <c r="K37" s="2002" t="s">
        <v>154</v>
      </c>
      <c r="L37" s="1974"/>
      <c r="M37" s="2002" t="s">
        <v>171</v>
      </c>
      <c r="N37" s="1982"/>
      <c r="O37" s="1974" t="s">
        <v>227</v>
      </c>
      <c r="P37" s="1982"/>
      <c r="Q37" s="1974" t="s">
        <v>237</v>
      </c>
      <c r="R37" s="1982"/>
      <c r="S37" s="1974" t="s">
        <v>272</v>
      </c>
      <c r="T37" s="1982"/>
      <c r="U37" s="1974" t="s">
        <v>274</v>
      </c>
      <c r="V37" s="1975"/>
      <c r="X37" s="2003" t="s">
        <v>213</v>
      </c>
      <c r="Y37" s="2004"/>
    </row>
    <row r="38" spans="1:28" s="3" customFormat="1" x14ac:dyDescent="0.2">
      <c r="A38" s="2"/>
      <c r="B38" s="330" t="s">
        <v>70</v>
      </c>
      <c r="C38" s="184"/>
      <c r="D38" s="93"/>
      <c r="E38" s="31"/>
      <c r="F38" s="31"/>
      <c r="G38" s="239"/>
      <c r="H38" s="245"/>
      <c r="I38" s="138"/>
      <c r="J38" s="138"/>
      <c r="K38" s="243"/>
      <c r="L38" s="138"/>
      <c r="M38" s="243"/>
      <c r="N38" s="244"/>
      <c r="O38" s="138"/>
      <c r="P38" s="244"/>
      <c r="Q38" s="138"/>
      <c r="R38" s="244"/>
      <c r="S38" s="138"/>
      <c r="T38" s="244"/>
      <c r="U38" s="138"/>
      <c r="V38" s="140"/>
      <c r="X38" s="831"/>
      <c r="Y38" s="930"/>
    </row>
    <row r="39" spans="1:28" s="3" customFormat="1" x14ac:dyDescent="0.2">
      <c r="A39" s="2"/>
      <c r="B39" s="331" t="s">
        <v>71</v>
      </c>
      <c r="C39" s="54"/>
      <c r="D39" s="188">
        <v>1450687</v>
      </c>
      <c r="E39" s="30"/>
      <c r="F39" s="205">
        <v>1483942</v>
      </c>
      <c r="G39" s="243"/>
      <c r="H39" s="369">
        <v>1625015</v>
      </c>
      <c r="I39" s="138"/>
      <c r="J39" s="451">
        <v>1692028</v>
      </c>
      <c r="K39" s="243"/>
      <c r="L39" s="451">
        <v>1829402</v>
      </c>
      <c r="M39" s="243"/>
      <c r="N39" s="416">
        <v>2043375</v>
      </c>
      <c r="O39" s="138"/>
      <c r="P39" s="416">
        <v>2008525</v>
      </c>
      <c r="Q39" s="138"/>
      <c r="R39" s="416">
        <v>2060562</v>
      </c>
      <c r="S39" s="138"/>
      <c r="T39" s="416">
        <v>2071784</v>
      </c>
      <c r="U39" s="1741"/>
      <c r="V39" s="1793"/>
      <c r="X39" s="24"/>
      <c r="Y39" s="947">
        <f>AVERAGE(L39,T39,R39,P39,N39)</f>
        <v>2002729.6</v>
      </c>
    </row>
    <row r="40" spans="1:28" s="3" customFormat="1" x14ac:dyDescent="0.2">
      <c r="A40" s="2"/>
      <c r="B40" s="331" t="s">
        <v>247</v>
      </c>
      <c r="C40" s="54"/>
      <c r="D40" s="188"/>
      <c r="E40" s="30"/>
      <c r="F40" s="205"/>
      <c r="G40" s="243"/>
      <c r="H40" s="1440"/>
      <c r="I40" s="138"/>
      <c r="J40" s="451">
        <v>1200</v>
      </c>
      <c r="K40" s="243"/>
      <c r="L40" s="451">
        <v>1200</v>
      </c>
      <c r="M40" s="243"/>
      <c r="N40" s="416">
        <v>1200</v>
      </c>
      <c r="O40" s="138"/>
      <c r="P40" s="416">
        <v>1200</v>
      </c>
      <c r="Q40" s="138"/>
      <c r="R40" s="416">
        <v>1200</v>
      </c>
      <c r="S40" s="138"/>
      <c r="T40" s="416">
        <v>1200</v>
      </c>
      <c r="U40" s="1741"/>
      <c r="V40" s="1793"/>
      <c r="X40" s="24"/>
      <c r="Y40" s="947">
        <f t="shared" ref="Y40:Y48" si="2">AVERAGE(L40,T40,R40,P40,N40)</f>
        <v>1200</v>
      </c>
    </row>
    <row r="41" spans="1:28" s="3" customFormat="1" ht="36" x14ac:dyDescent="0.2">
      <c r="A41" s="2"/>
      <c r="B41" s="332" t="s">
        <v>250</v>
      </c>
      <c r="C41" s="184"/>
      <c r="D41" s="189">
        <v>83317</v>
      </c>
      <c r="E41" s="31"/>
      <c r="F41" s="206">
        <v>83347</v>
      </c>
      <c r="G41" s="239"/>
      <c r="H41" s="369">
        <v>117982</v>
      </c>
      <c r="I41" s="139"/>
      <c r="J41" s="347">
        <v>152966</v>
      </c>
      <c r="K41" s="239"/>
      <c r="L41" s="347">
        <v>99263</v>
      </c>
      <c r="M41" s="239"/>
      <c r="N41" s="369">
        <v>66098</v>
      </c>
      <c r="O41" s="139"/>
      <c r="P41" s="369">
        <v>121333</v>
      </c>
      <c r="Q41" s="139"/>
      <c r="R41" s="369">
        <v>89920</v>
      </c>
      <c r="S41" s="139"/>
      <c r="T41" s="369">
        <v>168625</v>
      </c>
      <c r="U41" s="1743"/>
      <c r="V41" s="1794"/>
      <c r="X41" s="12"/>
      <c r="Y41" s="947">
        <f t="shared" si="2"/>
        <v>109047.8</v>
      </c>
    </row>
    <row r="42" spans="1:28" s="3" customFormat="1" x14ac:dyDescent="0.2">
      <c r="A42" s="2"/>
      <c r="B42" s="333" t="s">
        <v>72</v>
      </c>
      <c r="C42" s="187"/>
      <c r="D42" s="190">
        <f>SUM(D39:D41)</f>
        <v>1534004</v>
      </c>
      <c r="E42" s="90"/>
      <c r="F42" s="207">
        <f>SUM(F39:F41)</f>
        <v>1567289</v>
      </c>
      <c r="G42" s="262"/>
      <c r="H42" s="263">
        <f>SUM(H39:H41)</f>
        <v>1742997</v>
      </c>
      <c r="I42" s="250"/>
      <c r="J42" s="249">
        <f>SUM(J39:J41)</f>
        <v>1846194</v>
      </c>
      <c r="K42" s="262"/>
      <c r="L42" s="249">
        <f>SUM(L39:L41)</f>
        <v>1929865</v>
      </c>
      <c r="M42" s="262"/>
      <c r="N42" s="263">
        <f>SUM(N39:N41)</f>
        <v>2110673</v>
      </c>
      <c r="O42" s="250"/>
      <c r="P42" s="263">
        <f>SUM(P39:P41)</f>
        <v>2131058</v>
      </c>
      <c r="Q42" s="250"/>
      <c r="R42" s="263">
        <f>SUM(R39:R41)</f>
        <v>2151682</v>
      </c>
      <c r="S42" s="250"/>
      <c r="T42" s="263">
        <f>SUM(T39:T41)</f>
        <v>2241609</v>
      </c>
      <c r="U42" s="1795"/>
      <c r="V42" s="1796">
        <f>SUM(V39:V41)</f>
        <v>0</v>
      </c>
      <c r="X42" s="12"/>
      <c r="Y42" s="1008">
        <f t="shared" si="2"/>
        <v>2112977.4</v>
      </c>
    </row>
    <row r="43" spans="1:28" s="3" customFormat="1" x14ac:dyDescent="0.2">
      <c r="A43" s="2"/>
      <c r="B43" s="330" t="s">
        <v>73</v>
      </c>
      <c r="C43" s="184"/>
      <c r="D43" s="189"/>
      <c r="E43" s="31"/>
      <c r="F43" s="206"/>
      <c r="G43" s="239"/>
      <c r="H43" s="369"/>
      <c r="I43" s="139"/>
      <c r="J43" s="347"/>
      <c r="K43" s="239"/>
      <c r="L43" s="347"/>
      <c r="M43" s="239"/>
      <c r="N43" s="369"/>
      <c r="O43" s="139"/>
      <c r="P43" s="369"/>
      <c r="Q43" s="139"/>
      <c r="R43" s="369"/>
      <c r="S43" s="139"/>
      <c r="T43" s="369"/>
      <c r="U43" s="1743"/>
      <c r="V43" s="1794"/>
      <c r="X43" s="12"/>
      <c r="Y43" s="947"/>
    </row>
    <row r="44" spans="1:28" s="3" customFormat="1" x14ac:dyDescent="0.2">
      <c r="A44" s="2"/>
      <c r="B44" s="331" t="s">
        <v>71</v>
      </c>
      <c r="C44" s="184"/>
      <c r="D44" s="189"/>
      <c r="E44" s="31"/>
      <c r="F44" s="206"/>
      <c r="G44" s="239"/>
      <c r="H44" s="369"/>
      <c r="I44" s="139"/>
      <c r="J44" s="347"/>
      <c r="K44" s="239"/>
      <c r="L44" s="347"/>
      <c r="M44" s="239"/>
      <c r="N44" s="369"/>
      <c r="O44" s="139"/>
      <c r="P44" s="369"/>
      <c r="Q44" s="139"/>
      <c r="R44" s="369"/>
      <c r="S44" s="139"/>
      <c r="T44" s="369"/>
      <c r="U44" s="1743"/>
      <c r="V44" s="1794"/>
      <c r="X44" s="12"/>
      <c r="Y44" s="947"/>
    </row>
    <row r="45" spans="1:28" s="3" customFormat="1" x14ac:dyDescent="0.2">
      <c r="A45" s="2"/>
      <c r="B45" s="331" t="s">
        <v>247</v>
      </c>
      <c r="C45" s="184"/>
      <c r="D45" s="189"/>
      <c r="E45" s="31"/>
      <c r="F45" s="206"/>
      <c r="G45" s="239"/>
      <c r="H45" s="369"/>
      <c r="I45" s="139"/>
      <c r="J45" s="347"/>
      <c r="K45" s="239"/>
      <c r="L45" s="347"/>
      <c r="M45" s="239"/>
      <c r="N45" s="369"/>
      <c r="O45" s="139"/>
      <c r="P45" s="369"/>
      <c r="Q45" s="139"/>
      <c r="R45" s="369"/>
      <c r="S45" s="139"/>
      <c r="T45" s="369"/>
      <c r="U45" s="1743"/>
      <c r="V45" s="1794"/>
      <c r="X45" s="12"/>
      <c r="Y45" s="947"/>
    </row>
    <row r="46" spans="1:28" s="3" customFormat="1" ht="36" x14ac:dyDescent="0.2">
      <c r="A46" s="2"/>
      <c r="B46" s="332" t="s">
        <v>250</v>
      </c>
      <c r="C46" s="184"/>
      <c r="D46" s="189"/>
      <c r="E46" s="31"/>
      <c r="F46" s="206"/>
      <c r="G46" s="239"/>
      <c r="H46" s="369"/>
      <c r="I46" s="139"/>
      <c r="J46" s="347"/>
      <c r="K46" s="239"/>
      <c r="L46" s="347"/>
      <c r="M46" s="239"/>
      <c r="N46" s="369"/>
      <c r="O46" s="139"/>
      <c r="P46" s="369"/>
      <c r="Q46" s="139"/>
      <c r="R46" s="369"/>
      <c r="S46" s="139"/>
      <c r="T46" s="369"/>
      <c r="U46" s="1743"/>
      <c r="V46" s="1794"/>
      <c r="X46" s="12"/>
      <c r="Y46" s="947"/>
    </row>
    <row r="47" spans="1:28" s="3" customFormat="1" x14ac:dyDescent="0.2">
      <c r="A47" s="2"/>
      <c r="B47" s="333" t="s">
        <v>74</v>
      </c>
      <c r="C47" s="187"/>
      <c r="D47" s="190">
        <f>SUM(D44:D46)</f>
        <v>0</v>
      </c>
      <c r="E47" s="90"/>
      <c r="F47" s="207">
        <f>SUM(F44:F46)</f>
        <v>0</v>
      </c>
      <c r="G47" s="262"/>
      <c r="H47" s="263">
        <f>SUM(H44:H46)</f>
        <v>0</v>
      </c>
      <c r="I47" s="250"/>
      <c r="J47" s="249">
        <f>SUM(J44:J46)</f>
        <v>0</v>
      </c>
      <c r="K47" s="262"/>
      <c r="L47" s="249">
        <f>SUM(L44:L46)</f>
        <v>0</v>
      </c>
      <c r="M47" s="262"/>
      <c r="N47" s="263">
        <f>SUM(N44:N46)</f>
        <v>0</v>
      </c>
      <c r="O47" s="250"/>
      <c r="P47" s="263">
        <f>SUM(P44:P46)</f>
        <v>0</v>
      </c>
      <c r="Q47" s="250"/>
      <c r="R47" s="263">
        <f>SUM(R44:R46)</f>
        <v>0</v>
      </c>
      <c r="S47" s="250"/>
      <c r="T47" s="263">
        <f>SUM(T44:T46)</f>
        <v>0</v>
      </c>
      <c r="U47" s="1795"/>
      <c r="V47" s="1796">
        <f>SUM(V44:V46)</f>
        <v>0</v>
      </c>
      <c r="X47" s="12"/>
      <c r="Y47" s="947">
        <f t="shared" si="2"/>
        <v>0</v>
      </c>
    </row>
    <row r="48" spans="1:28" s="3" customFormat="1" ht="13.5" thickBot="1" x14ac:dyDescent="0.25">
      <c r="A48" s="2"/>
      <c r="B48" s="1493" t="s">
        <v>75</v>
      </c>
      <c r="C48" s="184"/>
      <c r="D48" s="190">
        <f>SUM(D42,D47)</f>
        <v>1534004</v>
      </c>
      <c r="E48" s="31"/>
      <c r="F48" s="207">
        <f>SUM(F42,F47)</f>
        <v>1567289</v>
      </c>
      <c r="G48" s="239"/>
      <c r="H48" s="263">
        <f>SUM(H42,H47)</f>
        <v>1742997</v>
      </c>
      <c r="I48" s="139"/>
      <c r="J48" s="249">
        <f>SUM(J42,J47)</f>
        <v>1846194</v>
      </c>
      <c r="K48" s="239"/>
      <c r="L48" s="249">
        <f>SUM(L42,L47)</f>
        <v>1929865</v>
      </c>
      <c r="M48" s="239"/>
      <c r="N48" s="263">
        <f>SUM(N42,N47)</f>
        <v>2110673</v>
      </c>
      <c r="O48" s="139"/>
      <c r="P48" s="263">
        <f>SUM(P42,P47)</f>
        <v>2131058</v>
      </c>
      <c r="Q48" s="139"/>
      <c r="R48" s="263">
        <f>SUM(R42,R47)</f>
        <v>2151682</v>
      </c>
      <c r="S48" s="139"/>
      <c r="T48" s="263">
        <f>SUM(T42,T47)</f>
        <v>2241609</v>
      </c>
      <c r="U48" s="1743"/>
      <c r="V48" s="1796">
        <f>SUM(V42,V47)</f>
        <v>0</v>
      </c>
      <c r="X48" s="948"/>
      <c r="Y48" s="947">
        <f t="shared" si="2"/>
        <v>2112977.4</v>
      </c>
    </row>
    <row r="49" spans="1:25" s="3" customFormat="1" ht="12" x14ac:dyDescent="0.2">
      <c r="B49" s="81" t="s">
        <v>259</v>
      </c>
      <c r="C49" s="265"/>
      <c r="D49" s="248"/>
      <c r="E49" s="36"/>
      <c r="F49" s="36"/>
      <c r="G49" s="265"/>
      <c r="H49" s="248"/>
      <c r="I49" s="151"/>
      <c r="J49" s="151"/>
      <c r="K49" s="265"/>
      <c r="L49" s="151"/>
      <c r="M49" s="265"/>
      <c r="N49" s="248"/>
      <c r="O49" s="151"/>
      <c r="P49" s="248"/>
      <c r="Q49" s="151"/>
      <c r="R49" s="248"/>
      <c r="S49" s="151"/>
      <c r="T49" s="248"/>
      <c r="U49" s="1797"/>
      <c r="V49" s="1798"/>
      <c r="X49" s="831"/>
      <c r="Y49" s="978"/>
    </row>
    <row r="50" spans="1:25" x14ac:dyDescent="0.2">
      <c r="A50" s="3"/>
      <c r="B50" s="78" t="s">
        <v>14</v>
      </c>
      <c r="C50" s="266"/>
      <c r="D50" s="460">
        <f>598898+1374772</f>
        <v>1973670</v>
      </c>
      <c r="E50" s="38"/>
      <c r="F50" s="376">
        <f>2006093+10140</f>
        <v>2016233</v>
      </c>
      <c r="G50" s="266"/>
      <c r="H50" s="434">
        <v>2146201.56</v>
      </c>
      <c r="I50" s="153"/>
      <c r="J50" s="376">
        <v>2227717.87</v>
      </c>
      <c r="K50" s="266"/>
      <c r="L50" s="826">
        <f>94078+2339616+6409</f>
        <v>2440103</v>
      </c>
      <c r="M50" s="266"/>
      <c r="N50" s="1140">
        <v>2590582</v>
      </c>
      <c r="O50" s="153"/>
      <c r="P50" s="1140">
        <v>2421617</v>
      </c>
      <c r="Q50" s="525"/>
      <c r="R50" s="1140">
        <v>2401821</v>
      </c>
      <c r="S50" s="525"/>
      <c r="T50" s="1572"/>
      <c r="U50" s="1799"/>
      <c r="V50" s="1800"/>
      <c r="X50" s="24"/>
      <c r="Y50" s="949">
        <f>AVERAGE(L50,J50,R50,N50,P50)</f>
        <v>2416368.1740000001</v>
      </c>
    </row>
    <row r="51" spans="1:25" ht="13.5" thickBot="1" x14ac:dyDescent="0.25">
      <c r="A51" s="3"/>
      <c r="B51" s="336" t="s">
        <v>15</v>
      </c>
      <c r="C51" s="268"/>
      <c r="D51" s="467">
        <f>431</f>
        <v>431</v>
      </c>
      <c r="E51" s="40"/>
      <c r="F51" s="378">
        <v>2469</v>
      </c>
      <c r="G51" s="268"/>
      <c r="H51" s="517">
        <v>109119</v>
      </c>
      <c r="I51" s="237"/>
      <c r="J51" s="516">
        <v>28285</v>
      </c>
      <c r="K51" s="268"/>
      <c r="L51" s="827">
        <v>0</v>
      </c>
      <c r="M51" s="596"/>
      <c r="N51" s="509">
        <f>105</f>
        <v>105</v>
      </c>
      <c r="O51" s="237"/>
      <c r="P51" s="509">
        <v>917</v>
      </c>
      <c r="Q51" s="1481"/>
      <c r="R51" s="1152">
        <v>5216.74</v>
      </c>
      <c r="S51" s="1481"/>
      <c r="T51" s="1573"/>
      <c r="U51" s="1801"/>
      <c r="V51" s="1774"/>
      <c r="X51" s="63"/>
      <c r="Y51" s="949">
        <f>AVERAGE(L51,J51,R51,N51,P51)</f>
        <v>6904.7479999999996</v>
      </c>
    </row>
    <row r="52" spans="1:25" x14ac:dyDescent="0.2">
      <c r="A52" s="3"/>
      <c r="B52" s="77"/>
      <c r="C52" s="193" t="s">
        <v>133</v>
      </c>
      <c r="D52" s="194" t="s">
        <v>139</v>
      </c>
      <c r="E52" s="166" t="s">
        <v>133</v>
      </c>
      <c r="F52" s="84" t="s">
        <v>139</v>
      </c>
      <c r="G52" s="308" t="s">
        <v>133</v>
      </c>
      <c r="H52" s="417" t="s">
        <v>139</v>
      </c>
      <c r="I52" s="414" t="s">
        <v>133</v>
      </c>
      <c r="J52" s="352" t="s">
        <v>139</v>
      </c>
      <c r="K52" s="308" t="s">
        <v>133</v>
      </c>
      <c r="L52" s="352" t="s">
        <v>139</v>
      </c>
      <c r="M52" s="308" t="s">
        <v>133</v>
      </c>
      <c r="N52" s="417" t="s">
        <v>139</v>
      </c>
      <c r="O52" s="414" t="s">
        <v>133</v>
      </c>
      <c r="P52" s="417" t="s">
        <v>139</v>
      </c>
      <c r="Q52" s="414" t="s">
        <v>133</v>
      </c>
      <c r="R52" s="417" t="s">
        <v>139</v>
      </c>
      <c r="S52" s="414" t="s">
        <v>133</v>
      </c>
      <c r="T52" s="417" t="s">
        <v>139</v>
      </c>
      <c r="U52" s="1802" t="s">
        <v>133</v>
      </c>
      <c r="V52" s="1803" t="s">
        <v>139</v>
      </c>
      <c r="X52" s="950" t="s">
        <v>133</v>
      </c>
      <c r="Y52" s="295" t="s">
        <v>139</v>
      </c>
    </row>
    <row r="53" spans="1:25" s="3" customFormat="1" ht="11.45" customHeight="1" x14ac:dyDescent="0.2">
      <c r="B53" s="80" t="s">
        <v>67</v>
      </c>
      <c r="C53" s="475">
        <v>0</v>
      </c>
      <c r="D53" s="1135"/>
      <c r="E53" s="108">
        <v>6</v>
      </c>
      <c r="F53" s="1139">
        <v>995860</v>
      </c>
      <c r="G53" s="476">
        <v>4</v>
      </c>
      <c r="H53" s="1140">
        <v>350069</v>
      </c>
      <c r="I53" s="477">
        <v>2</v>
      </c>
      <c r="J53" s="1123">
        <v>26260</v>
      </c>
      <c r="K53" s="476">
        <v>2</v>
      </c>
      <c r="L53" s="1123">
        <v>93566</v>
      </c>
      <c r="M53" s="532">
        <v>0</v>
      </c>
      <c r="N53" s="1140">
        <v>0</v>
      </c>
      <c r="O53" s="532">
        <v>1</v>
      </c>
      <c r="P53" s="510">
        <v>123979</v>
      </c>
      <c r="Q53" s="532">
        <v>0</v>
      </c>
      <c r="R53" s="510">
        <v>0</v>
      </c>
      <c r="S53" s="532">
        <v>1</v>
      </c>
      <c r="T53" s="510">
        <v>118678</v>
      </c>
      <c r="U53" s="1769"/>
      <c r="V53" s="1770"/>
      <c r="W53" s="1124"/>
      <c r="X53" s="108">
        <f>AVERAGE(S53,Q53,O53,M53,K53)</f>
        <v>0.8</v>
      </c>
      <c r="Y53" s="949">
        <f>AVERAGE(T53,R53,P53,N53,L53)</f>
        <v>67244.600000000006</v>
      </c>
    </row>
    <row r="54" spans="1:25" s="3" customFormat="1" ht="11.45" customHeight="1" x14ac:dyDescent="0.2">
      <c r="B54" s="80"/>
      <c r="C54" s="916"/>
      <c r="D54" s="1136"/>
      <c r="E54" s="838"/>
      <c r="F54" s="1126"/>
      <c r="G54" s="551"/>
      <c r="H54" s="1127"/>
      <c r="I54" s="255"/>
      <c r="J54" s="1128"/>
      <c r="K54" s="551"/>
      <c r="L54" s="1128"/>
      <c r="M54" s="530"/>
      <c r="N54" s="545"/>
      <c r="O54" s="530"/>
      <c r="P54" s="545"/>
      <c r="Q54" s="530"/>
      <c r="R54" s="545"/>
      <c r="S54" s="530"/>
      <c r="T54" s="545"/>
      <c r="U54" s="1771"/>
      <c r="V54" s="1772"/>
      <c r="W54" s="1124"/>
      <c r="X54" s="1013"/>
      <c r="Y54" s="949"/>
    </row>
    <row r="55" spans="1:25" s="3" customFormat="1" thickBot="1" x14ac:dyDescent="0.25">
      <c r="B55" s="167" t="s">
        <v>16</v>
      </c>
      <c r="C55" s="913">
        <v>0</v>
      </c>
      <c r="D55" s="1137"/>
      <c r="E55" s="839">
        <v>1</v>
      </c>
      <c r="F55" s="322">
        <v>450000</v>
      </c>
      <c r="G55" s="552">
        <v>1</v>
      </c>
      <c r="H55" s="442">
        <v>5000</v>
      </c>
      <c r="I55" s="550">
        <v>0</v>
      </c>
      <c r="J55" s="456">
        <v>0</v>
      </c>
      <c r="K55" s="552">
        <v>0</v>
      </c>
      <c r="L55" s="456">
        <v>0</v>
      </c>
      <c r="M55" s="552">
        <v>2</v>
      </c>
      <c r="N55" s="509">
        <v>10962</v>
      </c>
      <c r="O55" s="552">
        <v>2</v>
      </c>
      <c r="P55" s="509">
        <v>59374</v>
      </c>
      <c r="Q55" s="552">
        <v>0</v>
      </c>
      <c r="R55" s="509">
        <v>0</v>
      </c>
      <c r="S55" s="552">
        <v>0</v>
      </c>
      <c r="T55" s="509">
        <v>0</v>
      </c>
      <c r="U55" s="1773"/>
      <c r="V55" s="1781"/>
      <c r="W55" s="1124"/>
      <c r="X55" s="839">
        <f>AVERAGE(S55,Q55,O55,M55,K55)</f>
        <v>0.8</v>
      </c>
      <c r="Y55" s="949">
        <f>AVERAGE(T55,R55,P55,N55,L55)</f>
        <v>14067.2</v>
      </c>
    </row>
    <row r="56" spans="1:25" s="3" customFormat="1" thickTop="1" x14ac:dyDescent="0.2">
      <c r="B56" s="81" t="s">
        <v>84</v>
      </c>
      <c r="C56" s="199"/>
      <c r="D56" s="209"/>
      <c r="E56" s="45"/>
      <c r="F56" s="323"/>
      <c r="G56" s="269"/>
      <c r="H56" s="419"/>
      <c r="I56" s="156"/>
      <c r="J56" s="307"/>
      <c r="K56" s="269"/>
      <c r="L56" s="307"/>
      <c r="M56" s="269"/>
      <c r="N56" s="419"/>
      <c r="O56" s="156"/>
      <c r="P56" s="419"/>
      <c r="Q56" s="156"/>
      <c r="R56" s="419"/>
      <c r="S56" s="156"/>
      <c r="T56" s="419"/>
      <c r="U56" s="1804"/>
      <c r="V56" s="1805"/>
      <c r="W56" s="955"/>
      <c r="X56" s="109"/>
      <c r="Y56" s="1030"/>
    </row>
    <row r="57" spans="1:25" s="3" customFormat="1" ht="12" x14ac:dyDescent="0.2">
      <c r="B57" s="337" t="s">
        <v>35</v>
      </c>
      <c r="C57" s="201"/>
      <c r="D57" s="210"/>
      <c r="E57" s="97"/>
      <c r="F57" s="34"/>
      <c r="G57" s="271"/>
      <c r="H57" s="420"/>
      <c r="I57" s="157"/>
      <c r="J57" s="135"/>
      <c r="K57" s="271"/>
      <c r="L57" s="135"/>
      <c r="M57" s="271"/>
      <c r="N57" s="420"/>
      <c r="O57" s="157"/>
      <c r="P57" s="420"/>
      <c r="Q57" s="157"/>
      <c r="R57" s="420"/>
      <c r="S57" s="157"/>
      <c r="T57" s="420"/>
      <c r="U57" s="1806"/>
      <c r="V57" s="1807"/>
      <c r="W57" s="955"/>
      <c r="X57" s="720"/>
      <c r="Y57" s="1011"/>
    </row>
    <row r="58" spans="1:25" s="3" customFormat="1" ht="12" x14ac:dyDescent="0.2">
      <c r="B58" s="338" t="s">
        <v>85</v>
      </c>
      <c r="C58" s="202"/>
      <c r="D58" s="232">
        <v>25775.69</v>
      </c>
      <c r="E58" s="35"/>
      <c r="F58" s="345">
        <v>20640.189999999999</v>
      </c>
      <c r="G58" s="272"/>
      <c r="H58" s="534">
        <v>24318.76</v>
      </c>
      <c r="I58" s="254"/>
      <c r="J58" s="542">
        <v>25975.69</v>
      </c>
      <c r="K58" s="559"/>
      <c r="L58" s="555">
        <v>27582.92</v>
      </c>
      <c r="M58" s="559"/>
      <c r="N58" s="546">
        <v>28198</v>
      </c>
      <c r="O58" s="553"/>
      <c r="P58" s="546">
        <v>45767</v>
      </c>
      <c r="Q58" s="553"/>
      <c r="R58" s="546">
        <v>27736</v>
      </c>
      <c r="S58" s="553"/>
      <c r="T58" s="1574"/>
      <c r="U58" s="1808"/>
      <c r="V58" s="1809"/>
      <c r="W58" s="955"/>
      <c r="X58" s="1013"/>
      <c r="Y58" s="949">
        <f>AVERAGE(L58,J58,R58,P58,N58)</f>
        <v>31051.921999999999</v>
      </c>
    </row>
    <row r="59" spans="1:25" s="3" customFormat="1" thickBot="1" x14ac:dyDescent="0.25">
      <c r="B59" s="339" t="s">
        <v>86</v>
      </c>
      <c r="C59" s="204"/>
      <c r="D59" s="211">
        <v>0</v>
      </c>
      <c r="E59" s="37"/>
      <c r="F59" s="324">
        <v>0</v>
      </c>
      <c r="G59" s="274"/>
      <c r="H59" s="485">
        <v>0</v>
      </c>
      <c r="I59" s="260"/>
      <c r="J59" s="455">
        <v>0</v>
      </c>
      <c r="K59" s="274"/>
      <c r="L59" s="455">
        <v>0</v>
      </c>
      <c r="M59" s="274"/>
      <c r="N59" s="485">
        <v>0</v>
      </c>
      <c r="O59" s="260"/>
      <c r="P59" s="485">
        <v>0</v>
      </c>
      <c r="Q59" s="260"/>
      <c r="R59" s="485">
        <v>0</v>
      </c>
      <c r="S59" s="260"/>
      <c r="T59" s="1575"/>
      <c r="U59" s="1810"/>
      <c r="V59" s="1811"/>
      <c r="X59" s="1015"/>
      <c r="Y59" s="1024">
        <f>AVERAGE(L59,J59,H59,P59,N59)</f>
        <v>0</v>
      </c>
    </row>
    <row r="60" spans="1:25" s="3" customFormat="1" thickTop="1" x14ac:dyDescent="0.2">
      <c r="B60" s="364"/>
      <c r="C60" s="97"/>
      <c r="D60" s="98"/>
      <c r="E60" s="97"/>
      <c r="F60" s="365"/>
      <c r="G60" s="157"/>
      <c r="H60" s="366"/>
      <c r="I60" s="157"/>
      <c r="J60" s="366"/>
      <c r="K60" s="157"/>
      <c r="L60" s="366"/>
      <c r="M60" s="157"/>
      <c r="N60" s="366"/>
      <c r="O60" s="157"/>
      <c r="P60" s="366"/>
      <c r="Q60" s="157"/>
      <c r="R60" s="366"/>
      <c r="S60" s="157"/>
      <c r="T60" s="366"/>
      <c r="U60" s="157"/>
      <c r="V60" s="366"/>
    </row>
    <row r="61" spans="1:25" x14ac:dyDescent="0.2">
      <c r="A61" s="3"/>
      <c r="B61" s="96"/>
      <c r="C61" s="97"/>
      <c r="D61" s="98"/>
      <c r="E61" s="97"/>
      <c r="F61" s="34"/>
      <c r="G61" s="157"/>
      <c r="H61" s="135"/>
      <c r="I61" s="157"/>
      <c r="J61" s="135"/>
      <c r="K61" s="157"/>
      <c r="L61" s="135"/>
      <c r="M61" s="157"/>
      <c r="N61" s="135"/>
      <c r="O61" s="157"/>
      <c r="P61" s="135"/>
      <c r="Q61" s="157"/>
      <c r="R61" s="135"/>
      <c r="S61" s="157"/>
      <c r="T61" s="135"/>
      <c r="U61" s="157"/>
      <c r="V61" s="135"/>
    </row>
    <row r="62" spans="1:25" x14ac:dyDescent="0.2">
      <c r="A62" s="2" t="s">
        <v>76</v>
      </c>
      <c r="B62" s="96"/>
      <c r="C62" s="97"/>
      <c r="D62" s="98"/>
      <c r="E62" s="97"/>
      <c r="F62" s="34"/>
      <c r="G62" s="157"/>
      <c r="H62" s="135"/>
      <c r="I62" s="157"/>
      <c r="J62" s="135"/>
      <c r="K62" s="157"/>
      <c r="L62" s="135"/>
      <c r="M62" s="157"/>
      <c r="N62" s="135"/>
      <c r="O62" s="157"/>
      <c r="P62" s="135"/>
      <c r="Q62" s="157"/>
      <c r="R62" s="135"/>
      <c r="S62" s="157"/>
      <c r="T62" s="135"/>
      <c r="U62" s="157"/>
      <c r="V62" s="135"/>
    </row>
    <row r="63" spans="1:25" ht="13.5" thickBot="1" x14ac:dyDescent="0.25">
      <c r="A63" s="3"/>
      <c r="B63" s="96"/>
      <c r="C63" s="97"/>
      <c r="D63" s="98"/>
      <c r="E63" s="97"/>
      <c r="F63" s="34"/>
      <c r="G63" s="157"/>
      <c r="H63" s="135"/>
      <c r="I63" s="157"/>
      <c r="J63" s="135"/>
      <c r="K63" s="157"/>
      <c r="L63" s="135"/>
      <c r="M63" s="157"/>
      <c r="N63" s="135"/>
      <c r="O63" s="157"/>
      <c r="P63" s="135"/>
      <c r="Q63" s="157"/>
      <c r="R63" s="135"/>
      <c r="S63" s="157"/>
      <c r="T63" s="135"/>
      <c r="U63" s="157"/>
      <c r="V63" s="135"/>
    </row>
    <row r="64" spans="1:25" s="3" customFormat="1" ht="14.25" customHeight="1" thickTop="1" thickBot="1" x14ac:dyDescent="0.25">
      <c r="B64" s="340"/>
      <c r="C64" s="2013" t="s">
        <v>49</v>
      </c>
      <c r="D64" s="2014"/>
      <c r="E64" s="2015" t="s">
        <v>50</v>
      </c>
      <c r="F64" s="2015"/>
      <c r="G64" s="2002" t="s">
        <v>141</v>
      </c>
      <c r="H64" s="1982"/>
      <c r="I64" s="2002" t="s">
        <v>152</v>
      </c>
      <c r="J64" s="1974"/>
      <c r="K64" s="2002" t="s">
        <v>154</v>
      </c>
      <c r="L64" s="1974"/>
      <c r="M64" s="2002" t="s">
        <v>171</v>
      </c>
      <c r="N64" s="1982"/>
      <c r="O64" s="1974" t="s">
        <v>227</v>
      </c>
      <c r="P64" s="1982"/>
      <c r="Q64" s="1974" t="s">
        <v>237</v>
      </c>
      <c r="R64" s="1982"/>
      <c r="S64" s="1974" t="s">
        <v>272</v>
      </c>
      <c r="T64" s="1982"/>
      <c r="U64" s="1974" t="s">
        <v>274</v>
      </c>
      <c r="V64" s="1975"/>
      <c r="X64" s="2003" t="s">
        <v>213</v>
      </c>
      <c r="Y64" s="2004"/>
    </row>
    <row r="65" spans="2:25" s="3" customFormat="1" ht="12" x14ac:dyDescent="0.2">
      <c r="B65" s="73" t="s">
        <v>53</v>
      </c>
      <c r="C65" s="54"/>
      <c r="D65" s="92"/>
      <c r="E65" s="30"/>
      <c r="F65" s="30"/>
      <c r="G65" s="243"/>
      <c r="H65" s="248"/>
      <c r="I65" s="138"/>
      <c r="J65" s="138"/>
      <c r="K65" s="243"/>
      <c r="L65" s="138"/>
      <c r="M65" s="243"/>
      <c r="N65" s="244"/>
      <c r="O65" s="138"/>
      <c r="P65" s="244"/>
      <c r="Q65" s="138"/>
      <c r="R65" s="244"/>
      <c r="S65" s="138"/>
      <c r="T65" s="244"/>
      <c r="U65" s="138"/>
      <c r="V65" s="140"/>
      <c r="X65" s="831"/>
      <c r="Y65" s="930"/>
    </row>
    <row r="66" spans="2:25" s="3" customFormat="1" ht="12" x14ac:dyDescent="0.2">
      <c r="B66" s="74" t="s">
        <v>54</v>
      </c>
      <c r="C66" s="184"/>
      <c r="D66" s="165"/>
      <c r="E66" s="31"/>
      <c r="F66" s="171"/>
      <c r="G66" s="239"/>
      <c r="H66" s="261"/>
      <c r="I66" s="139"/>
      <c r="J66" s="183"/>
      <c r="K66" s="239"/>
      <c r="L66" s="183"/>
      <c r="M66" s="239"/>
      <c r="N66" s="261"/>
      <c r="O66" s="139"/>
      <c r="P66" s="261"/>
      <c r="Q66" s="139"/>
      <c r="R66" s="261"/>
      <c r="S66" s="139"/>
      <c r="T66" s="261"/>
      <c r="U66" s="139"/>
      <c r="V66" s="142"/>
      <c r="X66" s="24"/>
      <c r="Y66" s="579"/>
    </row>
    <row r="67" spans="2:25" s="3" customFormat="1" ht="12" x14ac:dyDescent="0.2">
      <c r="B67" s="75" t="s">
        <v>55</v>
      </c>
      <c r="C67" s="184"/>
      <c r="D67" s="165">
        <v>22</v>
      </c>
      <c r="E67" s="31"/>
      <c r="F67" s="171">
        <v>23</v>
      </c>
      <c r="G67" s="239"/>
      <c r="H67" s="261">
        <v>23</v>
      </c>
      <c r="I67" s="139"/>
      <c r="J67" s="183">
        <v>25</v>
      </c>
      <c r="K67" s="239"/>
      <c r="L67" s="183">
        <v>27</v>
      </c>
      <c r="M67" s="239"/>
      <c r="N67" s="261">
        <v>28</v>
      </c>
      <c r="O67" s="139"/>
      <c r="P67" s="261">
        <v>27</v>
      </c>
      <c r="Q67" s="139"/>
      <c r="R67" s="261">
        <v>27</v>
      </c>
      <c r="S67" s="139"/>
      <c r="T67" s="261">
        <v>28</v>
      </c>
      <c r="U67" s="1743"/>
      <c r="V67" s="1649"/>
      <c r="X67" s="12"/>
      <c r="Y67" s="1113">
        <f>AVERAGE(L67,T67,R67,P67,N67)</f>
        <v>27.4</v>
      </c>
    </row>
    <row r="68" spans="2:25" s="3" customFormat="1" ht="12" x14ac:dyDescent="0.2">
      <c r="B68" s="75" t="s">
        <v>181</v>
      </c>
      <c r="C68" s="184"/>
      <c r="D68" s="165">
        <v>1</v>
      </c>
      <c r="E68" s="31"/>
      <c r="F68" s="171">
        <v>1</v>
      </c>
      <c r="G68" s="239"/>
      <c r="H68" s="261">
        <v>4</v>
      </c>
      <c r="I68" s="139"/>
      <c r="J68" s="183">
        <v>3</v>
      </c>
      <c r="K68" s="239"/>
      <c r="L68" s="183">
        <v>2</v>
      </c>
      <c r="M68" s="239"/>
      <c r="N68" s="261">
        <v>3</v>
      </c>
      <c r="O68" s="139"/>
      <c r="P68" s="261">
        <v>5</v>
      </c>
      <c r="Q68" s="139"/>
      <c r="R68" s="261">
        <v>6</v>
      </c>
      <c r="S68" s="139"/>
      <c r="T68" s="261">
        <v>3</v>
      </c>
      <c r="U68" s="1743"/>
      <c r="V68" s="1649"/>
      <c r="X68" s="12"/>
      <c r="Y68" s="1113">
        <f>AVERAGE(L68,T68,R68,P68,N68)</f>
        <v>3.8</v>
      </c>
    </row>
    <row r="69" spans="2:25" s="3" customFormat="1" ht="12" x14ac:dyDescent="0.2">
      <c r="B69" s="74" t="s">
        <v>57</v>
      </c>
      <c r="C69" s="184"/>
      <c r="D69" s="94"/>
      <c r="E69" s="31"/>
      <c r="F69" s="39"/>
      <c r="G69" s="239"/>
      <c r="H69" s="240"/>
      <c r="I69" s="139"/>
      <c r="J69" s="241"/>
      <c r="K69" s="239"/>
      <c r="L69" s="241"/>
      <c r="M69" s="239"/>
      <c r="N69" s="240"/>
      <c r="O69" s="139"/>
      <c r="P69" s="240"/>
      <c r="Q69" s="139"/>
      <c r="R69" s="240"/>
      <c r="S69" s="139"/>
      <c r="T69" s="240"/>
      <c r="U69" s="1743"/>
      <c r="V69" s="1650"/>
      <c r="X69" s="12"/>
      <c r="Y69" s="1113"/>
    </row>
    <row r="70" spans="2:25" s="3" customFormat="1" ht="12" x14ac:dyDescent="0.2">
      <c r="B70" s="75" t="s">
        <v>55</v>
      </c>
      <c r="C70" s="184"/>
      <c r="D70" s="94">
        <v>0</v>
      </c>
      <c r="E70" s="31"/>
      <c r="F70" s="39">
        <v>0</v>
      </c>
      <c r="G70" s="239"/>
      <c r="H70" s="240">
        <v>1</v>
      </c>
      <c r="I70" s="139"/>
      <c r="J70" s="241">
        <v>1</v>
      </c>
      <c r="K70" s="239"/>
      <c r="L70" s="241">
        <v>0</v>
      </c>
      <c r="M70" s="239"/>
      <c r="N70" s="240">
        <v>0</v>
      </c>
      <c r="O70" s="139"/>
      <c r="P70" s="240">
        <v>0</v>
      </c>
      <c r="Q70" s="139"/>
      <c r="R70" s="240">
        <v>0</v>
      </c>
      <c r="S70" s="139"/>
      <c r="T70" s="240">
        <v>0</v>
      </c>
      <c r="U70" s="1743"/>
      <c r="V70" s="1650"/>
      <c r="X70" s="12"/>
      <c r="Y70" s="1113">
        <f>AVERAGE(L70,T70,R70,P70,N70)</f>
        <v>0</v>
      </c>
    </row>
    <row r="71" spans="2:25" s="3" customFormat="1" ht="12" x14ac:dyDescent="0.2">
      <c r="B71" s="341" t="s">
        <v>181</v>
      </c>
      <c r="C71" s="184"/>
      <c r="D71" s="94">
        <v>0</v>
      </c>
      <c r="E71" s="31"/>
      <c r="F71" s="39">
        <v>0</v>
      </c>
      <c r="G71" s="239"/>
      <c r="H71" s="240">
        <v>1</v>
      </c>
      <c r="I71" s="139"/>
      <c r="J71" s="241">
        <v>0</v>
      </c>
      <c r="K71" s="239"/>
      <c r="L71" s="241">
        <v>0</v>
      </c>
      <c r="M71" s="239"/>
      <c r="N71" s="240">
        <v>0</v>
      </c>
      <c r="O71" s="139"/>
      <c r="P71" s="240">
        <v>0</v>
      </c>
      <c r="Q71" s="139"/>
      <c r="R71" s="240">
        <v>0</v>
      </c>
      <c r="S71" s="139"/>
      <c r="T71" s="240">
        <v>0</v>
      </c>
      <c r="U71" s="1743"/>
      <c r="V71" s="1650"/>
      <c r="X71" s="12"/>
      <c r="Y71" s="1113">
        <f>AVERAGE(L71,T71,R71,P71,N71)</f>
        <v>0</v>
      </c>
    </row>
    <row r="72" spans="2:25" s="3" customFormat="1" thickBot="1" x14ac:dyDescent="0.25">
      <c r="B72" s="79" t="s">
        <v>13</v>
      </c>
      <c r="C72" s="233"/>
      <c r="D72" s="234">
        <f>SUM(D67:D71)</f>
        <v>23</v>
      </c>
      <c r="E72" s="107"/>
      <c r="F72" s="106">
        <f>SUM(F67:F71)</f>
        <v>24</v>
      </c>
      <c r="G72" s="297"/>
      <c r="H72" s="427">
        <v>29</v>
      </c>
      <c r="I72" s="426"/>
      <c r="J72" s="454">
        <f>SUM(J67:J71)</f>
        <v>29</v>
      </c>
      <c r="K72" s="297"/>
      <c r="L72" s="454">
        <f>SUM(L67:L71)</f>
        <v>29</v>
      </c>
      <c r="M72" s="297"/>
      <c r="N72" s="427">
        <f>SUM(N67:N71)</f>
        <v>31</v>
      </c>
      <c r="O72" s="426"/>
      <c r="P72" s="427">
        <f>SUM(P67:P71)</f>
        <v>32</v>
      </c>
      <c r="Q72" s="426"/>
      <c r="R72" s="427">
        <f>SUM(R67:R71)</f>
        <v>33</v>
      </c>
      <c r="S72" s="426"/>
      <c r="T72" s="427">
        <f>SUM(T67:T71)</f>
        <v>31</v>
      </c>
      <c r="U72" s="1744"/>
      <c r="V72" s="1812"/>
      <c r="X72" s="831"/>
      <c r="Y72" s="1114">
        <f>AVERAGE(L72,T72,R72,P72,N72)</f>
        <v>31.2</v>
      </c>
    </row>
    <row r="73" spans="2:25" s="3" customFormat="1" thickTop="1" x14ac:dyDescent="0.2">
      <c r="B73" s="342" t="s">
        <v>135</v>
      </c>
      <c r="C73" s="392"/>
      <c r="D73" s="393"/>
      <c r="E73" s="43" t="s">
        <v>133</v>
      </c>
      <c r="F73" s="41" t="s">
        <v>134</v>
      </c>
      <c r="G73" s="317" t="s">
        <v>133</v>
      </c>
      <c r="H73" s="412" t="s">
        <v>134</v>
      </c>
      <c r="I73" s="411" t="s">
        <v>133</v>
      </c>
      <c r="J73" s="449" t="s">
        <v>134</v>
      </c>
      <c r="K73" s="317" t="s">
        <v>133</v>
      </c>
      <c r="L73" s="449" t="s">
        <v>134</v>
      </c>
      <c r="M73" s="317" t="s">
        <v>133</v>
      </c>
      <c r="N73" s="441" t="s">
        <v>134</v>
      </c>
      <c r="O73" s="411" t="s">
        <v>133</v>
      </c>
      <c r="P73" s="412" t="s">
        <v>134</v>
      </c>
      <c r="Q73" s="411" t="s">
        <v>133</v>
      </c>
      <c r="R73" s="412" t="s">
        <v>134</v>
      </c>
      <c r="S73" s="411" t="s">
        <v>133</v>
      </c>
      <c r="T73" s="412" t="s">
        <v>134</v>
      </c>
      <c r="U73" s="1745" t="s">
        <v>133</v>
      </c>
      <c r="V73" s="1813" t="s">
        <v>134</v>
      </c>
      <c r="X73" s="952" t="s">
        <v>133</v>
      </c>
      <c r="Y73" s="862" t="s">
        <v>134</v>
      </c>
    </row>
    <row r="74" spans="2:25" s="3" customFormat="1" ht="12" x14ac:dyDescent="0.2">
      <c r="B74" s="75" t="s">
        <v>87</v>
      </c>
      <c r="C74" s="319">
        <v>21</v>
      </c>
      <c r="D74" s="216">
        <f>C74/D$72</f>
        <v>0.91304347826086951</v>
      </c>
      <c r="E74" s="173">
        <v>22</v>
      </c>
      <c r="F74" s="221">
        <f t="shared" ref="F74:H81" si="3">E74/F$72</f>
        <v>0.91666666666666663</v>
      </c>
      <c r="G74" s="215">
        <v>27</v>
      </c>
      <c r="H74" s="216">
        <f t="shared" si="3"/>
        <v>0.93103448275862066</v>
      </c>
      <c r="I74" s="173">
        <v>27</v>
      </c>
      <c r="J74" s="221">
        <f t="shared" ref="J74:L81" si="4">I74/J$72</f>
        <v>0.93103448275862066</v>
      </c>
      <c r="K74" s="215">
        <v>25</v>
      </c>
      <c r="L74" s="221">
        <f t="shared" si="4"/>
        <v>0.86206896551724133</v>
      </c>
      <c r="M74" s="215">
        <f>3+25</f>
        <v>28</v>
      </c>
      <c r="N74" s="216">
        <f t="shared" ref="N74:T81" si="5">M74/N$72</f>
        <v>0.90322580645161288</v>
      </c>
      <c r="O74" s="173">
        <v>29</v>
      </c>
      <c r="P74" s="216">
        <f t="shared" si="5"/>
        <v>0.90625</v>
      </c>
      <c r="Q74" s="173">
        <v>29</v>
      </c>
      <c r="R74" s="216">
        <f>Q74/R$72</f>
        <v>0.87878787878787878</v>
      </c>
      <c r="S74" s="173">
        <f>24+2</f>
        <v>26</v>
      </c>
      <c r="T74" s="216">
        <f>S74/T$72</f>
        <v>0.83870967741935487</v>
      </c>
      <c r="U74" s="1662"/>
      <c r="V74" s="1657"/>
      <c r="W74" s="955"/>
      <c r="X74" s="1016">
        <f t="shared" ref="X74:X93" si="6">AVERAGE(K74,S74,Q74,O74,M74)</f>
        <v>27.4</v>
      </c>
      <c r="Y74" s="863">
        <f t="shared" ref="Y74:Y93" si="7">AVERAGE(L74,T74,R74,P74,N74)</f>
        <v>0.87780846563521764</v>
      </c>
    </row>
    <row r="75" spans="2:25" s="3" customFormat="1" ht="12" x14ac:dyDescent="0.2">
      <c r="B75" s="85" t="s">
        <v>88</v>
      </c>
      <c r="C75" s="319">
        <v>0</v>
      </c>
      <c r="D75" s="216">
        <f t="shared" ref="D75:D93" si="8">C75/$D$72</f>
        <v>0</v>
      </c>
      <c r="E75" s="173">
        <v>0</v>
      </c>
      <c r="F75" s="221">
        <f t="shared" si="3"/>
        <v>0</v>
      </c>
      <c r="G75" s="215">
        <v>0</v>
      </c>
      <c r="H75" s="216">
        <f t="shared" si="3"/>
        <v>0</v>
      </c>
      <c r="I75" s="173">
        <v>0</v>
      </c>
      <c r="J75" s="221">
        <f t="shared" si="4"/>
        <v>0</v>
      </c>
      <c r="K75" s="215">
        <v>0</v>
      </c>
      <c r="L75" s="221">
        <f t="shared" si="4"/>
        <v>0</v>
      </c>
      <c r="M75" s="215">
        <v>0</v>
      </c>
      <c r="N75" s="216">
        <f t="shared" si="5"/>
        <v>0</v>
      </c>
      <c r="O75" s="173">
        <v>0</v>
      </c>
      <c r="P75" s="216">
        <f t="shared" si="5"/>
        <v>0</v>
      </c>
      <c r="Q75" s="173">
        <v>0</v>
      </c>
      <c r="R75" s="216">
        <f t="shared" si="5"/>
        <v>0</v>
      </c>
      <c r="S75" s="173">
        <f>0+0</f>
        <v>0</v>
      </c>
      <c r="T75" s="216">
        <f t="shared" si="5"/>
        <v>0</v>
      </c>
      <c r="U75" s="1662"/>
      <c r="V75" s="1657"/>
      <c r="W75" s="955"/>
      <c r="X75" s="1016">
        <f t="shared" si="6"/>
        <v>0</v>
      </c>
      <c r="Y75" s="863">
        <f t="shared" si="7"/>
        <v>0</v>
      </c>
    </row>
    <row r="76" spans="2:25" s="3" customFormat="1" ht="12" x14ac:dyDescent="0.2">
      <c r="B76" s="85" t="s">
        <v>89</v>
      </c>
      <c r="C76" s="319">
        <v>0</v>
      </c>
      <c r="D76" s="216">
        <f t="shared" si="8"/>
        <v>0</v>
      </c>
      <c r="E76" s="173">
        <v>0</v>
      </c>
      <c r="F76" s="221">
        <f t="shared" si="3"/>
        <v>0</v>
      </c>
      <c r="G76" s="215">
        <v>0</v>
      </c>
      <c r="H76" s="216">
        <f t="shared" si="3"/>
        <v>0</v>
      </c>
      <c r="I76" s="173">
        <v>0</v>
      </c>
      <c r="J76" s="221">
        <f t="shared" si="4"/>
        <v>0</v>
      </c>
      <c r="K76" s="215">
        <v>0</v>
      </c>
      <c r="L76" s="221">
        <f t="shared" si="4"/>
        <v>0</v>
      </c>
      <c r="M76" s="215">
        <v>0</v>
      </c>
      <c r="N76" s="216">
        <f t="shared" si="5"/>
        <v>0</v>
      </c>
      <c r="O76" s="173">
        <v>0</v>
      </c>
      <c r="P76" s="216">
        <f t="shared" si="5"/>
        <v>0</v>
      </c>
      <c r="Q76" s="173">
        <v>0</v>
      </c>
      <c r="R76" s="216">
        <f t="shared" si="5"/>
        <v>0</v>
      </c>
      <c r="S76" s="173">
        <f>1+0</f>
        <v>1</v>
      </c>
      <c r="T76" s="216">
        <f t="shared" si="5"/>
        <v>3.2258064516129031E-2</v>
      </c>
      <c r="U76" s="1662"/>
      <c r="V76" s="1657"/>
      <c r="W76" s="955"/>
      <c r="X76" s="1016">
        <f t="shared" si="6"/>
        <v>0.2</v>
      </c>
      <c r="Y76" s="863">
        <f t="shared" si="7"/>
        <v>6.4516129032258064E-3</v>
      </c>
    </row>
    <row r="77" spans="2:25" s="3" customFormat="1" ht="12" x14ac:dyDescent="0.2">
      <c r="B77" s="85" t="s">
        <v>90</v>
      </c>
      <c r="C77" s="319">
        <v>0</v>
      </c>
      <c r="D77" s="216">
        <f t="shared" si="8"/>
        <v>0</v>
      </c>
      <c r="E77" s="173">
        <v>0</v>
      </c>
      <c r="F77" s="221">
        <f t="shared" si="3"/>
        <v>0</v>
      </c>
      <c r="G77" s="215">
        <v>0</v>
      </c>
      <c r="H77" s="216">
        <f t="shared" si="3"/>
        <v>0</v>
      </c>
      <c r="I77" s="173">
        <v>0</v>
      </c>
      <c r="J77" s="221">
        <f t="shared" si="4"/>
        <v>0</v>
      </c>
      <c r="K77" s="215">
        <v>0</v>
      </c>
      <c r="L77" s="221">
        <f t="shared" si="4"/>
        <v>0</v>
      </c>
      <c r="M77" s="215">
        <v>0</v>
      </c>
      <c r="N77" s="216">
        <f t="shared" si="5"/>
        <v>0</v>
      </c>
      <c r="O77" s="173">
        <v>0</v>
      </c>
      <c r="P77" s="216">
        <f t="shared" si="5"/>
        <v>0</v>
      </c>
      <c r="Q77" s="173">
        <v>0</v>
      </c>
      <c r="R77" s="216">
        <f t="shared" si="5"/>
        <v>0</v>
      </c>
      <c r="S77" s="173">
        <f>0+0</f>
        <v>0</v>
      </c>
      <c r="T77" s="216">
        <f t="shared" si="5"/>
        <v>0</v>
      </c>
      <c r="U77" s="1662"/>
      <c r="V77" s="1657"/>
      <c r="W77" s="955"/>
      <c r="X77" s="1016">
        <f t="shared" si="6"/>
        <v>0</v>
      </c>
      <c r="Y77" s="863">
        <f t="shared" si="7"/>
        <v>0</v>
      </c>
    </row>
    <row r="78" spans="2:25" s="3" customFormat="1" ht="12" x14ac:dyDescent="0.2">
      <c r="B78" s="85" t="s">
        <v>91</v>
      </c>
      <c r="C78" s="319">
        <v>1</v>
      </c>
      <c r="D78" s="216">
        <f t="shared" si="8"/>
        <v>4.3478260869565216E-2</v>
      </c>
      <c r="E78" s="173">
        <v>1</v>
      </c>
      <c r="F78" s="221">
        <f t="shared" si="3"/>
        <v>4.1666666666666664E-2</v>
      </c>
      <c r="G78" s="215">
        <v>1</v>
      </c>
      <c r="H78" s="216">
        <f t="shared" si="3"/>
        <v>3.4482758620689655E-2</v>
      </c>
      <c r="I78" s="173">
        <v>1</v>
      </c>
      <c r="J78" s="221">
        <f t="shared" si="4"/>
        <v>3.4482758620689655E-2</v>
      </c>
      <c r="K78" s="215">
        <v>3</v>
      </c>
      <c r="L78" s="221">
        <f t="shared" si="4"/>
        <v>0.10344827586206896</v>
      </c>
      <c r="M78" s="215">
        <v>3</v>
      </c>
      <c r="N78" s="216">
        <f t="shared" si="5"/>
        <v>9.6774193548387094E-2</v>
      </c>
      <c r="O78" s="173">
        <v>3</v>
      </c>
      <c r="P78" s="216">
        <f t="shared" si="5"/>
        <v>9.375E-2</v>
      </c>
      <c r="Q78" s="173">
        <v>2</v>
      </c>
      <c r="R78" s="216">
        <f t="shared" si="5"/>
        <v>6.0606060606060608E-2</v>
      </c>
      <c r="S78" s="173">
        <f>0+2</f>
        <v>2</v>
      </c>
      <c r="T78" s="216">
        <f t="shared" si="5"/>
        <v>6.4516129032258063E-2</v>
      </c>
      <c r="U78" s="1662"/>
      <c r="V78" s="1657"/>
      <c r="W78" s="955"/>
      <c r="X78" s="1016">
        <f t="shared" si="6"/>
        <v>2.6</v>
      </c>
      <c r="Y78" s="863">
        <f t="shared" si="7"/>
        <v>8.3818931809754943E-2</v>
      </c>
    </row>
    <row r="79" spans="2:25" s="3" customFormat="1" ht="12" x14ac:dyDescent="0.2">
      <c r="B79" s="85" t="s">
        <v>92</v>
      </c>
      <c r="C79" s="319">
        <v>1</v>
      </c>
      <c r="D79" s="216">
        <f t="shared" si="8"/>
        <v>4.3478260869565216E-2</v>
      </c>
      <c r="E79" s="173">
        <v>1</v>
      </c>
      <c r="F79" s="221">
        <f t="shared" si="3"/>
        <v>4.1666666666666664E-2</v>
      </c>
      <c r="G79" s="215">
        <v>1</v>
      </c>
      <c r="H79" s="216">
        <f t="shared" si="3"/>
        <v>3.4482758620689655E-2</v>
      </c>
      <c r="I79" s="173">
        <v>1</v>
      </c>
      <c r="J79" s="221">
        <f t="shared" si="4"/>
        <v>3.4482758620689655E-2</v>
      </c>
      <c r="K79" s="215">
        <v>0</v>
      </c>
      <c r="L79" s="221">
        <f t="shared" si="4"/>
        <v>0</v>
      </c>
      <c r="M79" s="215">
        <v>0</v>
      </c>
      <c r="N79" s="216">
        <f t="shared" si="5"/>
        <v>0</v>
      </c>
      <c r="O79" s="173">
        <v>0</v>
      </c>
      <c r="P79" s="216">
        <f t="shared" si="5"/>
        <v>0</v>
      </c>
      <c r="Q79" s="173">
        <v>0</v>
      </c>
      <c r="R79" s="216">
        <f t="shared" si="5"/>
        <v>0</v>
      </c>
      <c r="S79" s="173">
        <f>0</f>
        <v>0</v>
      </c>
      <c r="T79" s="216">
        <f t="shared" si="5"/>
        <v>0</v>
      </c>
      <c r="U79" s="1662"/>
      <c r="V79" s="1657"/>
      <c r="W79" s="955"/>
      <c r="X79" s="1016">
        <f t="shared" si="6"/>
        <v>0</v>
      </c>
      <c r="Y79" s="863">
        <f t="shared" si="7"/>
        <v>0</v>
      </c>
    </row>
    <row r="80" spans="2:25" s="3" customFormat="1" ht="12" x14ac:dyDescent="0.2">
      <c r="B80" s="85" t="s">
        <v>256</v>
      </c>
      <c r="C80" s="346"/>
      <c r="D80" s="216"/>
      <c r="E80" s="174"/>
      <c r="F80" s="221"/>
      <c r="G80" s="1501"/>
      <c r="H80" s="1502"/>
      <c r="I80" s="1429"/>
      <c r="J80" s="1503"/>
      <c r="K80" s="1501"/>
      <c r="L80" s="1503"/>
      <c r="M80" s="1501"/>
      <c r="N80" s="1502"/>
      <c r="O80" s="1429"/>
      <c r="P80" s="1502"/>
      <c r="Q80" s="174">
        <v>2</v>
      </c>
      <c r="R80" s="216">
        <f t="shared" si="5"/>
        <v>6.0606060606060608E-2</v>
      </c>
      <c r="S80" s="174">
        <f>0+2</f>
        <v>2</v>
      </c>
      <c r="T80" s="216">
        <f t="shared" si="5"/>
        <v>6.4516129032258063E-2</v>
      </c>
      <c r="U80" s="1663"/>
      <c r="V80" s="1657"/>
      <c r="W80" s="955"/>
      <c r="X80" s="1016">
        <f t="shared" si="6"/>
        <v>2</v>
      </c>
      <c r="Y80" s="863">
        <f t="shared" si="7"/>
        <v>6.2561094819159335E-2</v>
      </c>
    </row>
    <row r="81" spans="1:25" s="3" customFormat="1" ht="12" x14ac:dyDescent="0.2">
      <c r="B81" s="85" t="s">
        <v>93</v>
      </c>
      <c r="C81" s="346">
        <v>0</v>
      </c>
      <c r="D81" s="216">
        <f t="shared" si="8"/>
        <v>0</v>
      </c>
      <c r="E81" s="174">
        <v>0</v>
      </c>
      <c r="F81" s="221">
        <f t="shared" si="3"/>
        <v>0</v>
      </c>
      <c r="G81" s="217">
        <v>0</v>
      </c>
      <c r="H81" s="216">
        <f t="shared" si="3"/>
        <v>0</v>
      </c>
      <c r="I81" s="174">
        <v>0</v>
      </c>
      <c r="J81" s="221">
        <f t="shared" si="4"/>
        <v>0</v>
      </c>
      <c r="K81" s="217">
        <v>0</v>
      </c>
      <c r="L81" s="221">
        <f t="shared" si="4"/>
        <v>0</v>
      </c>
      <c r="M81" s="217">
        <v>0</v>
      </c>
      <c r="N81" s="216">
        <f t="shared" si="5"/>
        <v>0</v>
      </c>
      <c r="O81" s="174">
        <v>0</v>
      </c>
      <c r="P81" s="216">
        <f t="shared" si="5"/>
        <v>0</v>
      </c>
      <c r="Q81" s="174">
        <v>0</v>
      </c>
      <c r="R81" s="216">
        <f t="shared" si="5"/>
        <v>0</v>
      </c>
      <c r="S81" s="174">
        <f>0</f>
        <v>0</v>
      </c>
      <c r="T81" s="216">
        <f t="shared" si="5"/>
        <v>0</v>
      </c>
      <c r="U81" s="1663"/>
      <c r="V81" s="1657"/>
      <c r="W81" s="955"/>
      <c r="X81" s="1016">
        <f t="shared" si="6"/>
        <v>0</v>
      </c>
      <c r="Y81" s="863">
        <f t="shared" si="7"/>
        <v>0</v>
      </c>
    </row>
    <row r="82" spans="1:25" s="3" customFormat="1" ht="12" x14ac:dyDescent="0.2">
      <c r="B82" s="343" t="s">
        <v>136</v>
      </c>
      <c r="C82" s="218"/>
      <c r="D82" s="216"/>
      <c r="E82" s="226"/>
      <c r="F82" s="310"/>
      <c r="G82" s="326"/>
      <c r="H82" s="394"/>
      <c r="I82" s="226"/>
      <c r="J82" s="310"/>
      <c r="K82" s="326"/>
      <c r="L82" s="310"/>
      <c r="M82" s="326"/>
      <c r="N82" s="394"/>
      <c r="O82" s="226"/>
      <c r="P82" s="394"/>
      <c r="Q82" s="226"/>
      <c r="R82" s="394"/>
      <c r="S82" s="226"/>
      <c r="T82" s="394"/>
      <c r="U82" s="1675"/>
      <c r="V82" s="1814"/>
      <c r="W82" s="955"/>
      <c r="X82" s="1016"/>
      <c r="Y82" s="863"/>
    </row>
    <row r="83" spans="1:25" s="3" customFormat="1" ht="12" x14ac:dyDescent="0.2">
      <c r="B83" s="75" t="s">
        <v>124</v>
      </c>
      <c r="C83" s="230">
        <v>13</v>
      </c>
      <c r="D83" s="216">
        <f t="shared" si="8"/>
        <v>0.56521739130434778</v>
      </c>
      <c r="E83" s="171">
        <v>13</v>
      </c>
      <c r="F83" s="311">
        <f>E83/F$72</f>
        <v>0.54166666666666663</v>
      </c>
      <c r="G83" s="229">
        <v>15</v>
      </c>
      <c r="H83" s="395">
        <f>G83/H$72</f>
        <v>0.51724137931034486</v>
      </c>
      <c r="I83" s="183">
        <v>16</v>
      </c>
      <c r="J83" s="221">
        <f>I83/J$72</f>
        <v>0.55172413793103448</v>
      </c>
      <c r="K83" s="229">
        <v>17</v>
      </c>
      <c r="L83" s="221">
        <f>K83/L$72</f>
        <v>0.58620689655172409</v>
      </c>
      <c r="M83" s="229">
        <f>2+15</f>
        <v>17</v>
      </c>
      <c r="N83" s="216">
        <f>M83/N$72</f>
        <v>0.54838709677419351</v>
      </c>
      <c r="O83" s="183">
        <v>17</v>
      </c>
      <c r="P83" s="216">
        <f>O83/P$72</f>
        <v>0.53125</v>
      </c>
      <c r="Q83" s="183">
        <v>16</v>
      </c>
      <c r="R83" s="216">
        <f>Q83/R$72</f>
        <v>0.48484848484848486</v>
      </c>
      <c r="S83" s="183">
        <f>1+14</f>
        <v>15</v>
      </c>
      <c r="T83" s="216">
        <f>S83/T$72</f>
        <v>0.4838709677419355</v>
      </c>
      <c r="U83" s="1676"/>
      <c r="V83" s="1657"/>
      <c r="W83" s="955"/>
      <c r="X83" s="1016">
        <f t="shared" si="6"/>
        <v>16.399999999999999</v>
      </c>
      <c r="Y83" s="863">
        <f t="shared" si="7"/>
        <v>0.52691268918326761</v>
      </c>
    </row>
    <row r="84" spans="1:25" s="3" customFormat="1" ht="12" x14ac:dyDescent="0.2">
      <c r="B84" s="75" t="s">
        <v>125</v>
      </c>
      <c r="C84" s="230">
        <v>10</v>
      </c>
      <c r="D84" s="216">
        <f t="shared" si="8"/>
        <v>0.43478260869565216</v>
      </c>
      <c r="E84" s="223">
        <v>11</v>
      </c>
      <c r="F84" s="311">
        <f>E84/F$72</f>
        <v>0.45833333333333331</v>
      </c>
      <c r="G84" s="230">
        <v>14</v>
      </c>
      <c r="H84" s="395">
        <f>G84/H$72</f>
        <v>0.48275862068965519</v>
      </c>
      <c r="I84" s="283">
        <v>13</v>
      </c>
      <c r="J84" s="221">
        <f>I84/J$72</f>
        <v>0.44827586206896552</v>
      </c>
      <c r="K84" s="230">
        <v>12</v>
      </c>
      <c r="L84" s="221">
        <f>K84/L$72</f>
        <v>0.41379310344827586</v>
      </c>
      <c r="M84" s="230">
        <f>1+13</f>
        <v>14</v>
      </c>
      <c r="N84" s="216">
        <f>M84/N$72</f>
        <v>0.45161290322580644</v>
      </c>
      <c r="O84" s="283">
        <v>15</v>
      </c>
      <c r="P84" s="216">
        <f>O84/P$72</f>
        <v>0.46875</v>
      </c>
      <c r="Q84" s="283">
        <v>17</v>
      </c>
      <c r="R84" s="216">
        <f>Q84/R$72</f>
        <v>0.51515151515151514</v>
      </c>
      <c r="S84" s="283">
        <f>2+14</f>
        <v>16</v>
      </c>
      <c r="T84" s="216">
        <f>S84/T$72</f>
        <v>0.5161290322580645</v>
      </c>
      <c r="U84" s="1677"/>
      <c r="V84" s="1657"/>
      <c r="W84" s="955"/>
      <c r="X84" s="1016">
        <f t="shared" si="6"/>
        <v>14.8</v>
      </c>
      <c r="Y84" s="863">
        <f t="shared" si="7"/>
        <v>0.47308731081673239</v>
      </c>
    </row>
    <row r="85" spans="1:25" s="3" customFormat="1" ht="12" x14ac:dyDescent="0.2">
      <c r="B85" s="343" t="s">
        <v>137</v>
      </c>
      <c r="C85" s="219"/>
      <c r="D85" s="216"/>
      <c r="E85" s="227"/>
      <c r="F85" s="311"/>
      <c r="G85" s="315"/>
      <c r="H85" s="395"/>
      <c r="I85" s="285"/>
      <c r="J85" s="221"/>
      <c r="K85" s="315"/>
      <c r="L85" s="221"/>
      <c r="M85" s="315"/>
      <c r="N85" s="216"/>
      <c r="O85" s="285"/>
      <c r="P85" s="216"/>
      <c r="Q85" s="285"/>
      <c r="R85" s="216"/>
      <c r="S85" s="285"/>
      <c r="T85" s="216"/>
      <c r="U85" s="1678"/>
      <c r="V85" s="1657"/>
      <c r="W85" s="955"/>
      <c r="X85" s="1016"/>
      <c r="Y85" s="863"/>
    </row>
    <row r="86" spans="1:25" s="3" customFormat="1" ht="12" x14ac:dyDescent="0.2">
      <c r="B86" s="75" t="s">
        <v>126</v>
      </c>
      <c r="C86" s="224">
        <v>11</v>
      </c>
      <c r="D86" s="216">
        <f t="shared" si="8"/>
        <v>0.47826086956521741</v>
      </c>
      <c r="E86" s="223">
        <v>10</v>
      </c>
      <c r="F86" s="311">
        <f>E86/F$72</f>
        <v>0.41666666666666669</v>
      </c>
      <c r="G86" s="230">
        <v>11</v>
      </c>
      <c r="H86" s="395">
        <f>G86/H$72</f>
        <v>0.37931034482758619</v>
      </c>
      <c r="I86" s="283">
        <v>10</v>
      </c>
      <c r="J86" s="221">
        <f>I86/J$72</f>
        <v>0.34482758620689657</v>
      </c>
      <c r="K86" s="230">
        <v>11</v>
      </c>
      <c r="L86" s="221">
        <f>K86/L$72</f>
        <v>0.37931034482758619</v>
      </c>
      <c r="M86" s="230">
        <v>13</v>
      </c>
      <c r="N86" s="216">
        <f>M86/N$72</f>
        <v>0.41935483870967744</v>
      </c>
      <c r="O86" s="283">
        <v>14</v>
      </c>
      <c r="P86" s="216">
        <f>O86/P$72</f>
        <v>0.4375</v>
      </c>
      <c r="Q86" s="283">
        <v>14</v>
      </c>
      <c r="R86" s="216">
        <f>Q86/R$72</f>
        <v>0.42424242424242425</v>
      </c>
      <c r="S86" s="283">
        <f>2+12</f>
        <v>14</v>
      </c>
      <c r="T86" s="216">
        <f>S86/T$72</f>
        <v>0.45161290322580644</v>
      </c>
      <c r="U86" s="1677"/>
      <c r="V86" s="1657"/>
      <c r="W86" s="955"/>
      <c r="X86" s="1016">
        <f t="shared" si="6"/>
        <v>13.2</v>
      </c>
      <c r="Y86" s="863">
        <f t="shared" si="7"/>
        <v>0.42240410220109881</v>
      </c>
    </row>
    <row r="87" spans="1:25" s="3" customFormat="1" ht="12" x14ac:dyDescent="0.2">
      <c r="B87" s="75" t="s">
        <v>127</v>
      </c>
      <c r="C87" s="224">
        <v>5</v>
      </c>
      <c r="D87" s="216">
        <f t="shared" si="8"/>
        <v>0.21739130434782608</v>
      </c>
      <c r="E87" s="223">
        <v>6</v>
      </c>
      <c r="F87" s="311">
        <f>E87/F$72</f>
        <v>0.25</v>
      </c>
      <c r="G87" s="230">
        <v>7</v>
      </c>
      <c r="H87" s="395">
        <f>G87/H$72</f>
        <v>0.2413793103448276</v>
      </c>
      <c r="I87" s="283">
        <v>7</v>
      </c>
      <c r="J87" s="221">
        <f>I87/J$72</f>
        <v>0.2413793103448276</v>
      </c>
      <c r="K87" s="230">
        <v>8</v>
      </c>
      <c r="L87" s="221">
        <f>K87/L$72</f>
        <v>0.27586206896551724</v>
      </c>
      <c r="M87" s="230">
        <v>6</v>
      </c>
      <c r="N87" s="216">
        <f>M87/N$72</f>
        <v>0.19354838709677419</v>
      </c>
      <c r="O87" s="283">
        <v>6</v>
      </c>
      <c r="P87" s="216">
        <f>O87/P$72</f>
        <v>0.1875</v>
      </c>
      <c r="Q87" s="283">
        <v>4</v>
      </c>
      <c r="R87" s="216">
        <f>Q87/R$72</f>
        <v>0.12121212121212122</v>
      </c>
      <c r="S87" s="283">
        <f>0+6</f>
        <v>6</v>
      </c>
      <c r="T87" s="216">
        <f>S87/T$72</f>
        <v>0.19354838709677419</v>
      </c>
      <c r="U87" s="1677"/>
      <c r="V87" s="1657"/>
      <c r="W87" s="955"/>
      <c r="X87" s="1016">
        <f t="shared" si="6"/>
        <v>6</v>
      </c>
      <c r="Y87" s="863">
        <f t="shared" si="7"/>
        <v>0.19433419287423739</v>
      </c>
    </row>
    <row r="88" spans="1:25" s="3" customFormat="1" ht="12" x14ac:dyDescent="0.2">
      <c r="B88" s="75" t="s">
        <v>128</v>
      </c>
      <c r="C88" s="224">
        <v>7</v>
      </c>
      <c r="D88" s="216">
        <f t="shared" si="8"/>
        <v>0.30434782608695654</v>
      </c>
      <c r="E88" s="223">
        <v>8</v>
      </c>
      <c r="F88" s="311">
        <f>E88/F$72</f>
        <v>0.33333333333333331</v>
      </c>
      <c r="G88" s="230">
        <v>11</v>
      </c>
      <c r="H88" s="395">
        <f>G88/H$72</f>
        <v>0.37931034482758619</v>
      </c>
      <c r="I88" s="283">
        <v>12</v>
      </c>
      <c r="J88" s="221">
        <f>I88/J$72</f>
        <v>0.41379310344827586</v>
      </c>
      <c r="K88" s="230">
        <v>10</v>
      </c>
      <c r="L88" s="221">
        <f>K88/L$72</f>
        <v>0.34482758620689657</v>
      </c>
      <c r="M88" s="230">
        <f>3+9</f>
        <v>12</v>
      </c>
      <c r="N88" s="216">
        <f>M88/N$72</f>
        <v>0.38709677419354838</v>
      </c>
      <c r="O88" s="283">
        <v>12</v>
      </c>
      <c r="P88" s="216">
        <f>O88/P$72</f>
        <v>0.375</v>
      </c>
      <c r="Q88" s="283">
        <v>15</v>
      </c>
      <c r="R88" s="216">
        <f>Q88/R$72</f>
        <v>0.45454545454545453</v>
      </c>
      <c r="S88" s="283">
        <f>1+10</f>
        <v>11</v>
      </c>
      <c r="T88" s="216">
        <f>S88/T$72</f>
        <v>0.35483870967741937</v>
      </c>
      <c r="U88" s="1677"/>
      <c r="V88" s="1657"/>
      <c r="W88" s="955"/>
      <c r="X88" s="1016">
        <f t="shared" si="6"/>
        <v>12</v>
      </c>
      <c r="Y88" s="863">
        <f t="shared" si="7"/>
        <v>0.38326170492466377</v>
      </c>
    </row>
    <row r="89" spans="1:25" s="3" customFormat="1" ht="12" x14ac:dyDescent="0.2">
      <c r="B89" s="343" t="s">
        <v>138</v>
      </c>
      <c r="C89" s="219"/>
      <c r="D89" s="216"/>
      <c r="E89" s="227"/>
      <c r="F89" s="311"/>
      <c r="G89" s="315"/>
      <c r="H89" s="395"/>
      <c r="I89" s="285"/>
      <c r="J89" s="221"/>
      <c r="K89" s="315"/>
      <c r="L89" s="221"/>
      <c r="M89" s="315"/>
      <c r="N89" s="216"/>
      <c r="O89" s="285"/>
      <c r="P89" s="216"/>
      <c r="Q89" s="285"/>
      <c r="R89" s="216"/>
      <c r="S89" s="285"/>
      <c r="T89" s="216"/>
      <c r="U89" s="1678"/>
      <c r="V89" s="1657"/>
      <c r="X89" s="1016"/>
      <c r="Y89" s="863"/>
    </row>
    <row r="90" spans="1:25" s="3" customFormat="1" ht="12" x14ac:dyDescent="0.2">
      <c r="B90" s="75" t="s">
        <v>129</v>
      </c>
      <c r="C90" s="224">
        <v>7</v>
      </c>
      <c r="D90" s="216">
        <f t="shared" si="8"/>
        <v>0.30434782608695654</v>
      </c>
      <c r="E90" s="223">
        <v>6</v>
      </c>
      <c r="F90" s="311">
        <f>E90/F$72</f>
        <v>0.25</v>
      </c>
      <c r="G90" s="230">
        <v>7</v>
      </c>
      <c r="H90" s="395">
        <f>G90/H$72</f>
        <v>0.2413793103448276</v>
      </c>
      <c r="I90" s="283">
        <v>8</v>
      </c>
      <c r="J90" s="221">
        <f>I90/J$72</f>
        <v>0.27586206896551724</v>
      </c>
      <c r="K90" s="230">
        <v>7</v>
      </c>
      <c r="L90" s="221">
        <f>K90/L$72</f>
        <v>0.2413793103448276</v>
      </c>
      <c r="M90" s="230">
        <v>6</v>
      </c>
      <c r="N90" s="216">
        <f>M90/N$72</f>
        <v>0.19354838709677419</v>
      </c>
      <c r="O90" s="283">
        <v>6</v>
      </c>
      <c r="P90" s="216">
        <f>O90/P$72</f>
        <v>0.1875</v>
      </c>
      <c r="Q90" s="283">
        <v>7</v>
      </c>
      <c r="R90" s="216">
        <f>Q90/R$72</f>
        <v>0.21212121212121213</v>
      </c>
      <c r="S90" s="283">
        <f>1+7</f>
        <v>8</v>
      </c>
      <c r="T90" s="216">
        <f>S90/T$72</f>
        <v>0.25806451612903225</v>
      </c>
      <c r="U90" s="1677"/>
      <c r="V90" s="1657"/>
      <c r="X90" s="1016">
        <f t="shared" si="6"/>
        <v>6.8</v>
      </c>
      <c r="Y90" s="863">
        <f t="shared" si="7"/>
        <v>0.21852268513836925</v>
      </c>
    </row>
    <row r="91" spans="1:25" s="3" customFormat="1" ht="12" x14ac:dyDescent="0.2">
      <c r="B91" s="75" t="s">
        <v>130</v>
      </c>
      <c r="C91" s="224">
        <v>13</v>
      </c>
      <c r="D91" s="216">
        <f t="shared" si="8"/>
        <v>0.56521739130434778</v>
      </c>
      <c r="E91" s="223">
        <v>16</v>
      </c>
      <c r="F91" s="311">
        <f>E91/F$72</f>
        <v>0.66666666666666663</v>
      </c>
      <c r="G91" s="230">
        <v>18</v>
      </c>
      <c r="H91" s="395">
        <f>G91/H$72</f>
        <v>0.62068965517241381</v>
      </c>
      <c r="I91" s="283">
        <v>17</v>
      </c>
      <c r="J91" s="221">
        <f>I91/J$72</f>
        <v>0.58620689655172409</v>
      </c>
      <c r="K91" s="230">
        <v>20</v>
      </c>
      <c r="L91" s="221">
        <f>K91/L$72</f>
        <v>0.68965517241379315</v>
      </c>
      <c r="M91" s="230">
        <f>2+19</f>
        <v>21</v>
      </c>
      <c r="N91" s="216">
        <f>M91/N$72</f>
        <v>0.67741935483870963</v>
      </c>
      <c r="O91" s="283">
        <v>23</v>
      </c>
      <c r="P91" s="216">
        <f>O91/P$72</f>
        <v>0.71875</v>
      </c>
      <c r="Q91" s="283">
        <v>21</v>
      </c>
      <c r="R91" s="216">
        <f>Q91/R$72</f>
        <v>0.63636363636363635</v>
      </c>
      <c r="S91" s="283">
        <f>2+19</f>
        <v>21</v>
      </c>
      <c r="T91" s="216">
        <f>S91/T$72</f>
        <v>0.67741935483870963</v>
      </c>
      <c r="U91" s="1677"/>
      <c r="V91" s="1657"/>
      <c r="X91" s="1016">
        <f t="shared" si="6"/>
        <v>21.2</v>
      </c>
      <c r="Y91" s="863">
        <f t="shared" si="7"/>
        <v>0.67992150369096971</v>
      </c>
    </row>
    <row r="92" spans="1:25" s="3" customFormat="1" ht="12" x14ac:dyDescent="0.2">
      <c r="B92" s="75" t="s">
        <v>131</v>
      </c>
      <c r="C92" s="224">
        <v>3</v>
      </c>
      <c r="D92" s="216">
        <f t="shared" si="8"/>
        <v>0.13043478260869565</v>
      </c>
      <c r="E92" s="223">
        <v>2</v>
      </c>
      <c r="F92" s="311">
        <f>E92/F$72</f>
        <v>8.3333333333333329E-2</v>
      </c>
      <c r="G92" s="230">
        <v>4</v>
      </c>
      <c r="H92" s="395">
        <f>G92/H$72</f>
        <v>0.13793103448275862</v>
      </c>
      <c r="I92" s="283">
        <v>4</v>
      </c>
      <c r="J92" s="221">
        <f>I92/J$72</f>
        <v>0.13793103448275862</v>
      </c>
      <c r="K92" s="230">
        <v>2</v>
      </c>
      <c r="L92" s="221">
        <f>K92/L$72</f>
        <v>6.8965517241379309E-2</v>
      </c>
      <c r="M92" s="230">
        <f>1+3</f>
        <v>4</v>
      </c>
      <c r="N92" s="216">
        <f>M92/N$72</f>
        <v>0.12903225806451613</v>
      </c>
      <c r="O92" s="283">
        <v>3</v>
      </c>
      <c r="P92" s="216">
        <f>O92/P$72</f>
        <v>9.375E-2</v>
      </c>
      <c r="Q92" s="283">
        <v>5</v>
      </c>
      <c r="R92" s="216">
        <f>Q92/R$72</f>
        <v>0.15151515151515152</v>
      </c>
      <c r="S92" s="283">
        <f>0+2</f>
        <v>2</v>
      </c>
      <c r="T92" s="216">
        <f>S92/T$72</f>
        <v>6.4516129032258063E-2</v>
      </c>
      <c r="U92" s="1677"/>
      <c r="V92" s="1657"/>
      <c r="X92" s="1016">
        <f t="shared" si="6"/>
        <v>3.2</v>
      </c>
      <c r="Y92" s="863">
        <f t="shared" si="7"/>
        <v>0.10155581117066101</v>
      </c>
    </row>
    <row r="93" spans="1:25" s="3" customFormat="1" thickBot="1" x14ac:dyDescent="0.25">
      <c r="B93" s="344" t="s">
        <v>132</v>
      </c>
      <c r="C93" s="61">
        <v>0</v>
      </c>
      <c r="D93" s="220">
        <f t="shared" si="8"/>
        <v>0</v>
      </c>
      <c r="E93" s="228">
        <v>0</v>
      </c>
      <c r="F93" s="312">
        <f>E93/F$72</f>
        <v>0</v>
      </c>
      <c r="G93" s="375">
        <v>0</v>
      </c>
      <c r="H93" s="397">
        <f>G93/H$72</f>
        <v>0</v>
      </c>
      <c r="I93" s="284">
        <v>0</v>
      </c>
      <c r="J93" s="222">
        <f>I93/J$72</f>
        <v>0</v>
      </c>
      <c r="K93" s="375">
        <v>0</v>
      </c>
      <c r="L93" s="222">
        <f>K93/L$72</f>
        <v>0</v>
      </c>
      <c r="M93" s="375">
        <v>0</v>
      </c>
      <c r="N93" s="220">
        <f>M93/N$72</f>
        <v>0</v>
      </c>
      <c r="O93" s="284">
        <v>0</v>
      </c>
      <c r="P93" s="220">
        <f>O93/P$72</f>
        <v>0</v>
      </c>
      <c r="Q93" s="284">
        <v>0</v>
      </c>
      <c r="R93" s="220">
        <f>Q93/R$72</f>
        <v>0</v>
      </c>
      <c r="S93" s="284">
        <v>0</v>
      </c>
      <c r="T93" s="220">
        <f>S93/T$72</f>
        <v>0</v>
      </c>
      <c r="U93" s="1679"/>
      <c r="V93" s="1658"/>
      <c r="X93" s="1016">
        <f t="shared" si="6"/>
        <v>0</v>
      </c>
      <c r="Y93" s="863">
        <f t="shared" si="7"/>
        <v>0</v>
      </c>
    </row>
    <row r="94" spans="1:25" ht="14.25" thickTop="1" thickBot="1" x14ac:dyDescent="0.25">
      <c r="A94" s="1"/>
      <c r="B94" s="956" t="s">
        <v>186</v>
      </c>
      <c r="C94" s="1992" t="s">
        <v>51</v>
      </c>
      <c r="D94" s="1993"/>
      <c r="E94" s="1992" t="s">
        <v>52</v>
      </c>
      <c r="F94" s="1993"/>
      <c r="G94" s="1989" t="s">
        <v>184</v>
      </c>
      <c r="H94" s="1990"/>
      <c r="I94" s="1989" t="s">
        <v>185</v>
      </c>
      <c r="J94" s="1990"/>
      <c r="K94" s="1989" t="s">
        <v>202</v>
      </c>
      <c r="L94" s="1990"/>
      <c r="M94" s="1991" t="s">
        <v>203</v>
      </c>
      <c r="N94" s="1979"/>
      <c r="O94" s="1970" t="s">
        <v>228</v>
      </c>
      <c r="P94" s="1979"/>
      <c r="Q94" s="1970" t="s">
        <v>238</v>
      </c>
      <c r="R94" s="1979"/>
      <c r="S94" s="1970" t="s">
        <v>273</v>
      </c>
      <c r="T94" s="1979"/>
      <c r="U94" s="1970" t="s">
        <v>275</v>
      </c>
      <c r="V94" s="1976"/>
      <c r="X94" s="2003" t="s">
        <v>213</v>
      </c>
      <c r="Y94" s="2004"/>
    </row>
    <row r="95" spans="1:25" x14ac:dyDescent="0.2">
      <c r="A95" s="1"/>
      <c r="B95" s="957"/>
      <c r="C95" s="958"/>
      <c r="D95" s="959"/>
      <c r="E95" s="1273" t="s">
        <v>133</v>
      </c>
      <c r="F95" s="1180" t="s">
        <v>17</v>
      </c>
      <c r="G95" s="958" t="s">
        <v>133</v>
      </c>
      <c r="H95" s="1242" t="s">
        <v>17</v>
      </c>
      <c r="I95" s="1273" t="s">
        <v>133</v>
      </c>
      <c r="J95" s="1242" t="s">
        <v>17</v>
      </c>
      <c r="K95" s="1273" t="s">
        <v>133</v>
      </c>
      <c r="L95" s="1242" t="s">
        <v>17</v>
      </c>
      <c r="M95" s="1273" t="s">
        <v>133</v>
      </c>
      <c r="N95" s="1242" t="s">
        <v>17</v>
      </c>
      <c r="O95" s="1273" t="s">
        <v>133</v>
      </c>
      <c r="P95" s="959" t="s">
        <v>17</v>
      </c>
      <c r="Q95" s="1400" t="s">
        <v>133</v>
      </c>
      <c r="R95" s="959" t="s">
        <v>17</v>
      </c>
      <c r="S95" s="1400" t="s">
        <v>133</v>
      </c>
      <c r="T95" s="959" t="s">
        <v>17</v>
      </c>
      <c r="U95" s="1400" t="s">
        <v>133</v>
      </c>
      <c r="V95" s="954" t="s">
        <v>17</v>
      </c>
      <c r="X95" s="953" t="s">
        <v>133</v>
      </c>
      <c r="Y95" s="954" t="s">
        <v>17</v>
      </c>
    </row>
    <row r="96" spans="1:25" x14ac:dyDescent="0.2">
      <c r="A96" s="1"/>
      <c r="B96" s="341" t="s">
        <v>187</v>
      </c>
      <c r="C96" s="960">
        <v>0</v>
      </c>
      <c r="D96" s="961">
        <v>0</v>
      </c>
      <c r="E96" s="960">
        <v>0</v>
      </c>
      <c r="F96" s="961">
        <v>0</v>
      </c>
      <c r="G96" s="960">
        <v>0</v>
      </c>
      <c r="H96" s="961">
        <v>0</v>
      </c>
      <c r="I96" s="960">
        <v>0</v>
      </c>
      <c r="J96" s="961">
        <v>0</v>
      </c>
      <c r="K96" s="960">
        <v>0</v>
      </c>
      <c r="L96" s="961">
        <v>0</v>
      </c>
      <c r="M96" s="960">
        <v>0</v>
      </c>
      <c r="N96" s="961">
        <v>0</v>
      </c>
      <c r="O96" s="960">
        <v>0</v>
      </c>
      <c r="P96" s="961">
        <v>0</v>
      </c>
      <c r="Q96" s="960">
        <v>0</v>
      </c>
      <c r="R96" s="961">
        <v>0</v>
      </c>
      <c r="S96" s="960">
        <v>0</v>
      </c>
      <c r="T96" s="961">
        <v>0</v>
      </c>
      <c r="U96" s="1659"/>
      <c r="V96" s="1660"/>
      <c r="X96" s="1115">
        <f t="shared" ref="X96:Y98" si="9">AVERAGE(K96,S96,Q96,O96,M96)</f>
        <v>0</v>
      </c>
      <c r="Y96" s="1116">
        <f t="shared" si="9"/>
        <v>0</v>
      </c>
    </row>
    <row r="97" spans="1:27" x14ac:dyDescent="0.2">
      <c r="A97" s="1"/>
      <c r="B97" s="341" t="s">
        <v>188</v>
      </c>
      <c r="C97" s="960">
        <v>26</v>
      </c>
      <c r="D97" s="961">
        <v>13.5</v>
      </c>
      <c r="E97" s="960">
        <v>24</v>
      </c>
      <c r="F97" s="961">
        <v>12</v>
      </c>
      <c r="G97" s="960">
        <v>25</v>
      </c>
      <c r="H97" s="961">
        <v>12.5</v>
      </c>
      <c r="I97" s="960">
        <v>26</v>
      </c>
      <c r="J97" s="961">
        <v>13</v>
      </c>
      <c r="K97" s="960">
        <v>29</v>
      </c>
      <c r="L97" s="961">
        <v>14.5</v>
      </c>
      <c r="M97" s="960">
        <v>27</v>
      </c>
      <c r="N97" s="961">
        <v>13.5</v>
      </c>
      <c r="O97" s="960">
        <v>23</v>
      </c>
      <c r="P97" s="961">
        <v>11.5</v>
      </c>
      <c r="Q97" s="960">
        <v>23</v>
      </c>
      <c r="R97" s="961">
        <v>11.5</v>
      </c>
      <c r="S97" s="960">
        <v>26</v>
      </c>
      <c r="T97" s="961">
        <v>13</v>
      </c>
      <c r="U97" s="1659"/>
      <c r="V97" s="1660"/>
      <c r="X97" s="1115">
        <f t="shared" si="9"/>
        <v>25.6</v>
      </c>
      <c r="Y97" s="1116">
        <f t="shared" si="9"/>
        <v>12.8</v>
      </c>
    </row>
    <row r="98" spans="1:27" ht="13.5" thickBot="1" x14ac:dyDescent="0.25">
      <c r="A98" s="1"/>
      <c r="B98" s="344" t="s">
        <v>211</v>
      </c>
      <c r="C98" s="962">
        <v>1</v>
      </c>
      <c r="D98" s="963">
        <v>0.5</v>
      </c>
      <c r="E98" s="964">
        <v>0</v>
      </c>
      <c r="F98" s="963">
        <v>0</v>
      </c>
      <c r="G98" s="964">
        <v>0</v>
      </c>
      <c r="H98" s="963">
        <v>0</v>
      </c>
      <c r="I98" s="964">
        <v>0</v>
      </c>
      <c r="J98" s="963">
        <v>0</v>
      </c>
      <c r="K98" s="964">
        <v>0</v>
      </c>
      <c r="L98" s="963">
        <v>0</v>
      </c>
      <c r="M98" s="964">
        <v>0</v>
      </c>
      <c r="N98" s="963">
        <v>0</v>
      </c>
      <c r="O98" s="964">
        <v>0</v>
      </c>
      <c r="P98" s="963">
        <v>0</v>
      </c>
      <c r="Q98" s="964">
        <v>0</v>
      </c>
      <c r="R98" s="963">
        <v>0</v>
      </c>
      <c r="S98" s="964">
        <v>0</v>
      </c>
      <c r="T98" s="963">
        <v>0</v>
      </c>
      <c r="U98" s="1680"/>
      <c r="V98" s="1661"/>
      <c r="X98" s="1115">
        <f t="shared" si="9"/>
        <v>0</v>
      </c>
      <c r="Y98" s="1116">
        <f t="shared" si="9"/>
        <v>0</v>
      </c>
    </row>
    <row r="99" spans="1:27" ht="17.25" thickTop="1" thickBot="1" x14ac:dyDescent="0.3">
      <c r="A99" s="966"/>
      <c r="B99" s="967"/>
      <c r="C99" s="1992" t="s">
        <v>51</v>
      </c>
      <c r="D99" s="1993"/>
      <c r="E99" s="1992" t="s">
        <v>52</v>
      </c>
      <c r="F99" s="1993"/>
      <c r="G99" s="1989" t="s">
        <v>184</v>
      </c>
      <c r="H99" s="1990"/>
      <c r="I99" s="1989" t="s">
        <v>185</v>
      </c>
      <c r="J99" s="1990"/>
      <c r="K99" s="1989" t="s">
        <v>202</v>
      </c>
      <c r="L99" s="1990"/>
      <c r="M99" s="1991" t="s">
        <v>203</v>
      </c>
      <c r="N99" s="1979"/>
      <c r="O99" s="1970" t="s">
        <v>254</v>
      </c>
      <c r="P99" s="1979"/>
      <c r="Q99" s="1970" t="s">
        <v>238</v>
      </c>
      <c r="R99" s="1979"/>
      <c r="S99" s="1970" t="s">
        <v>273</v>
      </c>
      <c r="T99" s="1979"/>
      <c r="U99" s="1970" t="s">
        <v>275</v>
      </c>
      <c r="V99" s="1976"/>
      <c r="W99" s="968"/>
      <c r="X99" s="1987"/>
      <c r="Y99" s="1988"/>
      <c r="Z99" s="28"/>
      <c r="AA99" s="3"/>
    </row>
    <row r="100" spans="1:27" x14ac:dyDescent="0.2">
      <c r="A100" s="3"/>
      <c r="B100" s="342" t="s">
        <v>210</v>
      </c>
      <c r="C100" s="3"/>
      <c r="D100" s="969"/>
      <c r="E100" s="970"/>
      <c r="F100" s="971"/>
      <c r="G100" s="972"/>
      <c r="H100" s="973"/>
      <c r="I100" s="974"/>
      <c r="J100" s="593"/>
      <c r="K100" s="975"/>
      <c r="L100" s="976"/>
      <c r="M100" s="975"/>
      <c r="N100" s="991"/>
      <c r="O100" s="117"/>
      <c r="P100" s="1422"/>
      <c r="Q100" s="975"/>
      <c r="R100" s="991"/>
      <c r="S100" s="975"/>
      <c r="T100" s="991"/>
      <c r="U100" s="975"/>
      <c r="V100" s="977"/>
      <c r="W100" s="28"/>
      <c r="X100" s="28"/>
      <c r="Y100" s="28"/>
      <c r="Z100" s="3"/>
      <c r="AA100" s="3"/>
    </row>
    <row r="101" spans="1:27" x14ac:dyDescent="0.2">
      <c r="A101" s="930"/>
      <c r="B101" s="1331" t="s">
        <v>192</v>
      </c>
      <c r="C101" s="1983">
        <v>9.6999999999999993</v>
      </c>
      <c r="D101" s="1984"/>
      <c r="E101" s="980"/>
      <c r="F101" s="981"/>
      <c r="G101" s="982"/>
      <c r="H101" s="983"/>
      <c r="I101" s="1983">
        <v>9.9499999999999993</v>
      </c>
      <c r="J101" s="1984"/>
      <c r="K101" s="984"/>
      <c r="L101" s="985"/>
      <c r="M101" s="984"/>
      <c r="N101" s="991"/>
      <c r="O101" s="136"/>
      <c r="P101" s="1422">
        <v>18.5</v>
      </c>
      <c r="Q101" s="984"/>
      <c r="R101" s="991"/>
      <c r="S101" s="984"/>
      <c r="T101" s="991"/>
      <c r="U101" s="984"/>
      <c r="V101" s="977"/>
      <c r="W101" s="28"/>
      <c r="X101" s="28"/>
      <c r="Y101" s="1106"/>
      <c r="Z101" s="3"/>
      <c r="AA101" s="3"/>
    </row>
    <row r="102" spans="1:27" x14ac:dyDescent="0.2">
      <c r="A102" s="930"/>
      <c r="B102" s="1332" t="s">
        <v>193</v>
      </c>
      <c r="C102" s="1983"/>
      <c r="D102" s="1984"/>
      <c r="E102" s="980"/>
      <c r="F102" s="981"/>
      <c r="G102" s="982"/>
      <c r="H102" s="983"/>
      <c r="I102" s="1983"/>
      <c r="J102" s="1984"/>
      <c r="K102" s="984"/>
      <c r="L102" s="985"/>
      <c r="M102" s="984"/>
      <c r="N102" s="991"/>
      <c r="O102" s="136"/>
      <c r="P102" s="1422"/>
      <c r="Q102" s="984"/>
      <c r="R102" s="991"/>
      <c r="S102" s="984"/>
      <c r="T102" s="991"/>
      <c r="U102" s="984"/>
      <c r="V102" s="977"/>
      <c r="W102" s="28"/>
      <c r="X102" s="28"/>
      <c r="Y102" s="1106"/>
      <c r="Z102" s="3"/>
      <c r="AA102" s="3"/>
    </row>
    <row r="103" spans="1:27" x14ac:dyDescent="0.2">
      <c r="A103" s="930"/>
      <c r="B103" s="1332" t="s">
        <v>194</v>
      </c>
      <c r="C103" s="1983">
        <v>13</v>
      </c>
      <c r="D103" s="1984"/>
      <c r="E103" s="980"/>
      <c r="F103" s="981"/>
      <c r="G103" s="982"/>
      <c r="H103" s="983"/>
      <c r="I103" s="1983">
        <v>11</v>
      </c>
      <c r="J103" s="1984"/>
      <c r="K103" s="984"/>
      <c r="L103" s="985"/>
      <c r="M103" s="984"/>
      <c r="N103" s="991"/>
      <c r="O103" s="136"/>
      <c r="P103" s="1422">
        <v>10</v>
      </c>
      <c r="Q103" s="984"/>
      <c r="R103" s="991"/>
      <c r="S103" s="984"/>
      <c r="T103" s="991"/>
      <c r="U103" s="984"/>
      <c r="V103" s="977"/>
      <c r="W103" s="28"/>
      <c r="X103" s="28"/>
      <c r="Y103" s="1106"/>
      <c r="Z103" s="3"/>
      <c r="AA103" s="3"/>
    </row>
    <row r="104" spans="1:27" x14ac:dyDescent="0.2">
      <c r="A104" s="930"/>
      <c r="B104" s="1331" t="s">
        <v>195</v>
      </c>
      <c r="C104" s="1983">
        <v>0.5</v>
      </c>
      <c r="D104" s="1984"/>
      <c r="E104" s="980"/>
      <c r="F104" s="981"/>
      <c r="G104" s="982"/>
      <c r="H104" s="983"/>
      <c r="I104" s="1983">
        <v>2</v>
      </c>
      <c r="J104" s="1984"/>
      <c r="K104" s="984"/>
      <c r="L104" s="985"/>
      <c r="M104" s="984"/>
      <c r="N104" s="991"/>
      <c r="O104" s="136"/>
      <c r="P104" s="1422">
        <v>1.5</v>
      </c>
      <c r="Q104" s="984"/>
      <c r="R104" s="991"/>
      <c r="S104" s="984"/>
      <c r="T104" s="991"/>
      <c r="U104" s="984"/>
      <c r="V104" s="977"/>
      <c r="W104" s="28"/>
      <c r="X104" s="28"/>
      <c r="Y104" s="1106"/>
      <c r="Z104" s="3"/>
      <c r="AA104" s="3"/>
    </row>
    <row r="105" spans="1:27" x14ac:dyDescent="0.2">
      <c r="A105" s="930"/>
      <c r="B105" s="1333" t="s">
        <v>196</v>
      </c>
      <c r="C105" s="1983">
        <v>6.75</v>
      </c>
      <c r="D105" s="1984"/>
      <c r="E105" s="980"/>
      <c r="F105" s="981"/>
      <c r="G105" s="982"/>
      <c r="H105" s="983"/>
      <c r="I105" s="1983">
        <v>7.5</v>
      </c>
      <c r="J105" s="1984"/>
      <c r="K105" s="984"/>
      <c r="L105" s="985"/>
      <c r="M105" s="984"/>
      <c r="N105" s="991"/>
      <c r="O105" s="136"/>
      <c r="P105" s="1422">
        <f>6.9+3.9</f>
        <v>10.8</v>
      </c>
      <c r="Q105" s="984"/>
      <c r="R105" s="991"/>
      <c r="S105" s="984"/>
      <c r="T105" s="991"/>
      <c r="U105" s="984"/>
      <c r="V105" s="977"/>
      <c r="W105" s="28"/>
      <c r="X105" s="28"/>
      <c r="Y105" s="1106"/>
      <c r="Z105" s="3"/>
      <c r="AA105" s="3"/>
    </row>
    <row r="106" spans="1:27" x14ac:dyDescent="0.2">
      <c r="A106" s="930"/>
      <c r="B106" s="1333" t="s">
        <v>197</v>
      </c>
      <c r="C106" s="1983">
        <f>SUM(C101:D105)</f>
        <v>29.95</v>
      </c>
      <c r="D106" s="1984"/>
      <c r="E106" s="980"/>
      <c r="F106" s="981"/>
      <c r="G106" s="982"/>
      <c r="H106" s="983"/>
      <c r="I106" s="1983">
        <f>SUM(I101:J105)</f>
        <v>30.45</v>
      </c>
      <c r="J106" s="1984"/>
      <c r="K106" s="984"/>
      <c r="L106" s="985"/>
      <c r="M106" s="984"/>
      <c r="N106" s="991"/>
      <c r="O106" s="136"/>
      <c r="P106" s="1422">
        <f>SUM(P101:P105)</f>
        <v>40.799999999999997</v>
      </c>
      <c r="Q106" s="984"/>
      <c r="R106" s="991"/>
      <c r="S106" s="984"/>
      <c r="T106" s="991"/>
      <c r="U106" s="984"/>
      <c r="V106" s="977"/>
      <c r="W106" s="28"/>
      <c r="X106" s="28"/>
      <c r="Y106" s="1106"/>
      <c r="Z106" s="3"/>
      <c r="AA106" s="3"/>
    </row>
    <row r="107" spans="1:27" ht="13.5" thickBot="1" x14ac:dyDescent="0.25">
      <c r="A107" s="930"/>
      <c r="B107" s="1334" t="s">
        <v>204</v>
      </c>
      <c r="C107" s="2056"/>
      <c r="D107" s="2055"/>
      <c r="E107" s="989"/>
      <c r="F107" s="990"/>
      <c r="G107" s="975"/>
      <c r="H107" s="991"/>
      <c r="I107" s="2056"/>
      <c r="J107" s="2055"/>
      <c r="K107" s="984"/>
      <c r="L107" s="985"/>
      <c r="M107" s="984"/>
      <c r="N107" s="991"/>
      <c r="O107" s="136"/>
      <c r="P107" s="1422"/>
      <c r="Q107" s="984"/>
      <c r="R107" s="991"/>
      <c r="S107" s="984"/>
      <c r="T107" s="991"/>
      <c r="U107" s="984"/>
      <c r="V107" s="977"/>
      <c r="W107" s="28"/>
      <c r="X107" s="28"/>
      <c r="Y107" s="1106"/>
      <c r="Z107" s="3"/>
      <c r="AA107" s="3"/>
    </row>
    <row r="108" spans="1:27" x14ac:dyDescent="0.2">
      <c r="A108" s="930"/>
      <c r="B108" s="1331" t="s">
        <v>198</v>
      </c>
      <c r="C108" s="2043">
        <v>1916</v>
      </c>
      <c r="D108" s="2044"/>
      <c r="E108" s="992"/>
      <c r="F108" s="993"/>
      <c r="G108" s="994"/>
      <c r="H108" s="995"/>
      <c r="I108" s="2043">
        <v>2065</v>
      </c>
      <c r="J108" s="2044"/>
      <c r="K108" s="984"/>
      <c r="L108" s="985"/>
      <c r="M108" s="984"/>
      <c r="N108" s="991"/>
      <c r="O108" s="136"/>
      <c r="P108" s="1462">
        <v>1884</v>
      </c>
      <c r="Q108" s="984"/>
      <c r="R108" s="991"/>
      <c r="S108" s="984"/>
      <c r="T108" s="991"/>
      <c r="U108" s="984"/>
      <c r="V108" s="977"/>
      <c r="W108" s="28"/>
      <c r="X108" s="28"/>
      <c r="Y108" s="1473"/>
      <c r="Z108" s="3"/>
      <c r="AA108" s="3"/>
    </row>
    <row r="109" spans="1:27" x14ac:dyDescent="0.2">
      <c r="A109" s="930"/>
      <c r="B109" s="1333" t="s">
        <v>199</v>
      </c>
      <c r="C109" s="2043">
        <v>3564</v>
      </c>
      <c r="D109" s="2044"/>
      <c r="E109" s="992"/>
      <c r="F109" s="993"/>
      <c r="G109" s="994"/>
      <c r="H109" s="995"/>
      <c r="I109" s="2043">
        <v>3177</v>
      </c>
      <c r="J109" s="2044"/>
      <c r="K109" s="984"/>
      <c r="L109" s="985"/>
      <c r="M109" s="984"/>
      <c r="N109" s="991"/>
      <c r="O109" s="136"/>
      <c r="P109" s="1462">
        <v>2438</v>
      </c>
      <c r="Q109" s="984"/>
      <c r="R109" s="991"/>
      <c r="S109" s="984"/>
      <c r="T109" s="991"/>
      <c r="U109" s="984"/>
      <c r="V109" s="977"/>
      <c r="W109" s="28"/>
      <c r="X109" s="28"/>
      <c r="Y109" s="1473"/>
      <c r="Z109" s="3"/>
      <c r="AA109" s="3"/>
    </row>
    <row r="110" spans="1:27" x14ac:dyDescent="0.2">
      <c r="A110" s="930"/>
      <c r="B110" s="1333" t="s">
        <v>200</v>
      </c>
      <c r="C110" s="2043">
        <v>1439</v>
      </c>
      <c r="D110" s="2044"/>
      <c r="E110" s="992"/>
      <c r="F110" s="993"/>
      <c r="G110" s="994"/>
      <c r="H110" s="995"/>
      <c r="I110" s="2043">
        <v>1809</v>
      </c>
      <c r="J110" s="2044"/>
      <c r="K110" s="984"/>
      <c r="L110" s="985"/>
      <c r="M110" s="984"/>
      <c r="N110" s="991"/>
      <c r="O110" s="136"/>
      <c r="P110" s="1462">
        <f>947+709</f>
        <v>1656</v>
      </c>
      <c r="Q110" s="984"/>
      <c r="R110" s="991"/>
      <c r="S110" s="984"/>
      <c r="T110" s="991"/>
      <c r="U110" s="984"/>
      <c r="V110" s="977"/>
      <c r="W110" s="28"/>
      <c r="X110" s="28"/>
      <c r="Y110" s="1473"/>
      <c r="Z110" s="3"/>
      <c r="AA110" s="3"/>
    </row>
    <row r="111" spans="1:27" x14ac:dyDescent="0.2">
      <c r="A111" s="930"/>
      <c r="B111" s="1333" t="s">
        <v>209</v>
      </c>
      <c r="C111" s="2043">
        <f>SUM(C108:D110)</f>
        <v>6919</v>
      </c>
      <c r="D111" s="2044"/>
      <c r="E111" s="992"/>
      <c r="F111" s="993"/>
      <c r="G111" s="994"/>
      <c r="H111" s="995"/>
      <c r="I111" s="2043">
        <f>SUM(I108:J110)</f>
        <v>7051</v>
      </c>
      <c r="J111" s="2044"/>
      <c r="K111" s="984"/>
      <c r="L111" s="985"/>
      <c r="M111" s="984"/>
      <c r="N111" s="991"/>
      <c r="O111" s="136"/>
      <c r="P111" s="1462">
        <f>SUM(P108:P110)</f>
        <v>5978</v>
      </c>
      <c r="Q111" s="984"/>
      <c r="R111" s="991"/>
      <c r="S111" s="984"/>
      <c r="T111" s="991"/>
      <c r="U111" s="984"/>
      <c r="V111" s="977"/>
      <c r="W111" s="28"/>
      <c r="X111" s="28"/>
      <c r="Y111" s="1473"/>
      <c r="Z111" s="3"/>
      <c r="AA111" s="3"/>
    </row>
    <row r="112" spans="1:27" ht="13.5" thickBot="1" x14ac:dyDescent="0.25">
      <c r="A112" s="930"/>
      <c r="B112" s="1334" t="s">
        <v>205</v>
      </c>
      <c r="C112" s="2056"/>
      <c r="D112" s="2055"/>
      <c r="E112" s="989"/>
      <c r="F112" s="990"/>
      <c r="G112" s="975"/>
      <c r="H112" s="991"/>
      <c r="I112" s="2056"/>
      <c r="J112" s="2055"/>
      <c r="K112" s="984"/>
      <c r="L112" s="985"/>
      <c r="M112" s="984"/>
      <c r="N112" s="991"/>
      <c r="O112" s="136"/>
      <c r="P112" s="1422"/>
      <c r="Q112" s="984"/>
      <c r="R112" s="991"/>
      <c r="S112" s="984"/>
      <c r="T112" s="991"/>
      <c r="U112" s="984"/>
      <c r="V112" s="977"/>
      <c r="W112" s="28"/>
      <c r="X112" s="28"/>
      <c r="Y112" s="1106"/>
      <c r="Z112" s="28"/>
      <c r="AA112" s="28"/>
    </row>
    <row r="113" spans="1:27" x14ac:dyDescent="0.2">
      <c r="A113" s="930"/>
      <c r="B113" s="1331" t="s">
        <v>206</v>
      </c>
      <c r="C113" s="1985">
        <f>C108/C101</f>
        <v>197.5257731958763</v>
      </c>
      <c r="D113" s="1986"/>
      <c r="E113" s="996"/>
      <c r="F113" s="997"/>
      <c r="G113" s="998"/>
      <c r="H113" s="999"/>
      <c r="I113" s="1985">
        <f>I108/I101</f>
        <v>207.53768844221108</v>
      </c>
      <c r="J113" s="1986"/>
      <c r="K113" s="1000"/>
      <c r="L113" s="1001"/>
      <c r="M113" s="1000"/>
      <c r="N113" s="999"/>
      <c r="O113" s="494"/>
      <c r="P113" s="1402">
        <f>P108/P101</f>
        <v>101.83783783783784</v>
      </c>
      <c r="Q113" s="1000"/>
      <c r="R113" s="999"/>
      <c r="S113" s="1000"/>
      <c r="T113" s="999"/>
      <c r="U113" s="1000"/>
      <c r="V113" s="1460"/>
      <c r="W113" s="668"/>
      <c r="X113" s="668"/>
      <c r="Y113" s="1106"/>
      <c r="Z113" s="21"/>
      <c r="AA113" s="21"/>
    </row>
    <row r="114" spans="1:27" x14ac:dyDescent="0.2">
      <c r="A114" s="930"/>
      <c r="B114" s="1333" t="s">
        <v>207</v>
      </c>
      <c r="C114" s="1985">
        <f>C109/C103</f>
        <v>274.15384615384613</v>
      </c>
      <c r="D114" s="1986"/>
      <c r="E114" s="996"/>
      <c r="F114" s="997"/>
      <c r="G114" s="998"/>
      <c r="H114" s="999"/>
      <c r="I114" s="1985">
        <f>I109/I103</f>
        <v>288.81818181818181</v>
      </c>
      <c r="J114" s="1986"/>
      <c r="K114" s="1000"/>
      <c r="L114" s="1001"/>
      <c r="M114" s="1000"/>
      <c r="N114" s="999"/>
      <c r="O114" s="494"/>
      <c r="P114" s="1402">
        <f>P109/P103</f>
        <v>243.8</v>
      </c>
      <c r="Q114" s="1000"/>
      <c r="R114" s="999"/>
      <c r="S114" s="1000"/>
      <c r="T114" s="999"/>
      <c r="U114" s="1000"/>
      <c r="V114" s="1460"/>
      <c r="W114" s="668"/>
      <c r="X114" s="668"/>
      <c r="Y114" s="1106"/>
      <c r="Z114" s="21"/>
      <c r="AA114" s="21"/>
    </row>
    <row r="115" spans="1:27" x14ac:dyDescent="0.2">
      <c r="A115" s="930"/>
      <c r="B115" s="1333" t="s">
        <v>208</v>
      </c>
      <c r="C115" s="1985">
        <f>C110/C105</f>
        <v>213.18518518518519</v>
      </c>
      <c r="D115" s="1986"/>
      <c r="E115" s="996"/>
      <c r="F115" s="997"/>
      <c r="G115" s="998"/>
      <c r="H115" s="999"/>
      <c r="I115" s="1985">
        <f>I110/I105</f>
        <v>241.2</v>
      </c>
      <c r="J115" s="1986"/>
      <c r="K115" s="1000"/>
      <c r="L115" s="1001"/>
      <c r="M115" s="1000"/>
      <c r="N115" s="999"/>
      <c r="O115" s="494"/>
      <c r="P115" s="1402">
        <f>P110/P105</f>
        <v>153.33333333333331</v>
      </c>
      <c r="Q115" s="1000"/>
      <c r="R115" s="999"/>
      <c r="S115" s="1000"/>
      <c r="T115" s="999"/>
      <c r="U115" s="1000"/>
      <c r="V115" s="1460"/>
      <c r="W115" s="668"/>
      <c r="X115" s="668"/>
      <c r="Y115" s="1106"/>
      <c r="Z115" s="21"/>
      <c r="AA115" s="21"/>
    </row>
    <row r="116" spans="1:27" ht="13.5" thickBot="1" x14ac:dyDescent="0.25">
      <c r="A116" s="930"/>
      <c r="B116" s="1335" t="s">
        <v>201</v>
      </c>
      <c r="C116" s="2045">
        <f>C111/C106</f>
        <v>231.01836393989984</v>
      </c>
      <c r="D116" s="2046"/>
      <c r="E116" s="1003"/>
      <c r="F116" s="1004"/>
      <c r="G116" s="1005"/>
      <c r="H116" s="1006"/>
      <c r="I116" s="2045">
        <f>I111/I106</f>
        <v>231.55993431855501</v>
      </c>
      <c r="J116" s="2046"/>
      <c r="K116" s="1005"/>
      <c r="L116" s="1006"/>
      <c r="M116" s="1005"/>
      <c r="N116" s="1006"/>
      <c r="O116" s="1233"/>
      <c r="P116" s="1423">
        <f>P111/P106</f>
        <v>146.51960784313727</v>
      </c>
      <c r="Q116" s="1005"/>
      <c r="R116" s="1006"/>
      <c r="S116" s="1005"/>
      <c r="T116" s="1006"/>
      <c r="U116" s="1005"/>
      <c r="V116" s="1461"/>
      <c r="W116" s="668"/>
      <c r="X116" s="668"/>
      <c r="Y116" s="1106"/>
      <c r="Z116" s="21"/>
      <c r="AA116" s="21"/>
    </row>
    <row r="117" spans="1:27" ht="13.5" thickTop="1" x14ac:dyDescent="0.2">
      <c r="A117" s="3"/>
      <c r="B117" s="3" t="str">
        <f>Dean_AS!B169</f>
        <v>*Note: Beginning with the 2009 collection cycle, Instructional FTE was defined according to the national Delaware Study of Instructional Costs and Productivity</v>
      </c>
      <c r="Y117" s="91"/>
    </row>
    <row r="118" spans="1:27" x14ac:dyDescent="0.2">
      <c r="A118" s="3"/>
      <c r="B118" s="3"/>
    </row>
    <row r="119" spans="1:27" x14ac:dyDescent="0.2">
      <c r="A119" s="3"/>
      <c r="B119" s="3"/>
    </row>
    <row r="120" spans="1:27" x14ac:dyDescent="0.2">
      <c r="A120" s="3"/>
      <c r="B120" s="3"/>
    </row>
    <row r="121" spans="1:27" x14ac:dyDescent="0.2">
      <c r="A121" s="3"/>
      <c r="B121" s="3"/>
    </row>
    <row r="122" spans="1:27" x14ac:dyDescent="0.2">
      <c r="A122" s="3"/>
      <c r="B122" s="3"/>
    </row>
    <row r="123" spans="1:27" x14ac:dyDescent="0.2">
      <c r="A123" s="3"/>
      <c r="B123" s="3"/>
    </row>
    <row r="124" spans="1:27" x14ac:dyDescent="0.2">
      <c r="A124" s="3"/>
      <c r="B124" s="3"/>
    </row>
    <row r="125" spans="1:27" x14ac:dyDescent="0.2">
      <c r="A125" s="3"/>
      <c r="B125" s="3"/>
    </row>
    <row r="126" spans="1:27" x14ac:dyDescent="0.2">
      <c r="A126" s="3"/>
      <c r="B126" s="3"/>
    </row>
    <row r="127" spans="1:27" x14ac:dyDescent="0.2">
      <c r="A127" s="3"/>
      <c r="B127" s="3"/>
    </row>
    <row r="128" spans="1:27" x14ac:dyDescent="0.2">
      <c r="A128" s="3"/>
      <c r="B128" s="3"/>
    </row>
    <row r="129" spans="1:2" x14ac:dyDescent="0.2">
      <c r="A129" s="3"/>
      <c r="B129" s="3"/>
    </row>
    <row r="130" spans="1:2" x14ac:dyDescent="0.2">
      <c r="A130" s="3"/>
      <c r="B130" s="3"/>
    </row>
    <row r="131" spans="1:2" x14ac:dyDescent="0.2">
      <c r="A131" s="3"/>
      <c r="B131" s="3"/>
    </row>
    <row r="132" spans="1:2" x14ac:dyDescent="0.2">
      <c r="A132" s="3"/>
      <c r="B132" s="3"/>
    </row>
    <row r="133" spans="1:2" x14ac:dyDescent="0.2">
      <c r="A133" s="3"/>
      <c r="B133" s="3"/>
    </row>
    <row r="134" spans="1:2" x14ac:dyDescent="0.2">
      <c r="A134" s="3"/>
      <c r="B134" s="3"/>
    </row>
    <row r="135" spans="1:2" x14ac:dyDescent="0.2">
      <c r="A135" s="3"/>
      <c r="B135" s="3"/>
    </row>
    <row r="136" spans="1:2" x14ac:dyDescent="0.2">
      <c r="A136" s="3"/>
      <c r="B136" s="3"/>
    </row>
    <row r="137" spans="1:2" x14ac:dyDescent="0.2">
      <c r="A137" s="3"/>
      <c r="B137" s="3"/>
    </row>
    <row r="138" spans="1:2" x14ac:dyDescent="0.2">
      <c r="A138" s="3"/>
      <c r="B138" s="3"/>
    </row>
    <row r="139" spans="1:2" x14ac:dyDescent="0.2">
      <c r="A139" s="3"/>
      <c r="B139" s="3"/>
    </row>
    <row r="140" spans="1:2" x14ac:dyDescent="0.2">
      <c r="A140" s="3"/>
      <c r="B140" s="3"/>
    </row>
    <row r="141" spans="1:2" x14ac:dyDescent="0.2">
      <c r="A141" s="3"/>
      <c r="B141" s="3"/>
    </row>
    <row r="142" spans="1:2" x14ac:dyDescent="0.2">
      <c r="A142" s="3"/>
      <c r="B142" s="3"/>
    </row>
    <row r="143" spans="1:2" x14ac:dyDescent="0.2">
      <c r="A143" s="3"/>
      <c r="B143" s="3"/>
    </row>
    <row r="144" spans="1:2" x14ac:dyDescent="0.2">
      <c r="A144" s="3"/>
      <c r="B144" s="3"/>
    </row>
    <row r="145" spans="1:2" x14ac:dyDescent="0.2">
      <c r="A145" s="3"/>
      <c r="B145" s="3"/>
    </row>
    <row r="146" spans="1:2" x14ac:dyDescent="0.2">
      <c r="A146" s="3"/>
      <c r="B146" s="3"/>
    </row>
    <row r="147" spans="1:2" x14ac:dyDescent="0.2">
      <c r="A147" s="3"/>
      <c r="B147" s="3"/>
    </row>
    <row r="148" spans="1:2" x14ac:dyDescent="0.2">
      <c r="A148" s="3"/>
      <c r="B148" s="3"/>
    </row>
    <row r="149" spans="1:2" x14ac:dyDescent="0.2">
      <c r="A149" s="3"/>
      <c r="B149" s="3"/>
    </row>
    <row r="150" spans="1:2" x14ac:dyDescent="0.2">
      <c r="A150" s="3"/>
      <c r="B150" s="3"/>
    </row>
    <row r="151" spans="1:2" x14ac:dyDescent="0.2">
      <c r="A151" s="3"/>
      <c r="B151" s="3"/>
    </row>
    <row r="152" spans="1:2" x14ac:dyDescent="0.2">
      <c r="A152" s="3"/>
      <c r="B152" s="3"/>
    </row>
    <row r="153" spans="1:2" x14ac:dyDescent="0.2">
      <c r="A153" s="3"/>
      <c r="B153" s="3"/>
    </row>
    <row r="154" spans="1:2" x14ac:dyDescent="0.2">
      <c r="A154" s="3"/>
      <c r="B154" s="3"/>
    </row>
    <row r="155" spans="1:2" x14ac:dyDescent="0.2">
      <c r="A155" s="3"/>
      <c r="B155" s="3"/>
    </row>
    <row r="156" spans="1:2" x14ac:dyDescent="0.2">
      <c r="A156" s="3"/>
      <c r="B156" s="3"/>
    </row>
    <row r="157" spans="1:2" x14ac:dyDescent="0.2">
      <c r="A157" s="3"/>
      <c r="B157" s="3"/>
    </row>
    <row r="158" spans="1:2" x14ac:dyDescent="0.2">
      <c r="A158" s="3"/>
      <c r="B158" s="3"/>
    </row>
    <row r="159" spans="1:2" x14ac:dyDescent="0.2">
      <c r="A159" s="3"/>
      <c r="B159" s="3"/>
    </row>
    <row r="160" spans="1:2" x14ac:dyDescent="0.2">
      <c r="A160" s="3"/>
      <c r="B160" s="3"/>
    </row>
    <row r="161" spans="1:2" x14ac:dyDescent="0.2">
      <c r="A161" s="3"/>
      <c r="B161" s="3"/>
    </row>
    <row r="162" spans="1:2" x14ac:dyDescent="0.2">
      <c r="A162" s="3"/>
      <c r="B162" s="3"/>
    </row>
    <row r="163" spans="1:2" x14ac:dyDescent="0.2">
      <c r="A163" s="3"/>
      <c r="B163" s="3"/>
    </row>
    <row r="164" spans="1:2" x14ac:dyDescent="0.2">
      <c r="A164" s="3"/>
      <c r="B164" s="3"/>
    </row>
    <row r="165" spans="1:2" x14ac:dyDescent="0.2">
      <c r="A165" s="3"/>
      <c r="B165" s="3"/>
    </row>
    <row r="166" spans="1:2" x14ac:dyDescent="0.2">
      <c r="A166" s="3"/>
      <c r="B166" s="3"/>
    </row>
    <row r="167" spans="1:2" x14ac:dyDescent="0.2">
      <c r="A167" s="3"/>
      <c r="B167" s="3"/>
    </row>
    <row r="168" spans="1:2" x14ac:dyDescent="0.2">
      <c r="A168" s="3"/>
      <c r="B168" s="3"/>
    </row>
    <row r="169" spans="1:2" x14ac:dyDescent="0.2">
      <c r="A169" s="3"/>
      <c r="B169" s="3"/>
    </row>
    <row r="170" spans="1:2" x14ac:dyDescent="0.2">
      <c r="A170" s="3"/>
      <c r="B170" s="3"/>
    </row>
    <row r="171" spans="1:2" x14ac:dyDescent="0.2">
      <c r="A171" s="3"/>
      <c r="B171" s="3"/>
    </row>
    <row r="172" spans="1:2" x14ac:dyDescent="0.2">
      <c r="A172" s="3"/>
      <c r="B172" s="3"/>
    </row>
    <row r="173" spans="1:2" x14ac:dyDescent="0.2">
      <c r="A173" s="3"/>
      <c r="B173" s="3"/>
    </row>
    <row r="174" spans="1:2" x14ac:dyDescent="0.2">
      <c r="A174" s="3"/>
      <c r="B174" s="3"/>
    </row>
    <row r="175" spans="1:2" x14ac:dyDescent="0.2">
      <c r="A175" s="3"/>
      <c r="B175" s="3"/>
    </row>
    <row r="176" spans="1:2" x14ac:dyDescent="0.2">
      <c r="A176" s="3"/>
      <c r="B176" s="3"/>
    </row>
    <row r="177" spans="1:2" x14ac:dyDescent="0.2">
      <c r="A177" s="3"/>
      <c r="B177" s="3"/>
    </row>
    <row r="178" spans="1:2" x14ac:dyDescent="0.2">
      <c r="A178" s="3"/>
      <c r="B178" s="3"/>
    </row>
    <row r="179" spans="1:2" x14ac:dyDescent="0.2">
      <c r="A179" s="3"/>
      <c r="B179" s="3"/>
    </row>
    <row r="180" spans="1:2" x14ac:dyDescent="0.2">
      <c r="A180" s="3"/>
      <c r="B180" s="3"/>
    </row>
    <row r="181" spans="1:2" x14ac:dyDescent="0.2">
      <c r="A181" s="3"/>
      <c r="B181" s="3"/>
    </row>
    <row r="182" spans="1:2" x14ac:dyDescent="0.2">
      <c r="A182" s="3"/>
      <c r="B182" s="3"/>
    </row>
    <row r="183" spans="1:2" x14ac:dyDescent="0.2">
      <c r="A183" s="3"/>
      <c r="B183" s="3"/>
    </row>
    <row r="184" spans="1:2" x14ac:dyDescent="0.2">
      <c r="A184" s="3"/>
      <c r="B184" s="3"/>
    </row>
    <row r="185" spans="1:2" x14ac:dyDescent="0.2">
      <c r="A185" s="3"/>
      <c r="B185" s="3"/>
    </row>
    <row r="186" spans="1:2" x14ac:dyDescent="0.2">
      <c r="A186" s="3"/>
      <c r="B186" s="3"/>
    </row>
    <row r="187" spans="1:2" x14ac:dyDescent="0.2">
      <c r="A187" s="3"/>
      <c r="B187" s="3"/>
    </row>
    <row r="188" spans="1:2" x14ac:dyDescent="0.2">
      <c r="A188" s="3"/>
      <c r="B188" s="3"/>
    </row>
    <row r="189" spans="1:2" x14ac:dyDescent="0.2">
      <c r="A189" s="3"/>
      <c r="B189" s="3"/>
    </row>
    <row r="190" spans="1:2" x14ac:dyDescent="0.2">
      <c r="A190" s="3"/>
      <c r="B190" s="3"/>
    </row>
    <row r="191" spans="1:2" x14ac:dyDescent="0.2">
      <c r="A191" s="3"/>
      <c r="B191" s="3"/>
    </row>
    <row r="192" spans="1:2" x14ac:dyDescent="0.2">
      <c r="A192" s="3"/>
      <c r="B192" s="3"/>
    </row>
    <row r="193" spans="1:2" x14ac:dyDescent="0.2">
      <c r="A193" s="3"/>
      <c r="B193" s="3"/>
    </row>
    <row r="194" spans="1:2" x14ac:dyDescent="0.2">
      <c r="A194" s="3"/>
      <c r="B194" s="3"/>
    </row>
    <row r="195" spans="1:2" x14ac:dyDescent="0.2">
      <c r="A195" s="3"/>
      <c r="B195" s="3"/>
    </row>
    <row r="196" spans="1:2" x14ac:dyDescent="0.2">
      <c r="A196" s="3"/>
      <c r="B196" s="3"/>
    </row>
    <row r="197" spans="1:2" x14ac:dyDescent="0.2">
      <c r="A197" s="3"/>
      <c r="B197" s="3"/>
    </row>
    <row r="198" spans="1:2" x14ac:dyDescent="0.2">
      <c r="A198" s="3"/>
      <c r="B198" s="3"/>
    </row>
    <row r="199" spans="1:2" x14ac:dyDescent="0.2">
      <c r="A199" s="3"/>
      <c r="B199" s="3"/>
    </row>
    <row r="200" spans="1:2" x14ac:dyDescent="0.2">
      <c r="A200" s="3"/>
      <c r="B200" s="3"/>
    </row>
    <row r="201" spans="1:2" x14ac:dyDescent="0.2">
      <c r="A201" s="3"/>
      <c r="B201" s="3"/>
    </row>
    <row r="202" spans="1:2" x14ac:dyDescent="0.2">
      <c r="A202" s="3"/>
      <c r="B202" s="3"/>
    </row>
    <row r="203" spans="1:2" x14ac:dyDescent="0.2">
      <c r="A203" s="3"/>
      <c r="B203" s="3"/>
    </row>
    <row r="204" spans="1:2" x14ac:dyDescent="0.2">
      <c r="A204" s="3"/>
      <c r="B204" s="3"/>
    </row>
    <row r="205" spans="1:2" x14ac:dyDescent="0.2">
      <c r="A205" s="3"/>
      <c r="B205" s="3"/>
    </row>
    <row r="206" spans="1:2" x14ac:dyDescent="0.2">
      <c r="A206" s="3"/>
      <c r="B206" s="3"/>
    </row>
    <row r="207" spans="1:2" x14ac:dyDescent="0.2">
      <c r="A207" s="3"/>
      <c r="B207" s="3"/>
    </row>
    <row r="208" spans="1:2" x14ac:dyDescent="0.2">
      <c r="A208" s="3"/>
      <c r="B208" s="3"/>
    </row>
    <row r="209" spans="1:2" x14ac:dyDescent="0.2">
      <c r="A209" s="3"/>
      <c r="B209" s="3"/>
    </row>
    <row r="210" spans="1:2" x14ac:dyDescent="0.2">
      <c r="A210" s="3"/>
      <c r="B210" s="3"/>
    </row>
    <row r="211" spans="1:2" x14ac:dyDescent="0.2">
      <c r="A211" s="3"/>
      <c r="B211" s="3"/>
    </row>
    <row r="212" spans="1:2" x14ac:dyDescent="0.2">
      <c r="A212" s="3"/>
      <c r="B212" s="3"/>
    </row>
    <row r="213" spans="1:2" x14ac:dyDescent="0.2">
      <c r="A213" s="3"/>
      <c r="B213" s="3"/>
    </row>
    <row r="214" spans="1:2" x14ac:dyDescent="0.2">
      <c r="A214" s="3"/>
      <c r="B214" s="3"/>
    </row>
    <row r="215" spans="1:2" x14ac:dyDescent="0.2">
      <c r="A215" s="3"/>
      <c r="B215" s="3"/>
    </row>
    <row r="216" spans="1:2" x14ac:dyDescent="0.2">
      <c r="A216" s="3"/>
      <c r="B216" s="3"/>
    </row>
    <row r="217" spans="1:2" x14ac:dyDescent="0.2">
      <c r="A217" s="3"/>
      <c r="B217" s="3"/>
    </row>
    <row r="218" spans="1:2" x14ac:dyDescent="0.2">
      <c r="A218" s="3"/>
      <c r="B218" s="3"/>
    </row>
    <row r="219" spans="1:2" x14ac:dyDescent="0.2">
      <c r="A219" s="3"/>
      <c r="B219" s="3"/>
    </row>
    <row r="220" spans="1:2" x14ac:dyDescent="0.2">
      <c r="A220" s="3"/>
      <c r="B220" s="3"/>
    </row>
    <row r="221" spans="1:2" x14ac:dyDescent="0.2">
      <c r="A221" s="3"/>
      <c r="B221" s="3"/>
    </row>
    <row r="222" spans="1:2" x14ac:dyDescent="0.2">
      <c r="A222" s="3"/>
      <c r="B222" s="3"/>
    </row>
    <row r="223" spans="1:2" x14ac:dyDescent="0.2">
      <c r="A223" s="3"/>
      <c r="B223" s="3"/>
    </row>
    <row r="224" spans="1:2" x14ac:dyDescent="0.2">
      <c r="A224" s="3"/>
      <c r="B224" s="3"/>
    </row>
    <row r="225" spans="1:2" x14ac:dyDescent="0.2">
      <c r="A225" s="3"/>
      <c r="B225" s="3"/>
    </row>
    <row r="226" spans="1:2" x14ac:dyDescent="0.2">
      <c r="A226" s="3"/>
      <c r="B226" s="3"/>
    </row>
    <row r="227" spans="1:2" x14ac:dyDescent="0.2">
      <c r="A227" s="3"/>
      <c r="B227" s="3"/>
    </row>
    <row r="228" spans="1:2" x14ac:dyDescent="0.2">
      <c r="A228" s="3"/>
      <c r="B228" s="3"/>
    </row>
    <row r="229" spans="1:2" x14ac:dyDescent="0.2">
      <c r="A229" s="3"/>
      <c r="B229" s="3"/>
    </row>
    <row r="230" spans="1:2" x14ac:dyDescent="0.2">
      <c r="A230" s="3"/>
      <c r="B230" s="3"/>
    </row>
    <row r="231" spans="1:2" x14ac:dyDescent="0.2">
      <c r="A231" s="3"/>
      <c r="B231" s="3"/>
    </row>
    <row r="232" spans="1:2" x14ac:dyDescent="0.2">
      <c r="A232" s="3"/>
      <c r="B232" s="3"/>
    </row>
    <row r="233" spans="1:2" x14ac:dyDescent="0.2">
      <c r="A233" s="3"/>
      <c r="B233" s="3"/>
    </row>
    <row r="234" spans="1:2" x14ac:dyDescent="0.2">
      <c r="A234" s="3"/>
      <c r="B234" s="3"/>
    </row>
    <row r="235" spans="1:2" x14ac:dyDescent="0.2">
      <c r="A235" s="3"/>
      <c r="B235" s="3"/>
    </row>
    <row r="236" spans="1:2" x14ac:dyDescent="0.2">
      <c r="A236" s="3"/>
      <c r="B236" s="3"/>
    </row>
    <row r="237" spans="1:2" x14ac:dyDescent="0.2">
      <c r="A237" s="3"/>
      <c r="B237" s="3"/>
    </row>
    <row r="238" spans="1:2" x14ac:dyDescent="0.2">
      <c r="A238" s="3"/>
      <c r="B238" s="3"/>
    </row>
    <row r="239" spans="1:2" x14ac:dyDescent="0.2">
      <c r="A239" s="3"/>
      <c r="B239" s="3"/>
    </row>
    <row r="240" spans="1:2" x14ac:dyDescent="0.2">
      <c r="A240" s="3"/>
      <c r="B240" s="3"/>
    </row>
  </sheetData>
  <mergeCells count="125">
    <mergeCell ref="C116:D116"/>
    <mergeCell ref="I116:J116"/>
    <mergeCell ref="X7:Y7"/>
    <mergeCell ref="X22:Y22"/>
    <mergeCell ref="X37:Y37"/>
    <mergeCell ref="X64:Y64"/>
    <mergeCell ref="X33:Y33"/>
    <mergeCell ref="X30:Y30"/>
    <mergeCell ref="C113:D113"/>
    <mergeCell ref="I113:J113"/>
    <mergeCell ref="C109:D109"/>
    <mergeCell ref="I109:J109"/>
    <mergeCell ref="C114:D114"/>
    <mergeCell ref="I114:J114"/>
    <mergeCell ref="C107:D107"/>
    <mergeCell ref="I107:J107"/>
    <mergeCell ref="C108:D108"/>
    <mergeCell ref="I108:J108"/>
    <mergeCell ref="C115:D115"/>
    <mergeCell ref="I115:J115"/>
    <mergeCell ref="C110:D110"/>
    <mergeCell ref="I110:J110"/>
    <mergeCell ref="C111:D111"/>
    <mergeCell ref="I111:J111"/>
    <mergeCell ref="C112:D112"/>
    <mergeCell ref="I112:J112"/>
    <mergeCell ref="C101:D101"/>
    <mergeCell ref="I101:J101"/>
    <mergeCell ref="C102:D102"/>
    <mergeCell ref="I102:J102"/>
    <mergeCell ref="K94:L94"/>
    <mergeCell ref="M94:N94"/>
    <mergeCell ref="C105:D105"/>
    <mergeCell ref="I105:J105"/>
    <mergeCell ref="C106:D106"/>
    <mergeCell ref="I106:J106"/>
    <mergeCell ref="C103:D103"/>
    <mergeCell ref="I103:J103"/>
    <mergeCell ref="C104:D104"/>
    <mergeCell ref="I104:J104"/>
    <mergeCell ref="X94:Y94"/>
    <mergeCell ref="C99:D99"/>
    <mergeCell ref="E99:F99"/>
    <mergeCell ref="G99:H99"/>
    <mergeCell ref="I99:J99"/>
    <mergeCell ref="K99:L99"/>
    <mergeCell ref="M99:N99"/>
    <mergeCell ref="X99:Y99"/>
    <mergeCell ref="I94:J94"/>
    <mergeCell ref="O94:P94"/>
    <mergeCell ref="O99:P99"/>
    <mergeCell ref="Q94:R94"/>
    <mergeCell ref="Q99:R99"/>
    <mergeCell ref="U94:V94"/>
    <mergeCell ref="U99:V99"/>
    <mergeCell ref="E33:F33"/>
    <mergeCell ref="G33:H33"/>
    <mergeCell ref="C64:D64"/>
    <mergeCell ref="E64:F64"/>
    <mergeCell ref="G37:H37"/>
    <mergeCell ref="G64:H64"/>
    <mergeCell ref="C94:D94"/>
    <mergeCell ref="E94:F94"/>
    <mergeCell ref="G94:H94"/>
    <mergeCell ref="G31:H31"/>
    <mergeCell ref="I7:J7"/>
    <mergeCell ref="I22:J22"/>
    <mergeCell ref="I37:J37"/>
    <mergeCell ref="E37:F37"/>
    <mergeCell ref="C37:D37"/>
    <mergeCell ref="C31:D31"/>
    <mergeCell ref="E31:F31"/>
    <mergeCell ref="M7:N7"/>
    <mergeCell ref="M22:N22"/>
    <mergeCell ref="G22:H22"/>
    <mergeCell ref="M37:N37"/>
    <mergeCell ref="I33:J33"/>
    <mergeCell ref="C30:D30"/>
    <mergeCell ref="E30:F30"/>
    <mergeCell ref="G30:H30"/>
    <mergeCell ref="C22:D22"/>
    <mergeCell ref="E22:F22"/>
    <mergeCell ref="M33:N33"/>
    <mergeCell ref="C32:D32"/>
    <mergeCell ref="E32:F32"/>
    <mergeCell ref="G32:H32"/>
    <mergeCell ref="I32:J32"/>
    <mergeCell ref="C33:D33"/>
    <mergeCell ref="I64:J64"/>
    <mergeCell ref="I30:J30"/>
    <mergeCell ref="I31:J31"/>
    <mergeCell ref="M64:N64"/>
    <mergeCell ref="M30:N30"/>
    <mergeCell ref="K7:L7"/>
    <mergeCell ref="K22:L22"/>
    <mergeCell ref="K37:L37"/>
    <mergeCell ref="K64:L64"/>
    <mergeCell ref="K30:L30"/>
    <mergeCell ref="K33:L33"/>
    <mergeCell ref="Q7:R7"/>
    <mergeCell ref="Q22:R22"/>
    <mergeCell ref="Q30:R30"/>
    <mergeCell ref="Q33:R33"/>
    <mergeCell ref="Q37:R37"/>
    <mergeCell ref="Q64:R64"/>
    <mergeCell ref="O7:P7"/>
    <mergeCell ref="O22:P22"/>
    <mergeCell ref="O30:P30"/>
    <mergeCell ref="O33:P33"/>
    <mergeCell ref="O37:P37"/>
    <mergeCell ref="O64:P64"/>
    <mergeCell ref="U7:V7"/>
    <mergeCell ref="U22:V22"/>
    <mergeCell ref="U30:V30"/>
    <mergeCell ref="U33:V33"/>
    <mergeCell ref="U37:V37"/>
    <mergeCell ref="U64:V64"/>
    <mergeCell ref="S94:T94"/>
    <mergeCell ref="S99:T99"/>
    <mergeCell ref="S7:T7"/>
    <mergeCell ref="S22:T22"/>
    <mergeCell ref="S30:T30"/>
    <mergeCell ref="S33:T33"/>
    <mergeCell ref="S37:T37"/>
    <mergeCell ref="S64:T64"/>
  </mergeCells>
  <phoneticPr fontId="3" type="noConversion"/>
  <printOptions horizontalCentered="1"/>
  <pageMargins left="0.5" right="0.5" top="0.5" bottom="0.5" header="0.5" footer="0.5"/>
  <pageSetup scale="60" orientation="landscape" r:id="rId1"/>
  <headerFooter alignWithMargins="0">
    <oddFooter>&amp;R&amp;P of &amp;N
&amp;8&amp;D</oddFooter>
  </headerFooter>
  <rowBreaks count="1" manualBreakCount="1">
    <brk id="59" max="20" man="1"/>
  </rowBreaks>
  <colBreaks count="2" manualBreakCount="2">
    <brk id="23" max="116" man="1"/>
    <brk id="26" max="113" man="1"/>
  </colBreaks>
  <ignoredErrors>
    <ignoredError sqref="M83:M84 M74 S74:S9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1"/>
  <sheetViews>
    <sheetView view="pageBreakPreview" zoomScaleNormal="100" workbookViewId="0">
      <pane xSplit="2" ySplit="1" topLeftCell="O2" activePane="bottomRight" state="frozen"/>
      <selection activeCell="AF81" sqref="AF81"/>
      <selection pane="topRight" activeCell="AF81" sqref="AF81"/>
      <selection pane="bottomLeft" activeCell="AF81" sqref="AF81"/>
      <selection pane="bottomRight" activeCell="AF81" sqref="AF81"/>
    </sheetView>
  </sheetViews>
  <sheetFormatPr defaultColWidth="10.28515625" defaultRowHeight="12.75" x14ac:dyDescent="0.2"/>
  <cols>
    <col min="1" max="1" width="3.7109375" customWidth="1"/>
    <col min="2" max="2" width="31.85546875" customWidth="1"/>
    <col min="3" max="3" width="7.7109375" hidden="1" customWidth="1"/>
    <col min="4" max="4" width="10.5703125" hidden="1" customWidth="1"/>
    <col min="5" max="5" width="7.7109375" hidden="1" customWidth="1"/>
    <col min="6" max="6" width="10.5703125" hidden="1" customWidth="1"/>
    <col min="7" max="7" width="7.7109375" style="115" hidden="1" customWidth="1"/>
    <col min="8" max="8" width="11.28515625" style="115" hidden="1" customWidth="1"/>
    <col min="9" max="9" width="7.7109375" style="115" hidden="1" customWidth="1"/>
    <col min="10" max="10" width="10.5703125" style="115" hidden="1" customWidth="1"/>
    <col min="11" max="11" width="7.7109375" hidden="1" customWidth="1"/>
    <col min="12" max="12" width="10.5703125" hidden="1" customWidth="1"/>
    <col min="13" max="13" width="7.7109375" hidden="1" customWidth="1"/>
    <col min="14" max="14" width="10.7109375" hidden="1" customWidth="1"/>
    <col min="15" max="15" width="7.7109375" customWidth="1"/>
    <col min="16" max="16" width="10.7109375" customWidth="1"/>
    <col min="17" max="17" width="7.7109375" customWidth="1"/>
    <col min="18" max="18" width="10.7109375" customWidth="1"/>
    <col min="19" max="19" width="7.7109375" customWidth="1"/>
    <col min="20" max="20" width="10.7109375" customWidth="1"/>
    <col min="21" max="21" width="7.7109375" customWidth="1"/>
    <col min="22" max="22" width="10.7109375" customWidth="1"/>
    <col min="23" max="23" width="7.7109375" customWidth="1"/>
    <col min="24" max="24" width="10.7109375" customWidth="1"/>
    <col min="25" max="25" width="7.7109375" customWidth="1"/>
    <col min="26" max="26" width="10.7109375" customWidth="1"/>
    <col min="27" max="27" width="1.7109375" customWidth="1"/>
    <col min="28" max="28" width="7.7109375" customWidth="1"/>
    <col min="29" max="29" width="10.5703125" customWidth="1"/>
    <col min="30" max="30" width="1.5703125" customWidth="1"/>
  </cols>
  <sheetData>
    <row r="1" spans="1:31" s="3" customFormat="1" ht="18" x14ac:dyDescent="0.25">
      <c r="A1" s="1183" t="str">
        <f>Dean_AS!A1</f>
        <v>Department Profile Report - FY 2015</v>
      </c>
      <c r="B1" s="1183"/>
      <c r="C1" s="1183"/>
      <c r="D1" s="1183"/>
      <c r="E1" s="1183"/>
      <c r="F1" s="1183"/>
      <c r="G1" s="1183"/>
      <c r="H1" s="1183"/>
      <c r="I1" s="1228"/>
      <c r="J1" s="1228"/>
      <c r="K1" s="1228"/>
      <c r="L1" s="1228"/>
      <c r="M1" s="1228"/>
      <c r="N1" s="1228"/>
      <c r="O1" s="1228"/>
      <c r="P1" s="1228"/>
      <c r="Q1" s="1228"/>
      <c r="R1" s="1228"/>
      <c r="S1" s="1228"/>
      <c r="T1" s="1228"/>
      <c r="U1" s="1228"/>
      <c r="V1" s="1228"/>
      <c r="W1" s="1228"/>
      <c r="X1" s="1228"/>
      <c r="Y1" s="1228"/>
      <c r="Z1" s="1228"/>
      <c r="AA1" s="1228"/>
      <c r="AB1" s="1228"/>
      <c r="AC1" s="1228"/>
    </row>
    <row r="2" spans="1:31" x14ac:dyDescent="0.2">
      <c r="A2" s="1"/>
      <c r="B2" s="3"/>
      <c r="C2" s="3"/>
      <c r="D2" s="3"/>
      <c r="E2" s="3"/>
      <c r="F2" s="3"/>
      <c r="G2" s="117"/>
      <c r="H2" s="117"/>
      <c r="I2" s="117"/>
      <c r="J2" s="117"/>
    </row>
    <row r="3" spans="1:31" x14ac:dyDescent="0.2">
      <c r="A3" s="2" t="s">
        <v>0</v>
      </c>
      <c r="B3" s="117"/>
      <c r="C3" s="3"/>
      <c r="D3" s="3"/>
      <c r="E3" s="3"/>
      <c r="F3" s="3"/>
      <c r="G3" s="117"/>
      <c r="H3" s="117"/>
      <c r="I3" s="117"/>
      <c r="J3" s="117"/>
    </row>
    <row r="4" spans="1:31" x14ac:dyDescent="0.2">
      <c r="A4" s="1"/>
      <c r="B4" s="117"/>
      <c r="C4" s="3"/>
      <c r="D4" s="3"/>
      <c r="E4" s="3"/>
      <c r="F4" s="3"/>
      <c r="G4" s="117"/>
      <c r="H4" s="117"/>
      <c r="I4" s="117"/>
      <c r="J4" s="117"/>
    </row>
    <row r="5" spans="1:31" x14ac:dyDescent="0.2">
      <c r="A5" s="2" t="s">
        <v>77</v>
      </c>
      <c r="B5" s="117"/>
      <c r="C5" s="3"/>
      <c r="D5" s="3"/>
      <c r="E5" s="3"/>
      <c r="F5" s="3"/>
      <c r="G5" s="117"/>
      <c r="H5" s="117"/>
      <c r="I5" s="117"/>
      <c r="J5" s="117"/>
    </row>
    <row r="6" spans="1:31" ht="13.5" thickBot="1" x14ac:dyDescent="0.25">
      <c r="A6" s="2"/>
      <c r="B6" s="117"/>
      <c r="C6" s="3"/>
      <c r="D6" s="3"/>
      <c r="E6" s="3"/>
      <c r="F6" s="3"/>
      <c r="G6" s="117"/>
      <c r="H6" s="117"/>
      <c r="I6" s="117"/>
      <c r="J6" s="117"/>
    </row>
    <row r="7" spans="1:31" ht="14.25" thickTop="1" thickBot="1" x14ac:dyDescent="0.25">
      <c r="A7" s="1"/>
      <c r="B7" s="119"/>
      <c r="C7" s="29" t="s">
        <v>49</v>
      </c>
      <c r="D7" s="51"/>
      <c r="E7" s="29" t="s">
        <v>50</v>
      </c>
      <c r="F7" s="7"/>
      <c r="G7" s="302" t="s">
        <v>141</v>
      </c>
      <c r="H7" s="121"/>
      <c r="I7" s="1994" t="s">
        <v>152</v>
      </c>
      <c r="J7" s="1968"/>
      <c r="K7" s="1994" t="s">
        <v>154</v>
      </c>
      <c r="L7" s="1968"/>
      <c r="M7" s="1994" t="s">
        <v>171</v>
      </c>
      <c r="N7" s="1980"/>
      <c r="O7" s="1968" t="s">
        <v>227</v>
      </c>
      <c r="P7" s="1980"/>
      <c r="Q7" s="1968" t="s">
        <v>237</v>
      </c>
      <c r="R7" s="1980"/>
      <c r="S7" s="1968" t="s">
        <v>272</v>
      </c>
      <c r="T7" s="1980"/>
      <c r="U7" s="1968" t="s">
        <v>274</v>
      </c>
      <c r="V7" s="1980"/>
      <c r="W7" s="1968" t="s">
        <v>280</v>
      </c>
      <c r="X7" s="1980"/>
      <c r="Y7" s="1968" t="s">
        <v>290</v>
      </c>
      <c r="Z7" s="1980"/>
      <c r="AB7" s="2003" t="s">
        <v>213</v>
      </c>
      <c r="AC7" s="2004"/>
    </row>
    <row r="8" spans="1:31" x14ac:dyDescent="0.2">
      <c r="A8" s="1"/>
      <c r="B8" s="122"/>
      <c r="C8" s="42" t="s">
        <v>1</v>
      </c>
      <c r="D8" s="47" t="s">
        <v>2</v>
      </c>
      <c r="E8" s="42" t="s">
        <v>1</v>
      </c>
      <c r="F8" s="8" t="s">
        <v>2</v>
      </c>
      <c r="G8" s="303" t="s">
        <v>1</v>
      </c>
      <c r="H8" s="125" t="s">
        <v>2</v>
      </c>
      <c r="I8" s="124" t="s">
        <v>1</v>
      </c>
      <c r="J8" s="300" t="s">
        <v>2</v>
      </c>
      <c r="K8" s="303" t="s">
        <v>1</v>
      </c>
      <c r="L8" s="300" t="s">
        <v>2</v>
      </c>
      <c r="M8" s="303" t="s">
        <v>1</v>
      </c>
      <c r="N8" s="125" t="s">
        <v>2</v>
      </c>
      <c r="O8" s="124" t="s">
        <v>1</v>
      </c>
      <c r="P8" s="125" t="s">
        <v>2</v>
      </c>
      <c r="Q8" s="124" t="s">
        <v>1</v>
      </c>
      <c r="R8" s="125" t="s">
        <v>2</v>
      </c>
      <c r="S8" s="124" t="s">
        <v>1</v>
      </c>
      <c r="T8" s="125" t="s">
        <v>2</v>
      </c>
      <c r="U8" s="124" t="s">
        <v>1</v>
      </c>
      <c r="V8" s="125" t="s">
        <v>2</v>
      </c>
      <c r="W8" s="124" t="s">
        <v>1</v>
      </c>
      <c r="X8" s="125" t="s">
        <v>2</v>
      </c>
      <c r="Y8" s="124" t="s">
        <v>1</v>
      </c>
      <c r="Z8" s="125" t="s">
        <v>2</v>
      </c>
      <c r="AB8" s="921" t="s">
        <v>214</v>
      </c>
      <c r="AC8" s="922" t="s">
        <v>215</v>
      </c>
    </row>
    <row r="9" spans="1:31" ht="13.5" thickBot="1" x14ac:dyDescent="0.25">
      <c r="A9" s="1"/>
      <c r="B9" s="122"/>
      <c r="C9" s="46" t="s">
        <v>3</v>
      </c>
      <c r="D9" s="48" t="s">
        <v>4</v>
      </c>
      <c r="E9" s="46" t="s">
        <v>3</v>
      </c>
      <c r="F9" s="26" t="s">
        <v>4</v>
      </c>
      <c r="G9" s="304" t="s">
        <v>3</v>
      </c>
      <c r="H9" s="123" t="s">
        <v>4</v>
      </c>
      <c r="I9" s="127" t="s">
        <v>3</v>
      </c>
      <c r="J9" s="301" t="s">
        <v>4</v>
      </c>
      <c r="K9" s="304" t="s">
        <v>3</v>
      </c>
      <c r="L9" s="301" t="s">
        <v>4</v>
      </c>
      <c r="M9" s="304" t="s">
        <v>3</v>
      </c>
      <c r="N9" s="123" t="s">
        <v>4</v>
      </c>
      <c r="O9" s="127" t="s">
        <v>3</v>
      </c>
      <c r="P9" s="123" t="s">
        <v>4</v>
      </c>
      <c r="Q9" s="127" t="s">
        <v>3</v>
      </c>
      <c r="R9" s="123" t="s">
        <v>4</v>
      </c>
      <c r="S9" s="127" t="s">
        <v>3</v>
      </c>
      <c r="T9" s="123" t="s">
        <v>4</v>
      </c>
      <c r="U9" s="127" t="s">
        <v>3</v>
      </c>
      <c r="V9" s="123" t="s">
        <v>4</v>
      </c>
      <c r="W9" s="127" t="s">
        <v>3</v>
      </c>
      <c r="X9" s="123" t="s">
        <v>4</v>
      </c>
      <c r="Y9" s="127" t="s">
        <v>3</v>
      </c>
      <c r="Z9" s="123" t="s">
        <v>4</v>
      </c>
      <c r="AB9" s="923" t="s">
        <v>3</v>
      </c>
      <c r="AC9" s="924" t="s">
        <v>4</v>
      </c>
    </row>
    <row r="10" spans="1:31" x14ac:dyDescent="0.2">
      <c r="A10" s="1"/>
      <c r="B10" s="586" t="s">
        <v>5</v>
      </c>
      <c r="C10" s="130"/>
      <c r="D10" s="131"/>
      <c r="E10" s="130"/>
      <c r="F10" s="150"/>
      <c r="G10" s="305"/>
      <c r="H10" s="131"/>
      <c r="I10" s="130"/>
      <c r="J10" s="150"/>
      <c r="K10" s="305"/>
      <c r="L10" s="150"/>
      <c r="M10" s="305"/>
      <c r="N10" s="131"/>
      <c r="O10" s="130"/>
      <c r="P10" s="131"/>
      <c r="Q10" s="130"/>
      <c r="R10" s="131"/>
      <c r="S10" s="130"/>
      <c r="T10" s="131"/>
      <c r="U10" s="130"/>
      <c r="V10" s="131"/>
      <c r="W10" s="130"/>
      <c r="X10" s="131"/>
      <c r="Y10" s="130"/>
      <c r="Z10" s="131"/>
      <c r="AB10" s="925"/>
      <c r="AC10" s="581"/>
    </row>
    <row r="11" spans="1:31" x14ac:dyDescent="0.2">
      <c r="A11" s="1"/>
      <c r="B11" s="408" t="s">
        <v>61</v>
      </c>
      <c r="C11" s="404"/>
      <c r="D11" s="405"/>
      <c r="E11" s="404"/>
      <c r="F11" s="129"/>
      <c r="G11" s="318"/>
      <c r="H11" s="405"/>
      <c r="I11" s="404"/>
      <c r="J11" s="129"/>
      <c r="K11" s="318"/>
      <c r="L11" s="129"/>
      <c r="M11" s="318"/>
      <c r="N11" s="405"/>
      <c r="O11" s="404"/>
      <c r="P11" s="405"/>
      <c r="Q11" s="404"/>
      <c r="R11" s="405"/>
      <c r="S11" s="404"/>
      <c r="T11" s="405"/>
      <c r="U11" s="404"/>
      <c r="V11" s="405"/>
      <c r="W11" s="404"/>
      <c r="X11" s="405"/>
      <c r="Y11" s="404"/>
      <c r="Z11" s="405"/>
      <c r="AB11" s="926"/>
      <c r="AC11" s="927"/>
    </row>
    <row r="12" spans="1:31" s="617" customFormat="1" x14ac:dyDescent="0.2">
      <c r="A12" s="780"/>
      <c r="B12" s="654" t="s">
        <v>221</v>
      </c>
      <c r="C12" s="664">
        <v>433</v>
      </c>
      <c r="D12" s="663">
        <f>88+5</f>
        <v>93</v>
      </c>
      <c r="E12" s="664">
        <f>378+29</f>
        <v>407</v>
      </c>
      <c r="F12" s="665">
        <v>65</v>
      </c>
      <c r="G12" s="662">
        <v>421</v>
      </c>
      <c r="H12" s="663">
        <v>71</v>
      </c>
      <c r="I12" s="664">
        <v>424</v>
      </c>
      <c r="J12" s="665">
        <f>38+18+1</f>
        <v>57</v>
      </c>
      <c r="K12" s="662">
        <v>371</v>
      </c>
      <c r="L12" s="665">
        <f>69+5</f>
        <v>74</v>
      </c>
      <c r="M12" s="662">
        <v>417</v>
      </c>
      <c r="N12" s="663">
        <v>57</v>
      </c>
      <c r="O12" s="664">
        <v>418</v>
      </c>
      <c r="P12" s="663">
        <f>45+1+3</f>
        <v>49</v>
      </c>
      <c r="Q12" s="664">
        <v>426</v>
      </c>
      <c r="R12" s="663">
        <v>54</v>
      </c>
      <c r="S12" s="664">
        <v>464</v>
      </c>
      <c r="T12" s="663">
        <v>73</v>
      </c>
      <c r="U12" s="664">
        <f>88+324+2</f>
        <v>414</v>
      </c>
      <c r="V12" s="663">
        <v>70</v>
      </c>
      <c r="W12" s="664">
        <v>360</v>
      </c>
      <c r="X12" s="663">
        <v>74</v>
      </c>
      <c r="Y12" s="664">
        <v>329</v>
      </c>
      <c r="Z12" s="1683"/>
      <c r="AB12" s="926">
        <f>AVERAGE(W12,U12,Q12,S12,Y12)</f>
        <v>398.6</v>
      </c>
      <c r="AC12" s="928">
        <f>AVERAGE(X12,V12,R12,T12,P12)</f>
        <v>64</v>
      </c>
    </row>
    <row r="13" spans="1:31" s="617" customFormat="1" ht="13.5" thickBot="1" x14ac:dyDescent="0.25">
      <c r="A13" s="780"/>
      <c r="B13" s="784" t="s">
        <v>167</v>
      </c>
      <c r="C13" s="717">
        <v>26</v>
      </c>
      <c r="D13" s="716">
        <v>7</v>
      </c>
      <c r="E13" s="717">
        <v>30</v>
      </c>
      <c r="F13" s="718">
        <v>4</v>
      </c>
      <c r="G13" s="715">
        <v>30</v>
      </c>
      <c r="H13" s="716">
        <v>16</v>
      </c>
      <c r="I13" s="717">
        <v>23</v>
      </c>
      <c r="J13" s="718">
        <v>8</v>
      </c>
      <c r="K13" s="715">
        <v>24</v>
      </c>
      <c r="L13" s="718">
        <v>8</v>
      </c>
      <c r="M13" s="715">
        <v>18</v>
      </c>
      <c r="N13" s="716">
        <v>7</v>
      </c>
      <c r="O13" s="717">
        <v>20</v>
      </c>
      <c r="P13" s="716">
        <v>5</v>
      </c>
      <c r="Q13" s="717">
        <v>18</v>
      </c>
      <c r="R13" s="716">
        <v>6</v>
      </c>
      <c r="S13" s="717">
        <v>16</v>
      </c>
      <c r="T13" s="716">
        <v>6</v>
      </c>
      <c r="U13" s="717">
        <f>18+1</f>
        <v>19</v>
      </c>
      <c r="V13" s="716">
        <v>6</v>
      </c>
      <c r="W13" s="717">
        <v>18</v>
      </c>
      <c r="X13" s="716">
        <v>3</v>
      </c>
      <c r="Y13" s="717">
        <v>17</v>
      </c>
      <c r="Z13" s="1684"/>
      <c r="AB13" s="929">
        <f>AVERAGE(W13,U13,Q13,S13,Y13)</f>
        <v>17.600000000000001</v>
      </c>
      <c r="AC13" s="928">
        <f>AVERAGE(X13,V13,R13,T13,P13)</f>
        <v>5.2</v>
      </c>
    </row>
    <row r="14" spans="1:31" ht="13.5" thickTop="1" x14ac:dyDescent="0.2">
      <c r="A14" s="1"/>
      <c r="B14" s="70" t="s">
        <v>151</v>
      </c>
      <c r="C14" s="33"/>
      <c r="D14" s="34"/>
      <c r="E14" s="33"/>
      <c r="F14" s="34"/>
      <c r="G14" s="133"/>
      <c r="H14" s="135"/>
      <c r="I14" s="133"/>
      <c r="J14" s="135"/>
      <c r="K14" s="133"/>
      <c r="L14" s="135"/>
      <c r="M14" s="133"/>
      <c r="N14" s="135"/>
      <c r="O14" s="133"/>
      <c r="P14" s="135"/>
      <c r="Q14" s="133"/>
      <c r="R14" s="135"/>
      <c r="S14" s="133"/>
      <c r="T14" s="135"/>
      <c r="U14" s="133"/>
      <c r="V14" s="135"/>
      <c r="W14" s="133"/>
      <c r="X14" s="135"/>
      <c r="Y14" s="133"/>
      <c r="Z14" s="135"/>
      <c r="AC14" s="1012"/>
      <c r="AE14" t="s">
        <v>29</v>
      </c>
    </row>
    <row r="15" spans="1:31" ht="13.5" thickBot="1" x14ac:dyDescent="0.25">
      <c r="A15" s="1"/>
      <c r="B15" s="3"/>
      <c r="C15" s="3"/>
      <c r="D15" s="3"/>
      <c r="E15" s="3"/>
      <c r="F15" s="3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</row>
    <row r="16" spans="1:31" ht="14.25" thickTop="1" thickBot="1" x14ac:dyDescent="0.25">
      <c r="A16" s="1"/>
      <c r="B16" s="340"/>
      <c r="C16" s="2013" t="s">
        <v>49</v>
      </c>
      <c r="D16" s="2014"/>
      <c r="E16" s="2015" t="s">
        <v>50</v>
      </c>
      <c r="F16" s="2015"/>
      <c r="G16" s="2002" t="s">
        <v>141</v>
      </c>
      <c r="H16" s="1982"/>
      <c r="I16" s="1974" t="s">
        <v>152</v>
      </c>
      <c r="J16" s="1974"/>
      <c r="K16" s="2002" t="s">
        <v>154</v>
      </c>
      <c r="L16" s="1974"/>
      <c r="M16" s="2002" t="s">
        <v>171</v>
      </c>
      <c r="N16" s="1982"/>
      <c r="O16" s="1974" t="s">
        <v>227</v>
      </c>
      <c r="P16" s="1982"/>
      <c r="Q16" s="1974" t="s">
        <v>237</v>
      </c>
      <c r="R16" s="1982"/>
      <c r="S16" s="1974" t="s">
        <v>272</v>
      </c>
      <c r="T16" s="1982"/>
      <c r="U16" s="1974" t="s">
        <v>274</v>
      </c>
      <c r="V16" s="1982"/>
      <c r="W16" s="1974" t="s">
        <v>280</v>
      </c>
      <c r="X16" s="1982"/>
      <c r="Y16" s="1974" t="s">
        <v>290</v>
      </c>
      <c r="Z16" s="1982"/>
      <c r="AB16" s="2003" t="s">
        <v>213</v>
      </c>
      <c r="AC16" s="2004"/>
    </row>
    <row r="17" spans="1:32" x14ac:dyDescent="0.2">
      <c r="A17" s="1"/>
      <c r="B17" s="73" t="s">
        <v>7</v>
      </c>
      <c r="C17" s="54"/>
      <c r="D17" s="92"/>
      <c r="E17" s="30"/>
      <c r="F17" s="30"/>
      <c r="G17" s="243"/>
      <c r="H17" s="244"/>
      <c r="I17" s="138"/>
      <c r="J17" s="138"/>
      <c r="K17" s="243"/>
      <c r="L17" s="138"/>
      <c r="M17" s="243"/>
      <c r="N17" s="244"/>
      <c r="O17" s="138"/>
      <c r="P17" s="244"/>
      <c r="Q17" s="138"/>
      <c r="R17" s="244"/>
      <c r="S17" s="138"/>
      <c r="T17" s="244"/>
      <c r="U17" s="138"/>
      <c r="V17" s="244"/>
      <c r="W17" s="138"/>
      <c r="X17" s="244"/>
      <c r="Y17" s="138"/>
      <c r="Z17" s="244"/>
      <c r="AB17" s="831"/>
      <c r="AC17" s="930"/>
    </row>
    <row r="18" spans="1:32" x14ac:dyDescent="0.2">
      <c r="A18" s="1"/>
      <c r="B18" s="78" t="s">
        <v>8</v>
      </c>
      <c r="C18" s="184"/>
      <c r="D18" s="93"/>
      <c r="E18" s="31"/>
      <c r="F18" s="31"/>
      <c r="G18" s="239"/>
      <c r="H18" s="245"/>
      <c r="I18" s="139"/>
      <c r="J18" s="139"/>
      <c r="K18" s="239"/>
      <c r="L18" s="139"/>
      <c r="M18" s="239"/>
      <c r="N18" s="245"/>
      <c r="O18" s="139"/>
      <c r="P18" s="245"/>
      <c r="Q18" s="139"/>
      <c r="R18" s="245"/>
      <c r="S18" s="139"/>
      <c r="T18" s="245"/>
      <c r="U18" s="139"/>
      <c r="V18" s="245"/>
      <c r="W18" s="139"/>
      <c r="X18" s="245"/>
      <c r="Y18" s="139"/>
      <c r="Z18" s="245"/>
      <c r="AB18" s="831"/>
      <c r="AC18" s="930"/>
    </row>
    <row r="19" spans="1:32" x14ac:dyDescent="0.2">
      <c r="A19" s="1"/>
      <c r="B19" s="78" t="s">
        <v>9</v>
      </c>
      <c r="C19" s="184"/>
      <c r="D19" s="165">
        <v>5902</v>
      </c>
      <c r="E19" s="31"/>
      <c r="F19" s="171">
        <v>5799</v>
      </c>
      <c r="G19" s="239"/>
      <c r="H19" s="261">
        <v>5565</v>
      </c>
      <c r="I19" s="139"/>
      <c r="J19" s="183">
        <v>5459</v>
      </c>
      <c r="K19" s="239"/>
      <c r="L19" s="183">
        <v>5567</v>
      </c>
      <c r="M19" s="239"/>
      <c r="N19" s="261">
        <v>6172</v>
      </c>
      <c r="O19" s="139"/>
      <c r="P19" s="261">
        <v>5922</v>
      </c>
      <c r="Q19" s="139"/>
      <c r="R19" s="261">
        <v>5625</v>
      </c>
      <c r="S19" s="139"/>
      <c r="T19" s="261">
        <v>5740</v>
      </c>
      <c r="U19" s="139"/>
      <c r="V19" s="261">
        <v>5697</v>
      </c>
      <c r="W19" s="139"/>
      <c r="X19" s="261">
        <v>4509</v>
      </c>
      <c r="Y19" s="139"/>
      <c r="Z19" s="1656"/>
      <c r="AB19" s="24"/>
      <c r="AC19" s="945">
        <f>AVERAGE(X19,V19,R19,T19,P19)</f>
        <v>5498.6</v>
      </c>
    </row>
    <row r="20" spans="1:32" x14ac:dyDescent="0.2">
      <c r="A20" s="1"/>
      <c r="B20" s="78" t="s">
        <v>10</v>
      </c>
      <c r="C20" s="184"/>
      <c r="D20" s="165">
        <v>4197</v>
      </c>
      <c r="E20" s="31"/>
      <c r="F20" s="171">
        <v>3806</v>
      </c>
      <c r="G20" s="239"/>
      <c r="H20" s="261">
        <v>3976</v>
      </c>
      <c r="I20" s="139"/>
      <c r="J20" s="183">
        <v>3889</v>
      </c>
      <c r="K20" s="239"/>
      <c r="L20" s="183">
        <v>3635</v>
      </c>
      <c r="M20" s="239"/>
      <c r="N20" s="261">
        <v>3674</v>
      </c>
      <c r="O20" s="139"/>
      <c r="P20" s="261">
        <v>3316</v>
      </c>
      <c r="Q20" s="139"/>
      <c r="R20" s="261">
        <v>4032</v>
      </c>
      <c r="S20" s="139"/>
      <c r="T20" s="261">
        <v>4147</v>
      </c>
      <c r="U20" s="139"/>
      <c r="V20" s="261">
        <v>4246</v>
      </c>
      <c r="W20" s="139"/>
      <c r="X20" s="261">
        <v>4795</v>
      </c>
      <c r="Y20" s="139"/>
      <c r="Z20" s="1656"/>
      <c r="AB20" s="12"/>
      <c r="AC20" s="945">
        <f t="shared" ref="AC20:AC23" si="0">AVERAGE(X20,V20,R20,T20,P20)</f>
        <v>4107.2</v>
      </c>
    </row>
    <row r="21" spans="1:32" x14ac:dyDescent="0.2">
      <c r="A21" s="1"/>
      <c r="B21" s="78" t="s">
        <v>11</v>
      </c>
      <c r="C21" s="184"/>
      <c r="D21" s="165">
        <v>357</v>
      </c>
      <c r="E21" s="31"/>
      <c r="F21" s="171">
        <v>417</v>
      </c>
      <c r="G21" s="239"/>
      <c r="H21" s="261">
        <v>420</v>
      </c>
      <c r="I21" s="139"/>
      <c r="J21" s="183">
        <v>344</v>
      </c>
      <c r="K21" s="239"/>
      <c r="L21" s="183">
        <v>415</v>
      </c>
      <c r="M21" s="239"/>
      <c r="N21" s="261">
        <v>247</v>
      </c>
      <c r="O21" s="139"/>
      <c r="P21" s="261">
        <v>312</v>
      </c>
      <c r="Q21" s="139"/>
      <c r="R21" s="261">
        <v>217</v>
      </c>
      <c r="S21" s="139"/>
      <c r="T21" s="261">
        <v>261</v>
      </c>
      <c r="U21" s="139"/>
      <c r="V21" s="261">
        <v>266</v>
      </c>
      <c r="W21" s="139"/>
      <c r="X21" s="261">
        <v>241</v>
      </c>
      <c r="Y21" s="139"/>
      <c r="Z21" s="1656"/>
      <c r="AB21" s="12"/>
      <c r="AC21" s="945">
        <f t="shared" si="0"/>
        <v>259.39999999999998</v>
      </c>
    </row>
    <row r="22" spans="1:32" x14ac:dyDescent="0.2">
      <c r="A22" s="1"/>
      <c r="B22" s="78" t="s">
        <v>12</v>
      </c>
      <c r="C22" s="184"/>
      <c r="D22" s="94">
        <v>0</v>
      </c>
      <c r="E22" s="31"/>
      <c r="F22" s="39">
        <v>0</v>
      </c>
      <c r="G22" s="239"/>
      <c r="H22" s="240">
        <v>0</v>
      </c>
      <c r="I22" s="139"/>
      <c r="J22" s="241">
        <v>0</v>
      </c>
      <c r="K22" s="239"/>
      <c r="L22" s="241">
        <v>0</v>
      </c>
      <c r="M22" s="239"/>
      <c r="N22" s="240">
        <v>0</v>
      </c>
      <c r="O22" s="139"/>
      <c r="P22" s="240">
        <v>0</v>
      </c>
      <c r="Q22" s="139"/>
      <c r="R22" s="240">
        <v>0</v>
      </c>
      <c r="S22" s="139"/>
      <c r="T22" s="240">
        <v>0</v>
      </c>
      <c r="U22" s="139"/>
      <c r="V22" s="240">
        <v>0</v>
      </c>
      <c r="W22" s="139"/>
      <c r="X22" s="240">
        <v>0</v>
      </c>
      <c r="Y22" s="139"/>
      <c r="Z22" s="1685"/>
      <c r="AB22" s="12"/>
      <c r="AC22" s="945">
        <f t="shared" si="0"/>
        <v>0</v>
      </c>
    </row>
    <row r="23" spans="1:32" ht="13.5" thickBot="1" x14ac:dyDescent="0.25">
      <c r="A23" s="1"/>
      <c r="B23" s="79" t="s">
        <v>13</v>
      </c>
      <c r="C23" s="185"/>
      <c r="D23" s="186">
        <f>SUM(D19:D22)</f>
        <v>10456</v>
      </c>
      <c r="E23" s="90"/>
      <c r="F23" s="58">
        <f>SUM(F19:F22)</f>
        <v>10022</v>
      </c>
      <c r="G23" s="246"/>
      <c r="H23" s="247">
        <f>SUM(H19:H22)</f>
        <v>9961</v>
      </c>
      <c r="I23" s="164"/>
      <c r="J23" s="242">
        <f>SUM(J19:J22)</f>
        <v>9692</v>
      </c>
      <c r="K23" s="246"/>
      <c r="L23" s="242">
        <f>SUM(L19:L22)</f>
        <v>9617</v>
      </c>
      <c r="M23" s="246"/>
      <c r="N23" s="247">
        <f>SUM(N19:N22)</f>
        <v>10093</v>
      </c>
      <c r="O23" s="164"/>
      <c r="P23" s="247">
        <f>SUM(P19:P22)</f>
        <v>9550</v>
      </c>
      <c r="Q23" s="164"/>
      <c r="R23" s="247">
        <f>SUM(R19:R22)</f>
        <v>9874</v>
      </c>
      <c r="S23" s="164"/>
      <c r="T23" s="247">
        <f>SUM(T19:T22)</f>
        <v>10148</v>
      </c>
      <c r="U23" s="164"/>
      <c r="V23" s="247">
        <f>SUM(V19:V22)</f>
        <v>10209</v>
      </c>
      <c r="W23" s="164"/>
      <c r="X23" s="247">
        <f>SUM(X19:X22)</f>
        <v>9545</v>
      </c>
      <c r="Y23" s="164"/>
      <c r="Z23" s="1655"/>
      <c r="AA23" s="1035"/>
      <c r="AB23" s="946"/>
      <c r="AC23" s="1008">
        <f t="shared" si="0"/>
        <v>9865.2000000000007</v>
      </c>
    </row>
    <row r="24" spans="1:32" ht="12" customHeight="1" thickTop="1" thickBot="1" x14ac:dyDescent="0.25">
      <c r="A24" s="930"/>
      <c r="B24" s="931" t="s">
        <v>212</v>
      </c>
      <c r="C24" s="1992" t="s">
        <v>51</v>
      </c>
      <c r="D24" s="1997"/>
      <c r="E24" s="1992" t="s">
        <v>52</v>
      </c>
      <c r="F24" s="1997"/>
      <c r="G24" s="1989" t="s">
        <v>184</v>
      </c>
      <c r="H24" s="1981"/>
      <c r="I24" s="1989" t="s">
        <v>185</v>
      </c>
      <c r="J24" s="2005"/>
      <c r="K24" s="1989" t="s">
        <v>202</v>
      </c>
      <c r="L24" s="2005"/>
      <c r="M24" s="1991" t="s">
        <v>203</v>
      </c>
      <c r="N24" s="1981"/>
      <c r="O24" s="1970" t="s">
        <v>228</v>
      </c>
      <c r="P24" s="1981"/>
      <c r="Q24" s="1970" t="s">
        <v>238</v>
      </c>
      <c r="R24" s="1981"/>
      <c r="S24" s="1970" t="s">
        <v>273</v>
      </c>
      <c r="T24" s="1981"/>
      <c r="U24" s="1970" t="s">
        <v>275</v>
      </c>
      <c r="V24" s="1981"/>
      <c r="W24" s="1970" t="s">
        <v>281</v>
      </c>
      <c r="X24" s="1981"/>
      <c r="Y24" s="1970" t="s">
        <v>291</v>
      </c>
      <c r="Z24" s="1981"/>
      <c r="AA24" s="968"/>
      <c r="AB24" s="2009"/>
      <c r="AC24" s="2010" t="e">
        <f>AVERAGE(L24,T24,R24,P24,N24)</f>
        <v>#DIV/0!</v>
      </c>
      <c r="AD24" s="293"/>
      <c r="AE24" s="293" t="s">
        <v>29</v>
      </c>
      <c r="AF24" s="21"/>
    </row>
    <row r="25" spans="1:32" ht="12" customHeight="1" x14ac:dyDescent="0.2">
      <c r="A25" s="930"/>
      <c r="B25" s="933" t="s">
        <v>189</v>
      </c>
      <c r="C25" s="2016">
        <v>0.63400000000000001</v>
      </c>
      <c r="D25" s="2017"/>
      <c r="E25" s="1995">
        <v>0.59299999999999997</v>
      </c>
      <c r="F25" s="1996"/>
      <c r="G25" s="1995">
        <v>0.61299999999999999</v>
      </c>
      <c r="H25" s="1996"/>
      <c r="I25" s="1995">
        <v>0.623</v>
      </c>
      <c r="J25" s="2006"/>
      <c r="K25" s="934"/>
      <c r="L25" s="935">
        <v>0.57399999999999995</v>
      </c>
      <c r="M25" s="936"/>
      <c r="N25" s="1178">
        <v>0.59899999999999998</v>
      </c>
      <c r="O25" s="1176"/>
      <c r="P25" s="1178">
        <v>0.65</v>
      </c>
      <c r="Q25" s="1271"/>
      <c r="R25" s="1178">
        <v>0.63100000000000001</v>
      </c>
      <c r="S25" s="1271"/>
      <c r="T25" s="1178">
        <v>0.70399999999999996</v>
      </c>
      <c r="U25" s="1271"/>
      <c r="V25" s="1178">
        <v>0.61899999999999999</v>
      </c>
      <c r="W25" s="1271"/>
      <c r="X25" s="1178">
        <v>0.60499999999999998</v>
      </c>
      <c r="Y25" s="1271"/>
      <c r="Z25" s="1178">
        <v>0.63300000000000001</v>
      </c>
      <c r="AA25" s="1396"/>
      <c r="AB25" s="938"/>
      <c r="AC25" s="1048">
        <f>AVERAGE(X25,V25,R25,T25,Z25)</f>
        <v>0.63840000000000008</v>
      </c>
      <c r="AD25" s="293"/>
      <c r="AE25" s="293"/>
      <c r="AF25" s="21"/>
    </row>
    <row r="26" spans="1:32" ht="12" customHeight="1" x14ac:dyDescent="0.2">
      <c r="A26" s="930"/>
      <c r="B26" s="940" t="s">
        <v>190</v>
      </c>
      <c r="C26" s="2018">
        <v>4.9000000000000002E-2</v>
      </c>
      <c r="D26" s="2019"/>
      <c r="E26" s="2000">
        <v>5.6000000000000001E-2</v>
      </c>
      <c r="F26" s="2001"/>
      <c r="G26" s="2000">
        <v>5.7000000000000002E-2</v>
      </c>
      <c r="H26" s="2001"/>
      <c r="I26" s="2000">
        <v>4.2000000000000003E-2</v>
      </c>
      <c r="J26" s="2011"/>
      <c r="K26" s="941"/>
      <c r="L26" s="942">
        <v>5.3999999999999999E-2</v>
      </c>
      <c r="M26" s="941"/>
      <c r="N26" s="1179">
        <v>3.3000000000000002E-2</v>
      </c>
      <c r="O26" s="1177"/>
      <c r="P26" s="1179">
        <v>0.04</v>
      </c>
      <c r="Q26" s="1272"/>
      <c r="R26" s="1179">
        <v>3.3000000000000002E-2</v>
      </c>
      <c r="S26" s="1272"/>
      <c r="T26" s="1179">
        <v>3.4000000000000002E-2</v>
      </c>
      <c r="U26" s="1272"/>
      <c r="V26" s="1179">
        <v>3.5999999999999997E-2</v>
      </c>
      <c r="W26" s="1272"/>
      <c r="X26" s="1179">
        <v>3.6999999999999998E-2</v>
      </c>
      <c r="Y26" s="1272"/>
      <c r="Z26" s="1179">
        <v>3.9E-2</v>
      </c>
      <c r="AA26" s="1396"/>
      <c r="AB26" s="938"/>
      <c r="AC26" s="1237">
        <f t="shared" ref="AC26" si="1">AVERAGE(X26,V26,R26,T26,Z26)</f>
        <v>3.5800000000000005E-2</v>
      </c>
      <c r="AD26" s="293"/>
      <c r="AE26" s="293"/>
      <c r="AF26" s="21"/>
    </row>
    <row r="27" spans="1:32" ht="12" customHeight="1" thickBot="1" x14ac:dyDescent="0.25">
      <c r="A27" s="3"/>
      <c r="B27" s="943" t="s">
        <v>191</v>
      </c>
      <c r="C27" s="1998">
        <f>1-C25-C26</f>
        <v>0.317</v>
      </c>
      <c r="D27" s="1999"/>
      <c r="E27" s="1998">
        <f>1-E25-E26</f>
        <v>0.35100000000000003</v>
      </c>
      <c r="F27" s="1999"/>
      <c r="G27" s="1998">
        <f>1-G25-G26</f>
        <v>0.33</v>
      </c>
      <c r="H27" s="1999"/>
      <c r="I27" s="1998">
        <f>1-I25-I26</f>
        <v>0.33500000000000002</v>
      </c>
      <c r="J27" s="1999"/>
      <c r="K27" s="1998">
        <f>1-L25-L26</f>
        <v>0.37200000000000005</v>
      </c>
      <c r="L27" s="1999"/>
      <c r="M27" s="1998">
        <f>1-N25-N26</f>
        <v>0.36799999999999999</v>
      </c>
      <c r="N27" s="1999"/>
      <c r="O27" s="1998">
        <f>1-P25-P26</f>
        <v>0.31</v>
      </c>
      <c r="P27" s="1999"/>
      <c r="Q27" s="1972">
        <f>1-R25-R26</f>
        <v>0.33599999999999997</v>
      </c>
      <c r="R27" s="1973"/>
      <c r="S27" s="1972">
        <f>1-T25-T26</f>
        <v>0.26200000000000001</v>
      </c>
      <c r="T27" s="1973"/>
      <c r="U27" s="1972">
        <f>1-V25-V26</f>
        <v>0.34500000000000003</v>
      </c>
      <c r="V27" s="1973"/>
      <c r="W27" s="1972">
        <f>1-X25-X26</f>
        <v>0.35800000000000004</v>
      </c>
      <c r="X27" s="1973"/>
      <c r="Y27" s="1972">
        <f>1-Z25-Z26</f>
        <v>0.32800000000000001</v>
      </c>
      <c r="Z27" s="1973"/>
      <c r="AA27" s="1398"/>
      <c r="AB27" s="2050">
        <f>1-AC25-AC26</f>
        <v>0.32579999999999992</v>
      </c>
      <c r="AC27" s="2051"/>
      <c r="AD27" s="2047"/>
      <c r="AE27" s="2047"/>
      <c r="AF27" s="21"/>
    </row>
    <row r="28" spans="1:32" s="3" customFormat="1" thickTop="1" x14ac:dyDescent="0.2">
      <c r="B28" s="109"/>
      <c r="C28" s="110"/>
      <c r="D28" s="111"/>
      <c r="E28" s="110"/>
      <c r="F28" s="111"/>
      <c r="G28" s="146"/>
      <c r="H28" s="147"/>
      <c r="I28" s="146"/>
      <c r="J28" s="147"/>
      <c r="K28" s="146"/>
      <c r="L28" s="147"/>
      <c r="M28" s="146"/>
      <c r="N28" s="147"/>
      <c r="O28" s="146"/>
      <c r="P28" s="147"/>
      <c r="Q28" s="146"/>
      <c r="R28" s="147"/>
      <c r="S28" s="146"/>
      <c r="T28" s="147"/>
      <c r="U28" s="146"/>
      <c r="V28" s="147"/>
      <c r="W28" s="146"/>
      <c r="X28" s="147"/>
      <c r="Y28" s="146"/>
      <c r="Z28" s="147"/>
      <c r="AC28" s="578"/>
    </row>
    <row r="29" spans="1:32" s="3" customFormat="1" x14ac:dyDescent="0.2">
      <c r="A29" s="112" t="s">
        <v>68</v>
      </c>
      <c r="B29" s="96"/>
      <c r="C29" s="28"/>
      <c r="D29" s="28"/>
      <c r="E29" s="28"/>
      <c r="F29" s="28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</row>
    <row r="30" spans="1:32" s="3" customFormat="1" ht="13.5" thickBot="1" x14ac:dyDescent="0.25">
      <c r="A30" s="112"/>
      <c r="B30" s="96"/>
      <c r="C30" s="28"/>
      <c r="D30" s="28"/>
      <c r="E30" s="28"/>
      <c r="F30" s="28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</row>
    <row r="31" spans="1:32" s="3" customFormat="1" ht="14.25" thickTop="1" thickBot="1" x14ac:dyDescent="0.25">
      <c r="A31" s="2"/>
      <c r="B31" s="329" t="s">
        <v>69</v>
      </c>
      <c r="C31" s="2013" t="s">
        <v>49</v>
      </c>
      <c r="D31" s="2014"/>
      <c r="E31" s="2015" t="s">
        <v>50</v>
      </c>
      <c r="F31" s="2015"/>
      <c r="G31" s="2002" t="s">
        <v>141</v>
      </c>
      <c r="H31" s="1982"/>
      <c r="I31" s="1974" t="s">
        <v>152</v>
      </c>
      <c r="J31" s="1974"/>
      <c r="K31" s="2002" t="s">
        <v>154</v>
      </c>
      <c r="L31" s="1974"/>
      <c r="M31" s="2002" t="s">
        <v>171</v>
      </c>
      <c r="N31" s="1982"/>
      <c r="O31" s="1974" t="s">
        <v>227</v>
      </c>
      <c r="P31" s="1982"/>
      <c r="Q31" s="1974" t="s">
        <v>237</v>
      </c>
      <c r="R31" s="1982"/>
      <c r="S31" s="1974" t="s">
        <v>272</v>
      </c>
      <c r="T31" s="1982"/>
      <c r="U31" s="1974" t="s">
        <v>274</v>
      </c>
      <c r="V31" s="1982"/>
      <c r="W31" s="1974" t="s">
        <v>280</v>
      </c>
      <c r="X31" s="1982"/>
      <c r="Y31" s="1974" t="s">
        <v>290</v>
      </c>
      <c r="Z31" s="1982"/>
      <c r="AB31" s="2003" t="s">
        <v>213</v>
      </c>
      <c r="AC31" s="2004"/>
    </row>
    <row r="32" spans="1:32" s="3" customFormat="1" x14ac:dyDescent="0.2">
      <c r="A32" s="2"/>
      <c r="B32" s="330" t="s">
        <v>70</v>
      </c>
      <c r="C32" s="184"/>
      <c r="D32" s="93"/>
      <c r="E32" s="31"/>
      <c r="F32" s="31"/>
      <c r="G32" s="239"/>
      <c r="H32" s="245"/>
      <c r="I32" s="139"/>
      <c r="J32" s="139"/>
      <c r="K32" s="239"/>
      <c r="L32" s="139"/>
      <c r="M32" s="239"/>
      <c r="N32" s="245"/>
      <c r="O32" s="139"/>
      <c r="P32" s="245"/>
      <c r="Q32" s="139"/>
      <c r="R32" s="245"/>
      <c r="S32" s="139"/>
      <c r="T32" s="245"/>
      <c r="U32" s="139"/>
      <c r="V32" s="245"/>
      <c r="W32" s="139"/>
      <c r="X32" s="245"/>
      <c r="Y32" s="139"/>
      <c r="Z32" s="245"/>
      <c r="AB32" s="831"/>
      <c r="AC32" s="930"/>
    </row>
    <row r="33" spans="1:29" s="3" customFormat="1" x14ac:dyDescent="0.2">
      <c r="A33" s="2"/>
      <c r="B33" s="331" t="s">
        <v>71</v>
      </c>
      <c r="C33" s="54"/>
      <c r="D33" s="188">
        <v>1321123</v>
      </c>
      <c r="E33" s="30"/>
      <c r="F33" s="205">
        <v>1354829</v>
      </c>
      <c r="G33" s="243"/>
      <c r="H33" s="416">
        <v>1239723</v>
      </c>
      <c r="I33" s="138"/>
      <c r="J33" s="451">
        <v>1223950</v>
      </c>
      <c r="K33" s="243"/>
      <c r="L33" s="451">
        <f>1344177</f>
        <v>1344177</v>
      </c>
      <c r="M33" s="243"/>
      <c r="N33" s="416">
        <v>1517384</v>
      </c>
      <c r="O33" s="138"/>
      <c r="P33" s="416">
        <v>1520971</v>
      </c>
      <c r="Q33" s="138"/>
      <c r="R33" s="416">
        <v>1459594</v>
      </c>
      <c r="S33" s="138"/>
      <c r="T33" s="416">
        <v>1489562</v>
      </c>
      <c r="U33" s="138"/>
      <c r="V33" s="416">
        <v>1706381</v>
      </c>
      <c r="W33" s="138"/>
      <c r="X33" s="416">
        <v>1587307</v>
      </c>
      <c r="Y33" s="138"/>
      <c r="Z33" s="416">
        <v>1739781</v>
      </c>
      <c r="AB33" s="24"/>
      <c r="AC33" s="947">
        <f t="shared" ref="AC33:AC35" si="2">AVERAGE(X33,V33,R33,T33,Z33)</f>
        <v>1596525</v>
      </c>
    </row>
    <row r="34" spans="1:29" s="3" customFormat="1" x14ac:dyDescent="0.2">
      <c r="A34" s="2"/>
      <c r="B34" s="331" t="s">
        <v>247</v>
      </c>
      <c r="C34" s="54"/>
      <c r="D34" s="188"/>
      <c r="E34" s="30"/>
      <c r="F34" s="205"/>
      <c r="G34" s="243"/>
      <c r="H34" s="1439"/>
      <c r="I34" s="138"/>
      <c r="J34" s="451">
        <v>1000</v>
      </c>
      <c r="K34" s="243"/>
      <c r="L34" s="451">
        <v>1000</v>
      </c>
      <c r="M34" s="243"/>
      <c r="N34" s="416">
        <v>1000</v>
      </c>
      <c r="O34" s="138"/>
      <c r="P34" s="416">
        <v>1000</v>
      </c>
      <c r="Q34" s="138"/>
      <c r="R34" s="416">
        <v>1000</v>
      </c>
      <c r="S34" s="138"/>
      <c r="T34" s="416">
        <v>1000</v>
      </c>
      <c r="U34" s="138"/>
      <c r="V34" s="416">
        <v>1000</v>
      </c>
      <c r="W34" s="138"/>
      <c r="X34" s="416">
        <v>1000</v>
      </c>
      <c r="Y34" s="138"/>
      <c r="Z34" s="416">
        <v>1000</v>
      </c>
      <c r="AB34" s="24"/>
      <c r="AC34" s="947">
        <f t="shared" si="2"/>
        <v>1000</v>
      </c>
    </row>
    <row r="35" spans="1:29" s="3" customFormat="1" ht="36" x14ac:dyDescent="0.2">
      <c r="A35" s="2"/>
      <c r="B35" s="332" t="s">
        <v>250</v>
      </c>
      <c r="C35" s="184"/>
      <c r="D35" s="189">
        <v>50746</v>
      </c>
      <c r="E35" s="31"/>
      <c r="F35" s="206">
        <v>35098</v>
      </c>
      <c r="G35" s="239"/>
      <c r="H35" s="369">
        <v>234637</v>
      </c>
      <c r="I35" s="139"/>
      <c r="J35" s="347">
        <v>304781</v>
      </c>
      <c r="K35" s="239"/>
      <c r="L35" s="347">
        <v>263200</v>
      </c>
      <c r="M35" s="239"/>
      <c r="N35" s="369">
        <v>102999</v>
      </c>
      <c r="O35" s="139"/>
      <c r="P35" s="369">
        <v>103141</v>
      </c>
      <c r="Q35" s="139"/>
      <c r="R35" s="369">
        <v>160112</v>
      </c>
      <c r="S35" s="139"/>
      <c r="T35" s="369">
        <v>162348</v>
      </c>
      <c r="U35" s="139"/>
      <c r="V35" s="369">
        <v>83936</v>
      </c>
      <c r="W35" s="139"/>
      <c r="X35" s="369">
        <v>376545</v>
      </c>
      <c r="Y35" s="139"/>
      <c r="Z35" s="369">
        <v>345565</v>
      </c>
      <c r="AB35" s="12"/>
      <c r="AC35" s="947">
        <f t="shared" si="2"/>
        <v>225701.2</v>
      </c>
    </row>
    <row r="36" spans="1:29" s="3" customFormat="1" x14ac:dyDescent="0.2">
      <c r="A36" s="2"/>
      <c r="B36" s="333" t="s">
        <v>72</v>
      </c>
      <c r="C36" s="187"/>
      <c r="D36" s="190">
        <f>SUM(D33:D35)</f>
        <v>1371869</v>
      </c>
      <c r="E36" s="90"/>
      <c r="F36" s="207">
        <f>SUM(F33:F35)</f>
        <v>1389927</v>
      </c>
      <c r="G36" s="262"/>
      <c r="H36" s="263">
        <f>SUM(H33:H35)</f>
        <v>1474360</v>
      </c>
      <c r="I36" s="250"/>
      <c r="J36" s="249">
        <f>SUM(J33:J35)</f>
        <v>1529731</v>
      </c>
      <c r="K36" s="262"/>
      <c r="L36" s="249">
        <f>SUM(L33:L35)</f>
        <v>1608377</v>
      </c>
      <c r="M36" s="262"/>
      <c r="N36" s="263">
        <f>SUM(N33:N35)</f>
        <v>1621383</v>
      </c>
      <c r="O36" s="250"/>
      <c r="P36" s="263">
        <f>SUM(P33:P35)</f>
        <v>1625112</v>
      </c>
      <c r="Q36" s="250"/>
      <c r="R36" s="263">
        <f>SUM(R33:R35)</f>
        <v>1620706</v>
      </c>
      <c r="S36" s="250"/>
      <c r="T36" s="263">
        <f>SUM(T33:T35)</f>
        <v>1652910</v>
      </c>
      <c r="U36" s="250"/>
      <c r="V36" s="263">
        <f>SUM(V33:V35)</f>
        <v>1791317</v>
      </c>
      <c r="W36" s="250"/>
      <c r="X36" s="263">
        <f>SUM(X33:X35)</f>
        <v>1964852</v>
      </c>
      <c r="Y36" s="250"/>
      <c r="Z36" s="263">
        <f>SUM(Z33:Z35)</f>
        <v>2086346</v>
      </c>
      <c r="AB36" s="12"/>
      <c r="AC36" s="947">
        <f>AVERAGE(X36,V36,R36,T36,Z36)</f>
        <v>1823226.2</v>
      </c>
    </row>
    <row r="37" spans="1:29" s="3" customFormat="1" x14ac:dyDescent="0.2">
      <c r="A37" s="2"/>
      <c r="B37" s="330" t="s">
        <v>73</v>
      </c>
      <c r="C37" s="184"/>
      <c r="D37" s="189"/>
      <c r="E37" s="31"/>
      <c r="F37" s="206"/>
      <c r="G37" s="239"/>
      <c r="H37" s="369"/>
      <c r="I37" s="139"/>
      <c r="J37" s="347"/>
      <c r="K37" s="239"/>
      <c r="L37" s="347"/>
      <c r="M37" s="239"/>
      <c r="N37" s="369"/>
      <c r="O37" s="139"/>
      <c r="P37" s="369"/>
      <c r="Q37" s="139"/>
      <c r="R37" s="369"/>
      <c r="S37" s="139"/>
      <c r="T37" s="369"/>
      <c r="U37" s="139"/>
      <c r="V37" s="369"/>
      <c r="W37" s="139"/>
      <c r="X37" s="369"/>
      <c r="Y37" s="139"/>
      <c r="Z37" s="369"/>
      <c r="AB37" s="12"/>
      <c r="AC37" s="947"/>
    </row>
    <row r="38" spans="1:29" s="3" customFormat="1" x14ac:dyDescent="0.2">
      <c r="A38" s="2"/>
      <c r="B38" s="331" t="s">
        <v>71</v>
      </c>
      <c r="C38" s="184"/>
      <c r="D38" s="189"/>
      <c r="E38" s="31"/>
      <c r="F38" s="206"/>
      <c r="G38" s="239"/>
      <c r="H38" s="369"/>
      <c r="I38" s="139"/>
      <c r="J38" s="347"/>
      <c r="K38" s="239"/>
      <c r="L38" s="347"/>
      <c r="M38" s="239"/>
      <c r="N38" s="369"/>
      <c r="O38" s="139"/>
      <c r="P38" s="369"/>
      <c r="Q38" s="139"/>
      <c r="R38" s="369"/>
      <c r="S38" s="139"/>
      <c r="T38" s="369"/>
      <c r="U38" s="139"/>
      <c r="V38" s="369"/>
      <c r="W38" s="139"/>
      <c r="X38" s="369"/>
      <c r="Y38" s="139"/>
      <c r="Z38" s="369"/>
      <c r="AB38" s="12"/>
      <c r="AC38" s="947"/>
    </row>
    <row r="39" spans="1:29" s="3" customFormat="1" x14ac:dyDescent="0.2">
      <c r="A39" s="2"/>
      <c r="B39" s="331" t="s">
        <v>247</v>
      </c>
      <c r="C39" s="184"/>
      <c r="D39" s="189"/>
      <c r="E39" s="31"/>
      <c r="F39" s="206"/>
      <c r="G39" s="239"/>
      <c r="H39" s="369"/>
      <c r="I39" s="139"/>
      <c r="J39" s="347"/>
      <c r="K39" s="239"/>
      <c r="L39" s="347"/>
      <c r="M39" s="239"/>
      <c r="N39" s="369"/>
      <c r="O39" s="139"/>
      <c r="P39" s="369"/>
      <c r="Q39" s="139"/>
      <c r="R39" s="369"/>
      <c r="S39" s="139"/>
      <c r="T39" s="369"/>
      <c r="U39" s="139"/>
      <c r="V39" s="369"/>
      <c r="W39" s="139"/>
      <c r="X39" s="369"/>
      <c r="Y39" s="139"/>
      <c r="Z39" s="369"/>
      <c r="AB39" s="12"/>
      <c r="AC39" s="947"/>
    </row>
    <row r="40" spans="1:29" s="3" customFormat="1" ht="36" x14ac:dyDescent="0.2">
      <c r="A40" s="2"/>
      <c r="B40" s="332" t="s">
        <v>248</v>
      </c>
      <c r="C40" s="184"/>
      <c r="D40" s="189"/>
      <c r="E40" s="31"/>
      <c r="F40" s="206"/>
      <c r="G40" s="239"/>
      <c r="H40" s="369"/>
      <c r="I40" s="139"/>
      <c r="J40" s="347"/>
      <c r="K40" s="239"/>
      <c r="L40" s="347"/>
      <c r="M40" s="239"/>
      <c r="N40" s="369"/>
      <c r="O40" s="139"/>
      <c r="P40" s="369"/>
      <c r="Q40" s="139"/>
      <c r="R40" s="369"/>
      <c r="S40" s="139"/>
      <c r="T40" s="369"/>
      <c r="U40" s="139"/>
      <c r="V40" s="369"/>
      <c r="W40" s="139"/>
      <c r="X40" s="369"/>
      <c r="Y40" s="139"/>
      <c r="Z40" s="369"/>
      <c r="AB40" s="12"/>
      <c r="AC40" s="947"/>
    </row>
    <row r="41" spans="1:29" s="3" customFormat="1" x14ac:dyDescent="0.2">
      <c r="A41" s="2"/>
      <c r="B41" s="333" t="s">
        <v>74</v>
      </c>
      <c r="C41" s="187"/>
      <c r="D41" s="190">
        <f>SUM(D38:D40)</f>
        <v>0</v>
      </c>
      <c r="E41" s="90"/>
      <c r="F41" s="207">
        <f>SUM(F38:F40)</f>
        <v>0</v>
      </c>
      <c r="G41" s="262"/>
      <c r="H41" s="263">
        <f>SUM(H38:H40)</f>
        <v>0</v>
      </c>
      <c r="I41" s="250"/>
      <c r="J41" s="249">
        <f>SUM(J38:J40)</f>
        <v>0</v>
      </c>
      <c r="K41" s="262"/>
      <c r="L41" s="249">
        <f>SUM(L38:L40)</f>
        <v>0</v>
      </c>
      <c r="M41" s="262"/>
      <c r="N41" s="263">
        <f>SUM(N38:N40)</f>
        <v>0</v>
      </c>
      <c r="O41" s="250"/>
      <c r="P41" s="263">
        <f>SUM(P38:P40)</f>
        <v>0</v>
      </c>
      <c r="Q41" s="250"/>
      <c r="R41" s="263">
        <f>SUM(R38:R40)</f>
        <v>0</v>
      </c>
      <c r="S41" s="250"/>
      <c r="T41" s="263">
        <f>SUM(T38:T40)</f>
        <v>0</v>
      </c>
      <c r="U41" s="250"/>
      <c r="V41" s="263">
        <f>SUM(V38:V40)</f>
        <v>0</v>
      </c>
      <c r="W41" s="250"/>
      <c r="X41" s="263">
        <f>SUM(X38:X40)</f>
        <v>0</v>
      </c>
      <c r="Y41" s="250"/>
      <c r="Z41" s="263">
        <f>SUM(Z38:Z40)</f>
        <v>0</v>
      </c>
      <c r="AB41" s="12"/>
      <c r="AC41" s="947">
        <f t="shared" ref="AC41:AC42" si="3">AVERAGE(X41,V41,R41,T41,Z41)</f>
        <v>0</v>
      </c>
    </row>
    <row r="42" spans="1:29" s="3" customFormat="1" ht="13.5" thickBot="1" x14ac:dyDescent="0.25">
      <c r="A42" s="2"/>
      <c r="B42" s="334" t="s">
        <v>75</v>
      </c>
      <c r="C42" s="184"/>
      <c r="D42" s="190">
        <f>SUM(D36,D41)</f>
        <v>1371869</v>
      </c>
      <c r="E42" s="31"/>
      <c r="F42" s="207">
        <f>SUM(F36,F41)</f>
        <v>1389927</v>
      </c>
      <c r="G42" s="239"/>
      <c r="H42" s="263">
        <f>SUM(H36,H41)</f>
        <v>1474360</v>
      </c>
      <c r="I42" s="139"/>
      <c r="J42" s="249">
        <f>SUM(J36,J41)</f>
        <v>1529731</v>
      </c>
      <c r="K42" s="239"/>
      <c r="L42" s="249">
        <f>SUM(L36,L41)</f>
        <v>1608377</v>
      </c>
      <c r="M42" s="239"/>
      <c r="N42" s="263">
        <f>SUM(N36,N41)</f>
        <v>1621383</v>
      </c>
      <c r="O42" s="139"/>
      <c r="P42" s="263">
        <f>SUM(P36,P41)</f>
        <v>1625112</v>
      </c>
      <c r="Q42" s="139"/>
      <c r="R42" s="263">
        <f>SUM(R36,R41)</f>
        <v>1620706</v>
      </c>
      <c r="S42" s="139"/>
      <c r="T42" s="263">
        <f>SUM(T36,T41)</f>
        <v>1652910</v>
      </c>
      <c r="U42" s="139"/>
      <c r="V42" s="263">
        <f>SUM(V36,V41)</f>
        <v>1791317</v>
      </c>
      <c r="W42" s="139"/>
      <c r="X42" s="263">
        <f>SUM(X36,X41)</f>
        <v>1964852</v>
      </c>
      <c r="Y42" s="139"/>
      <c r="Z42" s="263">
        <f>SUM(Z36,Z41)</f>
        <v>2086346</v>
      </c>
      <c r="AB42" s="948"/>
      <c r="AC42" s="947">
        <f t="shared" si="3"/>
        <v>1823226.2</v>
      </c>
    </row>
    <row r="43" spans="1:29" s="3" customFormat="1" ht="12" x14ac:dyDescent="0.2">
      <c r="B43" s="81" t="s">
        <v>259</v>
      </c>
      <c r="C43" s="52"/>
      <c r="D43" s="191"/>
      <c r="E43" s="36"/>
      <c r="F43" s="36"/>
      <c r="G43" s="265"/>
      <c r="H43" s="248"/>
      <c r="I43" s="151"/>
      <c r="J43" s="151"/>
      <c r="K43" s="265"/>
      <c r="L43" s="151"/>
      <c r="M43" s="265"/>
      <c r="N43" s="248"/>
      <c r="O43" s="151"/>
      <c r="P43" s="248"/>
      <c r="Q43" s="151"/>
      <c r="R43" s="248"/>
      <c r="S43" s="151"/>
      <c r="T43" s="248"/>
      <c r="U43" s="151"/>
      <c r="V43" s="248"/>
      <c r="W43" s="151"/>
      <c r="X43" s="248"/>
      <c r="Y43" s="151"/>
      <c r="Z43" s="248"/>
      <c r="AB43" s="831"/>
      <c r="AC43" s="978"/>
    </row>
    <row r="44" spans="1:29" x14ac:dyDescent="0.2">
      <c r="A44" s="1"/>
      <c r="B44" s="78" t="s">
        <v>14</v>
      </c>
      <c r="C44" s="266"/>
      <c r="D44" s="460">
        <f>380943+1155981</f>
        <v>1536924</v>
      </c>
      <c r="E44" s="38"/>
      <c r="F44" s="458">
        <v>1666449</v>
      </c>
      <c r="G44" s="432"/>
      <c r="H44" s="433">
        <v>1710873.9</v>
      </c>
      <c r="I44" s="463"/>
      <c r="J44" s="458">
        <v>1662488.83</v>
      </c>
      <c r="K44" s="432"/>
      <c r="L44" s="826">
        <f>101442+1590312</f>
        <v>1691754</v>
      </c>
      <c r="M44" s="266"/>
      <c r="N44" s="1140">
        <v>1850592</v>
      </c>
      <c r="O44" s="153"/>
      <c r="P44" s="1140">
        <v>1817781</v>
      </c>
      <c r="Q44" s="525"/>
      <c r="R44" s="1140">
        <v>1796168</v>
      </c>
      <c r="S44" s="525"/>
      <c r="T44" s="1140">
        <v>1978265</v>
      </c>
      <c r="U44" s="525"/>
      <c r="V44" s="1140">
        <v>2131974</v>
      </c>
      <c r="W44" s="525"/>
      <c r="X44" s="1140">
        <v>2051777.29</v>
      </c>
      <c r="Y44" s="525"/>
      <c r="Z44" s="1572"/>
      <c r="AB44" s="24"/>
      <c r="AC44" s="949">
        <f>AVERAGE(X44,V44,R44,T44,P44)</f>
        <v>1955193.0579999997</v>
      </c>
    </row>
    <row r="45" spans="1:29" ht="13.5" thickBot="1" x14ac:dyDescent="0.25">
      <c r="A45" s="1"/>
      <c r="B45" s="336" t="s">
        <v>15</v>
      </c>
      <c r="C45" s="192"/>
      <c r="D45" s="208">
        <f>2647</f>
        <v>2647</v>
      </c>
      <c r="E45" s="40"/>
      <c r="F45" s="516">
        <v>17466</v>
      </c>
      <c r="G45" s="596"/>
      <c r="H45" s="517">
        <v>8843</v>
      </c>
      <c r="I45" s="237"/>
      <c r="J45" s="516">
        <v>4944</v>
      </c>
      <c r="K45" s="596"/>
      <c r="L45" s="827">
        <f>10400</f>
        <v>10400</v>
      </c>
      <c r="M45" s="268"/>
      <c r="N45" s="1152">
        <f>23962</f>
        <v>23962</v>
      </c>
      <c r="O45" s="154"/>
      <c r="P45" s="1152">
        <v>23852</v>
      </c>
      <c r="Q45" s="1481"/>
      <c r="R45" s="1152">
        <v>10685.16</v>
      </c>
      <c r="S45" s="1481"/>
      <c r="T45" s="1152">
        <v>9696.6299999999992</v>
      </c>
      <c r="U45" s="1481"/>
      <c r="V45" s="1152">
        <v>12878</v>
      </c>
      <c r="W45" s="1481"/>
      <c r="X45" s="1152">
        <v>24774.959999999999</v>
      </c>
      <c r="Y45" s="1481"/>
      <c r="Z45" s="1573"/>
      <c r="AB45" s="948"/>
      <c r="AC45" s="949">
        <f>AVERAGE(X45,V45,R45,T45,P45)</f>
        <v>16377.35</v>
      </c>
    </row>
    <row r="46" spans="1:29" x14ac:dyDescent="0.2">
      <c r="A46" s="1"/>
      <c r="B46" s="20"/>
      <c r="C46" s="193" t="s">
        <v>133</v>
      </c>
      <c r="D46" s="194" t="s">
        <v>139</v>
      </c>
      <c r="E46" s="166" t="s">
        <v>133</v>
      </c>
      <c r="F46" s="84" t="s">
        <v>139</v>
      </c>
      <c r="G46" s="308" t="s">
        <v>133</v>
      </c>
      <c r="H46" s="417" t="s">
        <v>139</v>
      </c>
      <c r="I46" s="414" t="s">
        <v>133</v>
      </c>
      <c r="J46" s="352" t="s">
        <v>139</v>
      </c>
      <c r="K46" s="308" t="s">
        <v>133</v>
      </c>
      <c r="L46" s="352" t="s">
        <v>139</v>
      </c>
      <c r="M46" s="308" t="s">
        <v>133</v>
      </c>
      <c r="N46" s="417" t="s">
        <v>139</v>
      </c>
      <c r="O46" s="414" t="s">
        <v>133</v>
      </c>
      <c r="P46" s="417" t="s">
        <v>139</v>
      </c>
      <c r="Q46" s="414" t="s">
        <v>133</v>
      </c>
      <c r="R46" s="417" t="s">
        <v>139</v>
      </c>
      <c r="S46" s="414" t="s">
        <v>133</v>
      </c>
      <c r="T46" s="417" t="s">
        <v>139</v>
      </c>
      <c r="U46" s="414" t="s">
        <v>133</v>
      </c>
      <c r="V46" s="417" t="s">
        <v>139</v>
      </c>
      <c r="W46" s="414" t="s">
        <v>133</v>
      </c>
      <c r="X46" s="417" t="s">
        <v>139</v>
      </c>
      <c r="Y46" s="414" t="s">
        <v>133</v>
      </c>
      <c r="Z46" s="417" t="s">
        <v>139</v>
      </c>
      <c r="AB46" s="950" t="s">
        <v>133</v>
      </c>
      <c r="AC46" s="295" t="s">
        <v>139</v>
      </c>
    </row>
    <row r="47" spans="1:29" s="3" customFormat="1" ht="11.45" customHeight="1" x14ac:dyDescent="0.2">
      <c r="B47" s="86" t="s">
        <v>67</v>
      </c>
      <c r="C47" s="475">
        <v>0</v>
      </c>
      <c r="D47" s="1141">
        <v>0</v>
      </c>
      <c r="E47" s="108">
        <v>0</v>
      </c>
      <c r="F47" s="1141">
        <v>0</v>
      </c>
      <c r="G47" s="475">
        <v>0</v>
      </c>
      <c r="H47" s="1141">
        <v>0</v>
      </c>
      <c r="I47" s="475">
        <v>1</v>
      </c>
      <c r="J47" s="1141">
        <v>58205</v>
      </c>
      <c r="K47" s="475">
        <v>0</v>
      </c>
      <c r="L47" s="1139">
        <v>0</v>
      </c>
      <c r="M47" s="475">
        <v>0</v>
      </c>
      <c r="N47" s="1141">
        <v>0</v>
      </c>
      <c r="O47" s="477">
        <v>0</v>
      </c>
      <c r="P47" s="1140">
        <v>0</v>
      </c>
      <c r="Q47" s="477">
        <v>0</v>
      </c>
      <c r="R47" s="1140">
        <v>0</v>
      </c>
      <c r="S47" s="477">
        <v>0</v>
      </c>
      <c r="T47" s="1140">
        <v>0</v>
      </c>
      <c r="U47" s="477">
        <v>0</v>
      </c>
      <c r="V47" s="1140">
        <v>0</v>
      </c>
      <c r="W47" s="477">
        <v>0</v>
      </c>
      <c r="X47" s="1140">
        <v>0</v>
      </c>
      <c r="Y47" s="1769"/>
      <c r="Z47" s="1777"/>
      <c r="AA47" s="1399"/>
      <c r="AB47" s="108">
        <f t="shared" ref="AB47" si="4">AVERAGE(W47,U47,Q47,S47,Y47)</f>
        <v>0</v>
      </c>
      <c r="AC47" s="1120">
        <f t="shared" ref="AC47" si="5">AVERAGE(X47,V47,R47,T47,Z47)</f>
        <v>0</v>
      </c>
    </row>
    <row r="48" spans="1:29" s="3" customFormat="1" ht="11.45" customHeight="1" x14ac:dyDescent="0.2">
      <c r="B48" s="86"/>
      <c r="C48" s="916"/>
      <c r="D48" s="1136"/>
      <c r="E48" s="838"/>
      <c r="F48" s="1136"/>
      <c r="G48" s="916"/>
      <c r="H48" s="1136"/>
      <c r="I48" s="916"/>
      <c r="J48" s="1136"/>
      <c r="K48" s="916"/>
      <c r="L48" s="1126"/>
      <c r="M48" s="916"/>
      <c r="N48" s="1136"/>
      <c r="O48" s="255"/>
      <c r="P48" s="1127"/>
      <c r="Q48" s="255"/>
      <c r="R48" s="1127"/>
      <c r="S48" s="255"/>
      <c r="T48" s="1127"/>
      <c r="U48" s="255"/>
      <c r="V48" s="1127"/>
      <c r="W48" s="255"/>
      <c r="X48" s="1127"/>
      <c r="Y48" s="1771"/>
      <c r="Z48" s="1778"/>
      <c r="AA48" s="1399"/>
      <c r="AB48" s="1013"/>
      <c r="AC48" s="1120"/>
    </row>
    <row r="49" spans="1:29" s="3" customFormat="1" thickBot="1" x14ac:dyDescent="0.25">
      <c r="B49" s="358" t="s">
        <v>16</v>
      </c>
      <c r="C49" s="913">
        <v>0</v>
      </c>
      <c r="D49" s="1142">
        <v>0</v>
      </c>
      <c r="E49" s="839">
        <v>0</v>
      </c>
      <c r="F49" s="1142">
        <v>0</v>
      </c>
      <c r="G49" s="913">
        <v>0</v>
      </c>
      <c r="H49" s="1142">
        <v>0</v>
      </c>
      <c r="I49" s="913">
        <v>0</v>
      </c>
      <c r="J49" s="1142">
        <v>0</v>
      </c>
      <c r="K49" s="913">
        <v>0</v>
      </c>
      <c r="L49" s="1143">
        <v>0</v>
      </c>
      <c r="M49" s="913">
        <v>0</v>
      </c>
      <c r="N49" s="1142">
        <v>0</v>
      </c>
      <c r="O49" s="1489">
        <v>0</v>
      </c>
      <c r="P49" s="1490">
        <v>0</v>
      </c>
      <c r="Q49" s="1489">
        <v>0</v>
      </c>
      <c r="R49" s="1490">
        <v>0</v>
      </c>
      <c r="S49" s="1489">
        <v>0</v>
      </c>
      <c r="T49" s="1490">
        <v>0</v>
      </c>
      <c r="U49" s="1489">
        <v>0</v>
      </c>
      <c r="V49" s="1490">
        <v>0</v>
      </c>
      <c r="W49" s="1489">
        <v>0</v>
      </c>
      <c r="X49" s="1490">
        <v>0</v>
      </c>
      <c r="Y49" s="1779"/>
      <c r="Z49" s="1780"/>
      <c r="AA49" s="1399"/>
      <c r="AB49" s="839">
        <f t="shared" ref="AB49" si="6">AVERAGE(W49,U49,Q49,S49,Y49)</f>
        <v>0</v>
      </c>
      <c r="AC49" s="1121">
        <f t="shared" ref="AC49" si="7">AVERAGE(X49,V49,R49,T49,Z49)</f>
        <v>0</v>
      </c>
    </row>
    <row r="50" spans="1:29" s="3" customFormat="1" thickTop="1" x14ac:dyDescent="0.2">
      <c r="B50" s="81" t="s">
        <v>84</v>
      </c>
      <c r="C50" s="45"/>
      <c r="D50" s="209"/>
      <c r="E50" s="45"/>
      <c r="F50" s="323"/>
      <c r="G50" s="269"/>
      <c r="H50" s="419"/>
      <c r="I50" s="156"/>
      <c r="J50" s="307"/>
      <c r="K50" s="269"/>
      <c r="L50" s="307"/>
      <c r="M50" s="269"/>
      <c r="N50" s="419"/>
      <c r="O50" s="156"/>
      <c r="P50" s="419"/>
      <c r="Q50" s="156"/>
      <c r="R50" s="419"/>
      <c r="S50" s="156"/>
      <c r="T50" s="419"/>
      <c r="U50" s="156"/>
      <c r="V50" s="419"/>
      <c r="W50" s="156"/>
      <c r="X50" s="419"/>
      <c r="Y50" s="156"/>
      <c r="Z50" s="419"/>
      <c r="AA50" s="930"/>
      <c r="AB50" s="2048"/>
      <c r="AC50" s="2049"/>
    </row>
    <row r="51" spans="1:29" s="3" customFormat="1" ht="5.25" customHeight="1" x14ac:dyDescent="0.2">
      <c r="B51" s="337" t="s">
        <v>35</v>
      </c>
      <c r="C51" s="97"/>
      <c r="D51" s="210"/>
      <c r="E51" s="97"/>
      <c r="F51" s="34"/>
      <c r="G51" s="271"/>
      <c r="H51" s="420"/>
      <c r="I51" s="157"/>
      <c r="J51" s="135"/>
      <c r="K51" s="271"/>
      <c r="L51" s="135"/>
      <c r="M51" s="271"/>
      <c r="N51" s="420"/>
      <c r="O51" s="157"/>
      <c r="P51" s="420"/>
      <c r="Q51" s="157"/>
      <c r="R51" s="420"/>
      <c r="S51" s="157"/>
      <c r="T51" s="420"/>
      <c r="U51" s="157"/>
      <c r="V51" s="420"/>
      <c r="W51" s="157"/>
      <c r="X51" s="420"/>
      <c r="Y51" s="157"/>
      <c r="Z51" s="420"/>
      <c r="AA51" s="930"/>
      <c r="AB51" s="720"/>
      <c r="AC51" s="1011"/>
    </row>
    <row r="52" spans="1:29" s="3" customFormat="1" ht="12" x14ac:dyDescent="0.2">
      <c r="B52" s="338" t="s">
        <v>85</v>
      </c>
      <c r="C52" s="35"/>
      <c r="D52" s="232">
        <v>168914</v>
      </c>
      <c r="E52" s="35"/>
      <c r="F52" s="345">
        <v>11186.28</v>
      </c>
      <c r="G52" s="272"/>
      <c r="H52" s="534">
        <v>8300.01</v>
      </c>
      <c r="I52" s="254"/>
      <c r="J52" s="540">
        <v>9325</v>
      </c>
      <c r="K52" s="541"/>
      <c r="L52" s="555">
        <v>16787.5</v>
      </c>
      <c r="M52" s="541"/>
      <c r="N52" s="546">
        <v>28399</v>
      </c>
      <c r="O52" s="508"/>
      <c r="P52" s="546">
        <v>8047</v>
      </c>
      <c r="Q52" s="508"/>
      <c r="R52" s="546">
        <v>43777</v>
      </c>
      <c r="S52" s="508"/>
      <c r="T52" s="546">
        <v>31440.05</v>
      </c>
      <c r="U52" s="508"/>
      <c r="V52" s="546">
        <v>51864.62</v>
      </c>
      <c r="W52" s="508"/>
      <c r="X52" s="546">
        <v>82959.149999999994</v>
      </c>
      <c r="Y52" s="508"/>
      <c r="Z52" s="1574"/>
      <c r="AA52" s="930"/>
      <c r="AB52" s="1013"/>
      <c r="AC52" s="949">
        <f t="shared" ref="AC52:AC53" si="8">AVERAGE(X52,V52,R52,T52,P52)</f>
        <v>43617.563999999998</v>
      </c>
    </row>
    <row r="53" spans="1:29" s="3" customFormat="1" thickBot="1" x14ac:dyDescent="0.25">
      <c r="B53" s="339" t="s">
        <v>86</v>
      </c>
      <c r="C53" s="37"/>
      <c r="D53" s="211">
        <v>0</v>
      </c>
      <c r="E53" s="37"/>
      <c r="F53" s="324">
        <v>0</v>
      </c>
      <c r="G53" s="274"/>
      <c r="H53" s="431">
        <v>0</v>
      </c>
      <c r="I53" s="260"/>
      <c r="J53" s="324">
        <v>0</v>
      </c>
      <c r="K53" s="274"/>
      <c r="L53" s="324">
        <v>0</v>
      </c>
      <c r="M53" s="274"/>
      <c r="N53" s="485">
        <v>0</v>
      </c>
      <c r="O53" s="260"/>
      <c r="P53" s="485">
        <v>0</v>
      </c>
      <c r="Q53" s="260"/>
      <c r="R53" s="485">
        <v>0</v>
      </c>
      <c r="S53" s="260"/>
      <c r="T53" s="485">
        <v>0</v>
      </c>
      <c r="U53" s="260"/>
      <c r="V53" s="485">
        <v>0</v>
      </c>
      <c r="W53" s="260"/>
      <c r="X53" s="485">
        <v>0</v>
      </c>
      <c r="Y53" s="260"/>
      <c r="Z53" s="1575"/>
      <c r="AB53" s="1015"/>
      <c r="AC53" s="1024">
        <f t="shared" si="8"/>
        <v>0</v>
      </c>
    </row>
    <row r="54" spans="1:29" ht="13.5" thickTop="1" x14ac:dyDescent="0.2">
      <c r="A54" s="1"/>
      <c r="B54" s="110"/>
      <c r="C54" s="97"/>
      <c r="D54" s="98"/>
      <c r="E54" s="97"/>
      <c r="F54" s="34"/>
      <c r="G54" s="157"/>
      <c r="H54" s="429"/>
      <c r="I54" s="1591"/>
      <c r="J54" s="135"/>
      <c r="K54" s="157"/>
      <c r="L54" s="135"/>
      <c r="M54" s="157"/>
      <c r="N54" s="135"/>
      <c r="O54" s="157"/>
      <c r="P54" s="135"/>
      <c r="Q54" s="157"/>
      <c r="R54" s="135"/>
      <c r="S54" s="157"/>
      <c r="T54" s="135"/>
      <c r="U54" s="157"/>
      <c r="V54" s="135"/>
      <c r="W54" s="157"/>
      <c r="X54" s="135"/>
      <c r="Y54" s="157"/>
      <c r="Z54" s="135"/>
    </row>
    <row r="55" spans="1:29" x14ac:dyDescent="0.2">
      <c r="A55" s="2" t="s">
        <v>76</v>
      </c>
      <c r="B55" s="96"/>
      <c r="C55" s="97"/>
      <c r="D55" s="98"/>
      <c r="E55" s="97"/>
      <c r="F55" s="34"/>
      <c r="G55" s="157"/>
      <c r="H55" s="135"/>
      <c r="I55" s="157"/>
      <c r="J55" s="135"/>
      <c r="K55" s="157"/>
      <c r="L55" s="135"/>
      <c r="M55" s="157"/>
      <c r="N55" s="135"/>
      <c r="O55" s="157"/>
      <c r="P55" s="135"/>
      <c r="Q55" s="157"/>
      <c r="R55" s="135"/>
      <c r="S55" s="157"/>
      <c r="T55" s="135"/>
      <c r="U55" s="157"/>
      <c r="V55" s="135"/>
      <c r="W55" s="157"/>
      <c r="X55" s="135"/>
      <c r="Y55" s="157"/>
      <c r="Z55" s="135"/>
    </row>
    <row r="56" spans="1:29" ht="13.5" thickBot="1" x14ac:dyDescent="0.25">
      <c r="A56" s="1"/>
      <c r="B56" s="96"/>
      <c r="C56" s="97"/>
      <c r="D56" s="98"/>
      <c r="E56" s="97"/>
      <c r="F56" s="34"/>
      <c r="G56" s="157"/>
      <c r="H56" s="430"/>
      <c r="I56" s="157"/>
      <c r="J56" s="135"/>
      <c r="K56" s="157"/>
      <c r="L56" s="135"/>
      <c r="M56" s="157"/>
      <c r="N56" s="135"/>
      <c r="O56" s="157"/>
      <c r="P56" s="135"/>
      <c r="Q56" s="157"/>
      <c r="R56" s="135"/>
      <c r="S56" s="157"/>
      <c r="T56" s="135"/>
      <c r="U56" s="157"/>
      <c r="V56" s="135"/>
      <c r="W56" s="157"/>
      <c r="X56" s="135"/>
      <c r="Y56" s="157"/>
      <c r="Z56" s="135"/>
    </row>
    <row r="57" spans="1:29" s="3" customFormat="1" ht="14.25" customHeight="1" thickTop="1" thickBot="1" x14ac:dyDescent="0.25">
      <c r="B57" s="340"/>
      <c r="C57" s="2013" t="s">
        <v>49</v>
      </c>
      <c r="D57" s="2014"/>
      <c r="E57" s="2015" t="s">
        <v>50</v>
      </c>
      <c r="F57" s="2015"/>
      <c r="G57" s="2002" t="s">
        <v>141</v>
      </c>
      <c r="H57" s="1982"/>
      <c r="I57" s="1974" t="s">
        <v>152</v>
      </c>
      <c r="J57" s="1974"/>
      <c r="K57" s="2002" t="s">
        <v>154</v>
      </c>
      <c r="L57" s="1974"/>
      <c r="M57" s="2002" t="s">
        <v>171</v>
      </c>
      <c r="N57" s="1982"/>
      <c r="O57" s="1974" t="s">
        <v>227</v>
      </c>
      <c r="P57" s="1982"/>
      <c r="Q57" s="1974" t="s">
        <v>237</v>
      </c>
      <c r="R57" s="1982"/>
      <c r="S57" s="1974" t="s">
        <v>272</v>
      </c>
      <c r="T57" s="1982"/>
      <c r="U57" s="1974" t="s">
        <v>274</v>
      </c>
      <c r="V57" s="1982"/>
      <c r="W57" s="1974" t="s">
        <v>280</v>
      </c>
      <c r="X57" s="1982"/>
      <c r="Y57" s="1974" t="s">
        <v>290</v>
      </c>
      <c r="Z57" s="1982"/>
      <c r="AB57" s="2003" t="s">
        <v>213</v>
      </c>
      <c r="AC57" s="2004"/>
    </row>
    <row r="58" spans="1:29" s="3" customFormat="1" ht="12" x14ac:dyDescent="0.2">
      <c r="B58" s="73" t="s">
        <v>53</v>
      </c>
      <c r="C58" s="54"/>
      <c r="D58" s="92"/>
      <c r="E58" s="30"/>
      <c r="F58" s="30"/>
      <c r="G58" s="243"/>
      <c r="H58" s="244"/>
      <c r="I58" s="138"/>
      <c r="J58" s="138"/>
      <c r="K58" s="243"/>
      <c r="L58" s="138"/>
      <c r="M58" s="243"/>
      <c r="N58" s="244"/>
      <c r="O58" s="138"/>
      <c r="P58" s="244"/>
      <c r="Q58" s="138"/>
      <c r="R58" s="244"/>
      <c r="S58" s="138"/>
      <c r="T58" s="244"/>
      <c r="U58" s="138"/>
      <c r="V58" s="244"/>
      <c r="W58" s="138"/>
      <c r="X58" s="244"/>
      <c r="Y58" s="138"/>
      <c r="Z58" s="244"/>
      <c r="AB58" s="831"/>
      <c r="AC58" s="930"/>
    </row>
    <row r="59" spans="1:29" s="3" customFormat="1" ht="12" x14ac:dyDescent="0.2">
      <c r="B59" s="74" t="s">
        <v>54</v>
      </c>
      <c r="C59" s="184"/>
      <c r="D59" s="165"/>
      <c r="E59" s="31"/>
      <c r="F59" s="171"/>
      <c r="G59" s="239"/>
      <c r="H59" s="261"/>
      <c r="I59" s="139"/>
      <c r="J59" s="183"/>
      <c r="K59" s="239"/>
      <c r="L59" s="183"/>
      <c r="M59" s="239"/>
      <c r="N59" s="261"/>
      <c r="O59" s="139"/>
      <c r="P59" s="261"/>
      <c r="Q59" s="139"/>
      <c r="R59" s="261"/>
      <c r="S59" s="139"/>
      <c r="T59" s="261"/>
      <c r="U59" s="139"/>
      <c r="V59" s="261"/>
      <c r="W59" s="139"/>
      <c r="X59" s="261"/>
      <c r="Y59" s="139"/>
      <c r="Z59" s="261"/>
      <c r="AB59" s="24"/>
      <c r="AC59" s="579"/>
    </row>
    <row r="60" spans="1:29" s="3" customFormat="1" ht="12" x14ac:dyDescent="0.2">
      <c r="B60" s="75" t="s">
        <v>55</v>
      </c>
      <c r="C60" s="184"/>
      <c r="D60" s="165">
        <f>12+6</f>
        <v>18</v>
      </c>
      <c r="E60" s="31"/>
      <c r="F60" s="171">
        <v>17</v>
      </c>
      <c r="G60" s="239"/>
      <c r="H60" s="261">
        <v>17</v>
      </c>
      <c r="I60" s="139"/>
      <c r="J60" s="183">
        <v>18</v>
      </c>
      <c r="K60" s="239"/>
      <c r="L60" s="183">
        <v>18</v>
      </c>
      <c r="M60" s="239"/>
      <c r="N60" s="261">
        <v>18</v>
      </c>
      <c r="O60" s="139"/>
      <c r="P60" s="261">
        <v>18</v>
      </c>
      <c r="Q60" s="139"/>
      <c r="R60" s="261">
        <v>17</v>
      </c>
      <c r="S60" s="139"/>
      <c r="T60" s="261">
        <v>16</v>
      </c>
      <c r="U60" s="139"/>
      <c r="V60" s="261">
        <v>18</v>
      </c>
      <c r="W60" s="139"/>
      <c r="X60" s="261">
        <v>17</v>
      </c>
      <c r="Y60" s="139"/>
      <c r="Z60" s="261">
        <v>18</v>
      </c>
      <c r="AB60" s="12"/>
      <c r="AC60" s="1113">
        <f>AVERAGE(X60,V60,R60,T60,Z60)</f>
        <v>17.2</v>
      </c>
    </row>
    <row r="61" spans="1:29" s="3" customFormat="1" ht="12" x14ac:dyDescent="0.2">
      <c r="B61" s="75" t="s">
        <v>181</v>
      </c>
      <c r="C61" s="184"/>
      <c r="D61" s="165">
        <v>2</v>
      </c>
      <c r="E61" s="31"/>
      <c r="F61" s="171">
        <v>4</v>
      </c>
      <c r="G61" s="239"/>
      <c r="H61" s="261">
        <v>3</v>
      </c>
      <c r="I61" s="139"/>
      <c r="J61" s="183">
        <v>3</v>
      </c>
      <c r="K61" s="239"/>
      <c r="L61" s="183">
        <v>2</v>
      </c>
      <c r="M61" s="239"/>
      <c r="N61" s="261">
        <v>4</v>
      </c>
      <c r="O61" s="139"/>
      <c r="P61" s="261">
        <v>3</v>
      </c>
      <c r="Q61" s="139"/>
      <c r="R61" s="261">
        <v>6</v>
      </c>
      <c r="S61" s="139"/>
      <c r="T61" s="261">
        <v>8</v>
      </c>
      <c r="U61" s="139"/>
      <c r="V61" s="261">
        <v>12</v>
      </c>
      <c r="W61" s="139"/>
      <c r="X61" s="261">
        <v>7</v>
      </c>
      <c r="Y61" s="139"/>
      <c r="Z61" s="261">
        <v>6</v>
      </c>
      <c r="AB61" s="12"/>
      <c r="AC61" s="1113">
        <f t="shared" ref="AC61:AC65" si="9">AVERAGE(X61,V61,R61,T61,P61)</f>
        <v>7.2</v>
      </c>
    </row>
    <row r="62" spans="1:29" s="3" customFormat="1" ht="12" x14ac:dyDescent="0.2">
      <c r="B62" s="74" t="s">
        <v>57</v>
      </c>
      <c r="C62" s="184"/>
      <c r="D62" s="94"/>
      <c r="E62" s="31"/>
      <c r="F62" s="39"/>
      <c r="G62" s="239"/>
      <c r="H62" s="240"/>
      <c r="I62" s="139"/>
      <c r="J62" s="241"/>
      <c r="K62" s="239"/>
      <c r="L62" s="241"/>
      <c r="M62" s="239"/>
      <c r="N62" s="240"/>
      <c r="O62" s="139"/>
      <c r="P62" s="240"/>
      <c r="Q62" s="139"/>
      <c r="R62" s="240"/>
      <c r="S62" s="139"/>
      <c r="T62" s="240"/>
      <c r="U62" s="139"/>
      <c r="V62" s="240"/>
      <c r="W62" s="139"/>
      <c r="X62" s="240"/>
      <c r="Y62" s="139"/>
      <c r="Z62" s="240"/>
      <c r="AB62" s="12"/>
      <c r="AC62" s="1113"/>
    </row>
    <row r="63" spans="1:29" s="3" customFormat="1" ht="12" x14ac:dyDescent="0.2">
      <c r="B63" s="75" t="s">
        <v>55</v>
      </c>
      <c r="C63" s="184"/>
      <c r="D63" s="94">
        <v>0</v>
      </c>
      <c r="E63" s="31"/>
      <c r="F63" s="39">
        <v>0</v>
      </c>
      <c r="G63" s="239"/>
      <c r="H63" s="240">
        <v>0</v>
      </c>
      <c r="I63" s="139"/>
      <c r="J63" s="241">
        <v>0</v>
      </c>
      <c r="K63" s="239"/>
      <c r="L63" s="241">
        <v>0</v>
      </c>
      <c r="M63" s="239"/>
      <c r="N63" s="240">
        <v>0</v>
      </c>
      <c r="O63" s="139"/>
      <c r="P63" s="240">
        <v>0</v>
      </c>
      <c r="Q63" s="139"/>
      <c r="R63" s="240">
        <v>0</v>
      </c>
      <c r="S63" s="139"/>
      <c r="T63" s="240">
        <v>0</v>
      </c>
      <c r="U63" s="139"/>
      <c r="V63" s="240">
        <v>0</v>
      </c>
      <c r="W63" s="139"/>
      <c r="X63" s="240">
        <v>0</v>
      </c>
      <c r="Y63" s="139"/>
      <c r="Z63" s="240">
        <v>0</v>
      </c>
      <c r="AB63" s="12"/>
      <c r="AC63" s="1113">
        <f t="shared" si="9"/>
        <v>0</v>
      </c>
    </row>
    <row r="64" spans="1:29" s="3" customFormat="1" ht="12" x14ac:dyDescent="0.2">
      <c r="B64" s="341" t="s">
        <v>181</v>
      </c>
      <c r="C64" s="184"/>
      <c r="D64" s="94">
        <v>0</v>
      </c>
      <c r="E64" s="31"/>
      <c r="F64" s="39">
        <v>0</v>
      </c>
      <c r="G64" s="239"/>
      <c r="H64" s="240">
        <v>0</v>
      </c>
      <c r="I64" s="139"/>
      <c r="J64" s="241">
        <v>0</v>
      </c>
      <c r="K64" s="239"/>
      <c r="L64" s="241">
        <v>0</v>
      </c>
      <c r="M64" s="239"/>
      <c r="N64" s="240">
        <v>0</v>
      </c>
      <c r="O64" s="139"/>
      <c r="P64" s="240">
        <v>0</v>
      </c>
      <c r="Q64" s="139"/>
      <c r="R64" s="240">
        <v>0</v>
      </c>
      <c r="S64" s="139"/>
      <c r="T64" s="240">
        <v>0</v>
      </c>
      <c r="U64" s="139"/>
      <c r="V64" s="240">
        <v>0</v>
      </c>
      <c r="W64" s="139"/>
      <c r="X64" s="240">
        <v>0</v>
      </c>
      <c r="Y64" s="139"/>
      <c r="Z64" s="240">
        <v>0</v>
      </c>
      <c r="AB64" s="12"/>
      <c r="AC64" s="1113">
        <f t="shared" si="9"/>
        <v>0</v>
      </c>
    </row>
    <row r="65" spans="2:31" s="3" customFormat="1" thickBot="1" x14ac:dyDescent="0.25">
      <c r="B65" s="79" t="s">
        <v>13</v>
      </c>
      <c r="C65" s="233"/>
      <c r="D65" s="234">
        <f>SUM(D60:D64)</f>
        <v>20</v>
      </c>
      <c r="E65" s="107"/>
      <c r="F65" s="106">
        <f>SUM(F60:F64)</f>
        <v>21</v>
      </c>
      <c r="G65" s="297"/>
      <c r="H65" s="427">
        <f>SUM(H60:H64)</f>
        <v>20</v>
      </c>
      <c r="I65" s="426"/>
      <c r="J65" s="454">
        <f>SUM(J60:J64)</f>
        <v>21</v>
      </c>
      <c r="K65" s="297"/>
      <c r="L65" s="454">
        <f>SUM(L60:L64)</f>
        <v>20</v>
      </c>
      <c r="M65" s="297"/>
      <c r="N65" s="427">
        <f>SUM(N60:N64)</f>
        <v>22</v>
      </c>
      <c r="O65" s="426"/>
      <c r="P65" s="427">
        <f>SUM(P60:P64)</f>
        <v>21</v>
      </c>
      <c r="Q65" s="426"/>
      <c r="R65" s="427">
        <f>SUM(R60:R64)</f>
        <v>23</v>
      </c>
      <c r="S65" s="426"/>
      <c r="T65" s="427">
        <f>SUM(T60:T64)</f>
        <v>24</v>
      </c>
      <c r="U65" s="426"/>
      <c r="V65" s="427">
        <f>SUM(V60:V64)</f>
        <v>30</v>
      </c>
      <c r="W65" s="426"/>
      <c r="X65" s="427">
        <f>SUM(X60:X64)</f>
        <v>24</v>
      </c>
      <c r="Y65" s="426"/>
      <c r="Z65" s="427">
        <f>SUM(Z60:Z64)</f>
        <v>24</v>
      </c>
      <c r="AB65" s="831"/>
      <c r="AC65" s="1113">
        <f t="shared" si="9"/>
        <v>24.4</v>
      </c>
    </row>
    <row r="66" spans="2:31" s="3" customFormat="1" thickTop="1" x14ac:dyDescent="0.2">
      <c r="B66" s="342" t="s">
        <v>135</v>
      </c>
      <c r="C66" s="55"/>
      <c r="D66" s="56"/>
      <c r="E66" s="43" t="s">
        <v>133</v>
      </c>
      <c r="F66" s="41" t="s">
        <v>134</v>
      </c>
      <c r="G66" s="317" t="s">
        <v>133</v>
      </c>
      <c r="H66" s="412" t="s">
        <v>134</v>
      </c>
      <c r="I66" s="411" t="s">
        <v>133</v>
      </c>
      <c r="J66" s="449" t="s">
        <v>134</v>
      </c>
      <c r="K66" s="317" t="s">
        <v>133</v>
      </c>
      <c r="L66" s="449" t="s">
        <v>134</v>
      </c>
      <c r="M66" s="317" t="s">
        <v>133</v>
      </c>
      <c r="N66" s="441" t="s">
        <v>134</v>
      </c>
      <c r="O66" s="411" t="s">
        <v>133</v>
      </c>
      <c r="P66" s="412" t="s">
        <v>134</v>
      </c>
      <c r="Q66" s="411" t="s">
        <v>133</v>
      </c>
      <c r="R66" s="412" t="s">
        <v>134</v>
      </c>
      <c r="S66" s="411" t="s">
        <v>133</v>
      </c>
      <c r="T66" s="412" t="s">
        <v>134</v>
      </c>
      <c r="U66" s="411" t="s">
        <v>133</v>
      </c>
      <c r="V66" s="412" t="s">
        <v>134</v>
      </c>
      <c r="W66" s="411" t="s">
        <v>133</v>
      </c>
      <c r="X66" s="412" t="s">
        <v>134</v>
      </c>
      <c r="Y66" s="411" t="s">
        <v>133</v>
      </c>
      <c r="Z66" s="412" t="s">
        <v>134</v>
      </c>
      <c r="AB66" s="952" t="s">
        <v>133</v>
      </c>
      <c r="AC66" s="862" t="s">
        <v>134</v>
      </c>
      <c r="AE66" s="3" t="s">
        <v>29</v>
      </c>
    </row>
    <row r="67" spans="2:31" s="3" customFormat="1" ht="12" x14ac:dyDescent="0.2">
      <c r="B67" s="75" t="s">
        <v>87</v>
      </c>
      <c r="C67" s="215">
        <v>18</v>
      </c>
      <c r="D67" s="216">
        <f>C67/D$65</f>
        <v>0.9</v>
      </c>
      <c r="E67" s="173">
        <v>19</v>
      </c>
      <c r="F67" s="221">
        <f t="shared" ref="F67:H74" si="10">E67/F$65</f>
        <v>0.90476190476190477</v>
      </c>
      <c r="G67" s="215">
        <v>17</v>
      </c>
      <c r="H67" s="216">
        <f t="shared" si="10"/>
        <v>0.85</v>
      </c>
      <c r="I67" s="173">
        <v>20</v>
      </c>
      <c r="J67" s="221">
        <f t="shared" ref="J67:L74" si="11">I67/J$65</f>
        <v>0.95238095238095233</v>
      </c>
      <c r="K67" s="215">
        <v>19</v>
      </c>
      <c r="L67" s="221">
        <f t="shared" si="11"/>
        <v>0.95</v>
      </c>
      <c r="M67" s="215">
        <f>4+16</f>
        <v>20</v>
      </c>
      <c r="N67" s="216">
        <f t="shared" ref="N67:N72" si="12">M67/N$65</f>
        <v>0.90909090909090906</v>
      </c>
      <c r="O67" s="173">
        <v>19</v>
      </c>
      <c r="P67" s="216">
        <f t="shared" ref="P67:P72" si="13">O67/P$65</f>
        <v>0.90476190476190477</v>
      </c>
      <c r="Q67" s="173">
        <v>20</v>
      </c>
      <c r="R67" s="216">
        <f t="shared" ref="R67:R74" si="14">Q67/R$65</f>
        <v>0.86956521739130432</v>
      </c>
      <c r="S67" s="173">
        <f>14+7</f>
        <v>21</v>
      </c>
      <c r="T67" s="216">
        <f t="shared" ref="T67:T74" si="15">S67/T$65</f>
        <v>0.875</v>
      </c>
      <c r="U67" s="173">
        <v>25</v>
      </c>
      <c r="V67" s="216">
        <f t="shared" ref="V67:V74" si="16">U67/V$65</f>
        <v>0.83333333333333337</v>
      </c>
      <c r="W67" s="173">
        <f>7+14</f>
        <v>21</v>
      </c>
      <c r="X67" s="216">
        <f t="shared" ref="X67:Z74" si="17">W67/X$65</f>
        <v>0.875</v>
      </c>
      <c r="Y67" s="173">
        <v>20</v>
      </c>
      <c r="Z67" s="216">
        <f t="shared" si="17"/>
        <v>0.83333333333333337</v>
      </c>
      <c r="AA67" s="930"/>
      <c r="AB67" s="1016">
        <f>AVERAGE(W67,U67,Q67,S67,Y67)</f>
        <v>21.4</v>
      </c>
      <c r="AC67" s="863">
        <f t="shared" ref="AC67:AC86" si="18">AVERAGE(X67,V67,R67,T67,Z67)</f>
        <v>0.8572463768115941</v>
      </c>
    </row>
    <row r="68" spans="2:31" s="3" customFormat="1" ht="12" x14ac:dyDescent="0.2">
      <c r="B68" s="85" t="s">
        <v>88</v>
      </c>
      <c r="C68" s="215">
        <v>0</v>
      </c>
      <c r="D68" s="216">
        <f t="shared" ref="D68:D86" si="19">C68/$D$65</f>
        <v>0</v>
      </c>
      <c r="E68" s="173">
        <v>1</v>
      </c>
      <c r="F68" s="221">
        <f t="shared" si="10"/>
        <v>4.7619047619047616E-2</v>
      </c>
      <c r="G68" s="215">
        <v>0</v>
      </c>
      <c r="H68" s="216">
        <f t="shared" si="10"/>
        <v>0</v>
      </c>
      <c r="I68" s="173">
        <v>0</v>
      </c>
      <c r="J68" s="221">
        <f t="shared" si="11"/>
        <v>0</v>
      </c>
      <c r="K68" s="215">
        <v>0</v>
      </c>
      <c r="L68" s="221">
        <f t="shared" si="11"/>
        <v>0</v>
      </c>
      <c r="M68" s="215">
        <v>1</v>
      </c>
      <c r="N68" s="216">
        <f t="shared" si="12"/>
        <v>4.5454545454545456E-2</v>
      </c>
      <c r="O68" s="173">
        <v>1</v>
      </c>
      <c r="P68" s="216">
        <f t="shared" si="13"/>
        <v>4.7619047619047616E-2</v>
      </c>
      <c r="Q68" s="173">
        <v>1</v>
      </c>
      <c r="R68" s="216">
        <f t="shared" si="14"/>
        <v>4.3478260869565216E-2</v>
      </c>
      <c r="S68" s="173">
        <v>0</v>
      </c>
      <c r="T68" s="216">
        <f t="shared" si="15"/>
        <v>0</v>
      </c>
      <c r="U68" s="173">
        <v>0</v>
      </c>
      <c r="V68" s="216">
        <f t="shared" si="16"/>
        <v>0</v>
      </c>
      <c r="W68" s="173">
        <v>0</v>
      </c>
      <c r="X68" s="216">
        <f t="shared" si="17"/>
        <v>0</v>
      </c>
      <c r="Y68" s="173">
        <v>0</v>
      </c>
      <c r="Z68" s="216">
        <f t="shared" si="17"/>
        <v>0</v>
      </c>
      <c r="AA68" s="930"/>
      <c r="AB68" s="1016">
        <f t="shared" ref="AB68:AB86" si="20">AVERAGE(W68,U68,Q68,S68,Y68)</f>
        <v>0.2</v>
      </c>
      <c r="AC68" s="863">
        <f t="shared" si="18"/>
        <v>8.6956521739130436E-3</v>
      </c>
    </row>
    <row r="69" spans="2:31" s="3" customFormat="1" ht="12" x14ac:dyDescent="0.2">
      <c r="B69" s="85" t="s">
        <v>89</v>
      </c>
      <c r="C69" s="215">
        <v>0</v>
      </c>
      <c r="D69" s="216">
        <f t="shared" si="19"/>
        <v>0</v>
      </c>
      <c r="E69" s="173">
        <v>0</v>
      </c>
      <c r="F69" s="221">
        <f t="shared" si="10"/>
        <v>0</v>
      </c>
      <c r="G69" s="215">
        <v>0</v>
      </c>
      <c r="H69" s="216">
        <f t="shared" si="10"/>
        <v>0</v>
      </c>
      <c r="I69" s="173">
        <v>0</v>
      </c>
      <c r="J69" s="221">
        <f t="shared" si="11"/>
        <v>0</v>
      </c>
      <c r="K69" s="215">
        <v>0</v>
      </c>
      <c r="L69" s="221">
        <f t="shared" si="11"/>
        <v>0</v>
      </c>
      <c r="M69" s="215">
        <v>0</v>
      </c>
      <c r="N69" s="216">
        <f t="shared" si="12"/>
        <v>0</v>
      </c>
      <c r="O69" s="173">
        <v>0</v>
      </c>
      <c r="P69" s="216">
        <f t="shared" si="13"/>
        <v>0</v>
      </c>
      <c r="Q69" s="173">
        <v>0</v>
      </c>
      <c r="R69" s="216">
        <f t="shared" si="14"/>
        <v>0</v>
      </c>
      <c r="S69" s="173">
        <v>0</v>
      </c>
      <c r="T69" s="216">
        <f t="shared" si="15"/>
        <v>0</v>
      </c>
      <c r="U69" s="173">
        <v>2</v>
      </c>
      <c r="V69" s="216">
        <f t="shared" si="16"/>
        <v>6.6666666666666666E-2</v>
      </c>
      <c r="W69" s="173">
        <v>1</v>
      </c>
      <c r="X69" s="216">
        <f t="shared" si="17"/>
        <v>4.1666666666666664E-2</v>
      </c>
      <c r="Y69" s="173">
        <v>2</v>
      </c>
      <c r="Z69" s="216">
        <f t="shared" si="17"/>
        <v>8.3333333333333329E-2</v>
      </c>
      <c r="AA69" s="930"/>
      <c r="AB69" s="1016">
        <f t="shared" si="20"/>
        <v>1</v>
      </c>
      <c r="AC69" s="863">
        <f t="shared" si="18"/>
        <v>3.833333333333333E-2</v>
      </c>
    </row>
    <row r="70" spans="2:31" s="3" customFormat="1" ht="12" x14ac:dyDescent="0.2">
      <c r="B70" s="85" t="s">
        <v>90</v>
      </c>
      <c r="C70" s="215">
        <v>0</v>
      </c>
      <c r="D70" s="216">
        <f t="shared" si="19"/>
        <v>0</v>
      </c>
      <c r="E70" s="173">
        <v>0</v>
      </c>
      <c r="F70" s="221">
        <f t="shared" si="10"/>
        <v>0</v>
      </c>
      <c r="G70" s="215">
        <v>0</v>
      </c>
      <c r="H70" s="216">
        <f t="shared" si="10"/>
        <v>0</v>
      </c>
      <c r="I70" s="173">
        <v>0</v>
      </c>
      <c r="J70" s="221">
        <f t="shared" si="11"/>
        <v>0</v>
      </c>
      <c r="K70" s="215">
        <v>0</v>
      </c>
      <c r="L70" s="221">
        <f t="shared" si="11"/>
        <v>0</v>
      </c>
      <c r="M70" s="215">
        <v>0</v>
      </c>
      <c r="N70" s="216">
        <f t="shared" si="12"/>
        <v>0</v>
      </c>
      <c r="O70" s="173">
        <v>0</v>
      </c>
      <c r="P70" s="216">
        <f t="shared" si="13"/>
        <v>0</v>
      </c>
      <c r="Q70" s="173">
        <v>0</v>
      </c>
      <c r="R70" s="216">
        <f t="shared" si="14"/>
        <v>0</v>
      </c>
      <c r="S70" s="173">
        <v>0</v>
      </c>
      <c r="T70" s="216">
        <f t="shared" si="15"/>
        <v>0</v>
      </c>
      <c r="U70" s="173">
        <v>0</v>
      </c>
      <c r="V70" s="216">
        <f t="shared" si="16"/>
        <v>0</v>
      </c>
      <c r="W70" s="173">
        <v>0</v>
      </c>
      <c r="X70" s="216">
        <f t="shared" si="17"/>
        <v>0</v>
      </c>
      <c r="Y70" s="173">
        <v>0</v>
      </c>
      <c r="Z70" s="216">
        <f t="shared" si="17"/>
        <v>0</v>
      </c>
      <c r="AA70" s="930"/>
      <c r="AB70" s="1016">
        <f t="shared" si="20"/>
        <v>0</v>
      </c>
      <c r="AC70" s="863">
        <f t="shared" si="18"/>
        <v>0</v>
      </c>
    </row>
    <row r="71" spans="2:31" s="3" customFormat="1" ht="12" x14ac:dyDescent="0.2">
      <c r="B71" s="85" t="s">
        <v>91</v>
      </c>
      <c r="C71" s="215">
        <v>2</v>
      </c>
      <c r="D71" s="216">
        <f t="shared" si="19"/>
        <v>0.1</v>
      </c>
      <c r="E71" s="173">
        <v>1</v>
      </c>
      <c r="F71" s="221">
        <f t="shared" si="10"/>
        <v>4.7619047619047616E-2</v>
      </c>
      <c r="G71" s="215">
        <v>1</v>
      </c>
      <c r="H71" s="216">
        <f t="shared" si="10"/>
        <v>0.05</v>
      </c>
      <c r="I71" s="173">
        <v>1</v>
      </c>
      <c r="J71" s="221">
        <f t="shared" si="11"/>
        <v>4.7619047619047616E-2</v>
      </c>
      <c r="K71" s="215">
        <v>1</v>
      </c>
      <c r="L71" s="221">
        <f t="shared" si="11"/>
        <v>0.05</v>
      </c>
      <c r="M71" s="215">
        <v>1</v>
      </c>
      <c r="N71" s="216">
        <f t="shared" si="12"/>
        <v>4.5454545454545456E-2</v>
      </c>
      <c r="O71" s="173">
        <v>1</v>
      </c>
      <c r="P71" s="216">
        <f t="shared" si="13"/>
        <v>4.7619047619047616E-2</v>
      </c>
      <c r="Q71" s="173">
        <v>2</v>
      </c>
      <c r="R71" s="216">
        <f t="shared" si="14"/>
        <v>8.6956521739130432E-2</v>
      </c>
      <c r="S71" s="173">
        <f>1+1</f>
        <v>2</v>
      </c>
      <c r="T71" s="216">
        <f t="shared" si="15"/>
        <v>8.3333333333333329E-2</v>
      </c>
      <c r="U71" s="173">
        <v>2</v>
      </c>
      <c r="V71" s="216">
        <f t="shared" si="16"/>
        <v>6.6666666666666666E-2</v>
      </c>
      <c r="W71" s="173">
        <v>1</v>
      </c>
      <c r="X71" s="216">
        <f t="shared" si="17"/>
        <v>4.1666666666666664E-2</v>
      </c>
      <c r="Y71" s="173">
        <v>1</v>
      </c>
      <c r="Z71" s="216">
        <f t="shared" si="17"/>
        <v>4.1666666666666664E-2</v>
      </c>
      <c r="AA71" s="930"/>
      <c r="AB71" s="1016">
        <f t="shared" si="20"/>
        <v>1.6</v>
      </c>
      <c r="AC71" s="863">
        <f t="shared" si="18"/>
        <v>6.4057971014492759E-2</v>
      </c>
    </row>
    <row r="72" spans="2:31" s="3" customFormat="1" ht="12" x14ac:dyDescent="0.2">
      <c r="B72" s="85" t="s">
        <v>92</v>
      </c>
      <c r="C72" s="215">
        <v>0</v>
      </c>
      <c r="D72" s="216">
        <f t="shared" si="19"/>
        <v>0</v>
      </c>
      <c r="E72" s="173">
        <v>0</v>
      </c>
      <c r="F72" s="221">
        <f t="shared" si="10"/>
        <v>0</v>
      </c>
      <c r="G72" s="215">
        <v>1</v>
      </c>
      <c r="H72" s="216">
        <f t="shared" si="10"/>
        <v>0.05</v>
      </c>
      <c r="I72" s="173">
        <v>0</v>
      </c>
      <c r="J72" s="221">
        <f t="shared" si="11"/>
        <v>0</v>
      </c>
      <c r="K72" s="215">
        <v>0</v>
      </c>
      <c r="L72" s="221">
        <f t="shared" si="11"/>
        <v>0</v>
      </c>
      <c r="M72" s="215">
        <v>0</v>
      </c>
      <c r="N72" s="216">
        <f t="shared" si="12"/>
        <v>0</v>
      </c>
      <c r="O72" s="173">
        <v>0</v>
      </c>
      <c r="P72" s="216">
        <f t="shared" si="13"/>
        <v>0</v>
      </c>
      <c r="Q72" s="173">
        <v>0</v>
      </c>
      <c r="R72" s="216">
        <f t="shared" si="14"/>
        <v>0</v>
      </c>
      <c r="S72" s="173">
        <v>1</v>
      </c>
      <c r="T72" s="216">
        <f t="shared" si="15"/>
        <v>4.1666666666666664E-2</v>
      </c>
      <c r="U72" s="173">
        <v>1</v>
      </c>
      <c r="V72" s="216">
        <f t="shared" si="16"/>
        <v>3.3333333333333333E-2</v>
      </c>
      <c r="W72" s="173">
        <v>1</v>
      </c>
      <c r="X72" s="216">
        <f t="shared" si="17"/>
        <v>4.1666666666666664E-2</v>
      </c>
      <c r="Y72" s="173">
        <v>1</v>
      </c>
      <c r="Z72" s="216">
        <f t="shared" si="17"/>
        <v>4.1666666666666664E-2</v>
      </c>
      <c r="AA72" s="930"/>
      <c r="AB72" s="1016">
        <f t="shared" si="20"/>
        <v>0.8</v>
      </c>
      <c r="AC72" s="863">
        <f t="shared" si="18"/>
        <v>3.1666666666666662E-2</v>
      </c>
    </row>
    <row r="73" spans="2:31" s="3" customFormat="1" ht="12" x14ac:dyDescent="0.2">
      <c r="B73" s="85" t="s">
        <v>256</v>
      </c>
      <c r="C73" s="217"/>
      <c r="D73" s="216"/>
      <c r="E73" s="174"/>
      <c r="F73" s="221"/>
      <c r="G73" s="1501"/>
      <c r="H73" s="1502"/>
      <c r="I73" s="1429"/>
      <c r="J73" s="1503"/>
      <c r="K73" s="1501"/>
      <c r="L73" s="1503"/>
      <c r="M73" s="1501"/>
      <c r="N73" s="1502"/>
      <c r="O73" s="1429"/>
      <c r="P73" s="1502"/>
      <c r="Q73" s="174">
        <v>0</v>
      </c>
      <c r="R73" s="216">
        <f t="shared" si="14"/>
        <v>0</v>
      </c>
      <c r="S73" s="174">
        <v>0</v>
      </c>
      <c r="T73" s="216">
        <f t="shared" si="15"/>
        <v>0</v>
      </c>
      <c r="U73" s="174">
        <v>0</v>
      </c>
      <c r="V73" s="216">
        <f t="shared" si="16"/>
        <v>0</v>
      </c>
      <c r="W73" s="174">
        <v>0</v>
      </c>
      <c r="X73" s="216">
        <f t="shared" si="17"/>
        <v>0</v>
      </c>
      <c r="Y73" s="174">
        <v>0</v>
      </c>
      <c r="Z73" s="216">
        <f t="shared" si="17"/>
        <v>0</v>
      </c>
      <c r="AA73" s="930"/>
      <c r="AB73" s="1016">
        <f t="shared" si="20"/>
        <v>0</v>
      </c>
      <c r="AC73" s="863">
        <f t="shared" si="18"/>
        <v>0</v>
      </c>
    </row>
    <row r="74" spans="2:31" s="3" customFormat="1" ht="12" x14ac:dyDescent="0.2">
      <c r="B74" s="85" t="s">
        <v>93</v>
      </c>
      <c r="C74" s="217">
        <v>0</v>
      </c>
      <c r="D74" s="216">
        <f t="shared" si="19"/>
        <v>0</v>
      </c>
      <c r="E74" s="174">
        <v>0</v>
      </c>
      <c r="F74" s="221">
        <f t="shared" si="10"/>
        <v>0</v>
      </c>
      <c r="G74" s="217">
        <v>1</v>
      </c>
      <c r="H74" s="216">
        <f t="shared" si="10"/>
        <v>0.05</v>
      </c>
      <c r="I74" s="174">
        <v>0</v>
      </c>
      <c r="J74" s="221">
        <f t="shared" si="11"/>
        <v>0</v>
      </c>
      <c r="K74" s="217">
        <v>0</v>
      </c>
      <c r="L74" s="221">
        <f t="shared" si="11"/>
        <v>0</v>
      </c>
      <c r="M74" s="217">
        <v>0</v>
      </c>
      <c r="N74" s="216">
        <f>M74/N$65</f>
        <v>0</v>
      </c>
      <c r="O74" s="174">
        <v>0</v>
      </c>
      <c r="P74" s="216">
        <f>O74/P$65</f>
        <v>0</v>
      </c>
      <c r="Q74" s="174">
        <v>0</v>
      </c>
      <c r="R74" s="216">
        <f t="shared" si="14"/>
        <v>0</v>
      </c>
      <c r="S74" s="174">
        <v>0</v>
      </c>
      <c r="T74" s="216">
        <f t="shared" si="15"/>
        <v>0</v>
      </c>
      <c r="U74" s="174">
        <v>0</v>
      </c>
      <c r="V74" s="216">
        <f t="shared" si="16"/>
        <v>0</v>
      </c>
      <c r="W74" s="174">
        <v>0</v>
      </c>
      <c r="X74" s="216">
        <f t="shared" si="17"/>
        <v>0</v>
      </c>
      <c r="Y74" s="174">
        <v>0</v>
      </c>
      <c r="Z74" s="216">
        <f t="shared" si="17"/>
        <v>0</v>
      </c>
      <c r="AA74" s="930"/>
      <c r="AB74" s="1016">
        <f t="shared" si="20"/>
        <v>0</v>
      </c>
      <c r="AC74" s="863">
        <f t="shared" si="18"/>
        <v>0</v>
      </c>
    </row>
    <row r="75" spans="2:31" s="3" customFormat="1" ht="12" x14ac:dyDescent="0.2">
      <c r="B75" s="343" t="s">
        <v>136</v>
      </c>
      <c r="C75" s="218"/>
      <c r="D75" s="216"/>
      <c r="E75" s="226"/>
      <c r="F75" s="310"/>
      <c r="G75" s="326"/>
      <c r="H75" s="394"/>
      <c r="I75" s="226"/>
      <c r="J75" s="310"/>
      <c r="K75" s="326"/>
      <c r="L75" s="310"/>
      <c r="M75" s="326"/>
      <c r="N75" s="394"/>
      <c r="O75" s="226"/>
      <c r="P75" s="394"/>
      <c r="Q75" s="226"/>
      <c r="R75" s="394"/>
      <c r="S75" s="226"/>
      <c r="T75" s="394"/>
      <c r="U75" s="226"/>
      <c r="V75" s="394"/>
      <c r="W75" s="226"/>
      <c r="X75" s="394"/>
      <c r="Y75" s="226"/>
      <c r="Z75" s="394"/>
      <c r="AA75" s="930"/>
      <c r="AB75" s="1016"/>
      <c r="AC75" s="863"/>
    </row>
    <row r="76" spans="2:31" s="3" customFormat="1" ht="12" x14ac:dyDescent="0.2">
      <c r="B76" s="75" t="s">
        <v>124</v>
      </c>
      <c r="C76" s="229">
        <v>12</v>
      </c>
      <c r="D76" s="216">
        <f t="shared" si="19"/>
        <v>0.6</v>
      </c>
      <c r="E76" s="171">
        <v>12</v>
      </c>
      <c r="F76" s="311">
        <f>E76/F$65</f>
        <v>0.5714285714285714</v>
      </c>
      <c r="G76" s="229">
        <v>10</v>
      </c>
      <c r="H76" s="395">
        <f>G76/H$65</f>
        <v>0.5</v>
      </c>
      <c r="I76" s="183">
        <v>9</v>
      </c>
      <c r="J76" s="221">
        <f>I76/J$65</f>
        <v>0.42857142857142855</v>
      </c>
      <c r="K76" s="229">
        <v>13</v>
      </c>
      <c r="L76" s="221">
        <f>K76/L$65</f>
        <v>0.65</v>
      </c>
      <c r="M76" s="229">
        <f>4+12</f>
        <v>16</v>
      </c>
      <c r="N76" s="216">
        <f>M76/N$65</f>
        <v>0.72727272727272729</v>
      </c>
      <c r="O76" s="183">
        <v>15</v>
      </c>
      <c r="P76" s="216">
        <f>O76/P$65</f>
        <v>0.7142857142857143</v>
      </c>
      <c r="Q76" s="183">
        <v>15</v>
      </c>
      <c r="R76" s="216">
        <f>Q76/R$65</f>
        <v>0.65217391304347827</v>
      </c>
      <c r="S76" s="183">
        <f>10+5</f>
        <v>15</v>
      </c>
      <c r="T76" s="216">
        <f>S76/T$65</f>
        <v>0.625</v>
      </c>
      <c r="U76" s="183">
        <v>18</v>
      </c>
      <c r="V76" s="216">
        <f>U76/V$65</f>
        <v>0.6</v>
      </c>
      <c r="W76" s="183">
        <f>5+9</f>
        <v>14</v>
      </c>
      <c r="X76" s="216">
        <f>W76/X$65</f>
        <v>0.58333333333333337</v>
      </c>
      <c r="Y76" s="183">
        <v>15</v>
      </c>
      <c r="Z76" s="216">
        <f>Y76/Z$65</f>
        <v>0.625</v>
      </c>
      <c r="AA76" s="930"/>
      <c r="AB76" s="1016">
        <f t="shared" si="20"/>
        <v>15.4</v>
      </c>
      <c r="AC76" s="863">
        <f t="shared" si="18"/>
        <v>0.61710144927536237</v>
      </c>
    </row>
    <row r="77" spans="2:31" s="3" customFormat="1" ht="12" x14ac:dyDescent="0.2">
      <c r="B77" s="75" t="s">
        <v>125</v>
      </c>
      <c r="C77" s="230">
        <v>8</v>
      </c>
      <c r="D77" s="216">
        <f t="shared" si="19"/>
        <v>0.4</v>
      </c>
      <c r="E77" s="223">
        <v>9</v>
      </c>
      <c r="F77" s="311">
        <f>E77/F$65</f>
        <v>0.42857142857142855</v>
      </c>
      <c r="G77" s="230">
        <v>10</v>
      </c>
      <c r="H77" s="395">
        <f>G77/H$65</f>
        <v>0.5</v>
      </c>
      <c r="I77" s="283">
        <v>12</v>
      </c>
      <c r="J77" s="221">
        <f>I77/J$65</f>
        <v>0.5714285714285714</v>
      </c>
      <c r="K77" s="230">
        <v>7</v>
      </c>
      <c r="L77" s="221">
        <f>K77/L$65</f>
        <v>0.35</v>
      </c>
      <c r="M77" s="230">
        <v>6</v>
      </c>
      <c r="N77" s="216">
        <f>M77/N$65</f>
        <v>0.27272727272727271</v>
      </c>
      <c r="O77" s="283">
        <v>6</v>
      </c>
      <c r="P77" s="216">
        <f>O77/P$65</f>
        <v>0.2857142857142857</v>
      </c>
      <c r="Q77" s="283">
        <v>8</v>
      </c>
      <c r="R77" s="216">
        <f>Q77/R$65</f>
        <v>0.34782608695652173</v>
      </c>
      <c r="S77" s="283">
        <f>6+3</f>
        <v>9</v>
      </c>
      <c r="T77" s="216">
        <f>S77/T$65</f>
        <v>0.375</v>
      </c>
      <c r="U77" s="283">
        <v>12</v>
      </c>
      <c r="V77" s="216">
        <f>U77/V$65</f>
        <v>0.4</v>
      </c>
      <c r="W77" s="283">
        <f>2+8</f>
        <v>10</v>
      </c>
      <c r="X77" s="216">
        <f>W77/X$65</f>
        <v>0.41666666666666669</v>
      </c>
      <c r="Y77" s="283">
        <v>9</v>
      </c>
      <c r="Z77" s="216">
        <f>Y77/Z$65</f>
        <v>0.375</v>
      </c>
      <c r="AA77" s="930"/>
      <c r="AB77" s="1016">
        <f t="shared" si="20"/>
        <v>9.6</v>
      </c>
      <c r="AC77" s="863">
        <f t="shared" si="18"/>
        <v>0.38289855072463769</v>
      </c>
    </row>
    <row r="78" spans="2:31" s="3" customFormat="1" ht="12" x14ac:dyDescent="0.2">
      <c r="B78" s="343" t="s">
        <v>137</v>
      </c>
      <c r="C78" s="219"/>
      <c r="D78" s="216"/>
      <c r="E78" s="227"/>
      <c r="F78" s="311"/>
      <c r="G78" s="315"/>
      <c r="H78" s="395"/>
      <c r="I78" s="285"/>
      <c r="J78" s="221"/>
      <c r="K78" s="315"/>
      <c r="L78" s="221"/>
      <c r="M78" s="315"/>
      <c r="N78" s="216"/>
      <c r="O78" s="285"/>
      <c r="P78" s="216"/>
      <c r="Q78" s="285"/>
      <c r="R78" s="216"/>
      <c r="S78" s="285"/>
      <c r="T78" s="216"/>
      <c r="U78" s="285"/>
      <c r="V78" s="216"/>
      <c r="W78" s="285"/>
      <c r="X78" s="216"/>
      <c r="Y78" s="285"/>
      <c r="Z78" s="216"/>
      <c r="AA78" s="930"/>
      <c r="AB78" s="1016"/>
      <c r="AC78" s="863"/>
    </row>
    <row r="79" spans="2:31" s="3" customFormat="1" ht="12" x14ac:dyDescent="0.2">
      <c r="B79" s="75" t="s">
        <v>126</v>
      </c>
      <c r="C79" s="224">
        <v>12</v>
      </c>
      <c r="D79" s="216">
        <f t="shared" si="19"/>
        <v>0.6</v>
      </c>
      <c r="E79" s="223">
        <v>11</v>
      </c>
      <c r="F79" s="311">
        <f>E79/F$65</f>
        <v>0.52380952380952384</v>
      </c>
      <c r="G79" s="230">
        <v>10</v>
      </c>
      <c r="H79" s="395">
        <f>G79/H$65</f>
        <v>0.5</v>
      </c>
      <c r="I79" s="283">
        <v>10</v>
      </c>
      <c r="J79" s="221">
        <f>I79/J$65</f>
        <v>0.47619047619047616</v>
      </c>
      <c r="K79" s="230">
        <v>10</v>
      </c>
      <c r="L79" s="221">
        <f>K79/L$65</f>
        <v>0.5</v>
      </c>
      <c r="M79" s="230">
        <f>9</f>
        <v>9</v>
      </c>
      <c r="N79" s="216">
        <f>M79/N$65</f>
        <v>0.40909090909090912</v>
      </c>
      <c r="O79" s="283">
        <v>9</v>
      </c>
      <c r="P79" s="216">
        <f>O79/P$65</f>
        <v>0.42857142857142855</v>
      </c>
      <c r="Q79" s="283">
        <v>8</v>
      </c>
      <c r="R79" s="216">
        <f>Q79/R$65</f>
        <v>0.34782608695652173</v>
      </c>
      <c r="S79" s="283">
        <f>9+1</f>
        <v>10</v>
      </c>
      <c r="T79" s="216">
        <f>S79/T$65</f>
        <v>0.41666666666666669</v>
      </c>
      <c r="U79" s="283">
        <v>9</v>
      </c>
      <c r="V79" s="216">
        <f>U79/V$65</f>
        <v>0.3</v>
      </c>
      <c r="W79" s="283">
        <v>8</v>
      </c>
      <c r="X79" s="216">
        <f>W79/X$65</f>
        <v>0.33333333333333331</v>
      </c>
      <c r="Y79" s="283">
        <v>8</v>
      </c>
      <c r="Z79" s="216">
        <f>Y79/Z$65</f>
        <v>0.33333333333333331</v>
      </c>
      <c r="AA79" s="930"/>
      <c r="AB79" s="1016">
        <f t="shared" si="20"/>
        <v>8.6</v>
      </c>
      <c r="AC79" s="863">
        <f t="shared" si="18"/>
        <v>0.34623188405797101</v>
      </c>
    </row>
    <row r="80" spans="2:31" s="3" customFormat="1" ht="12" x14ac:dyDescent="0.2">
      <c r="B80" s="75" t="s">
        <v>127</v>
      </c>
      <c r="C80" s="224">
        <v>6</v>
      </c>
      <c r="D80" s="216">
        <f t="shared" si="19"/>
        <v>0.3</v>
      </c>
      <c r="E80" s="223">
        <v>6</v>
      </c>
      <c r="F80" s="311">
        <f>E80/F$65</f>
        <v>0.2857142857142857</v>
      </c>
      <c r="G80" s="230">
        <v>5</v>
      </c>
      <c r="H80" s="395">
        <f>G80/H$65</f>
        <v>0.25</v>
      </c>
      <c r="I80" s="283">
        <v>4</v>
      </c>
      <c r="J80" s="221">
        <f>I80/J$65</f>
        <v>0.19047619047619047</v>
      </c>
      <c r="K80" s="230">
        <v>7</v>
      </c>
      <c r="L80" s="221">
        <f>K80/L$65</f>
        <v>0.35</v>
      </c>
      <c r="M80" s="230">
        <v>8</v>
      </c>
      <c r="N80" s="216">
        <f>M80/N$65</f>
        <v>0.36363636363636365</v>
      </c>
      <c r="O80" s="283">
        <v>8</v>
      </c>
      <c r="P80" s="216">
        <f>O80/P$65</f>
        <v>0.38095238095238093</v>
      </c>
      <c r="Q80" s="283">
        <v>9</v>
      </c>
      <c r="R80" s="216">
        <f>Q80/R$65</f>
        <v>0.39130434782608697</v>
      </c>
      <c r="S80" s="283">
        <v>7</v>
      </c>
      <c r="T80" s="216">
        <f>S80/T$65</f>
        <v>0.29166666666666669</v>
      </c>
      <c r="U80" s="283">
        <v>10</v>
      </c>
      <c r="V80" s="216">
        <f>U80/V$65</f>
        <v>0.33333333333333331</v>
      </c>
      <c r="W80" s="283">
        <v>9</v>
      </c>
      <c r="X80" s="216">
        <f>W80/X$65</f>
        <v>0.375</v>
      </c>
      <c r="Y80" s="283">
        <v>10</v>
      </c>
      <c r="Z80" s="216">
        <f>Y80/Z$65</f>
        <v>0.41666666666666669</v>
      </c>
      <c r="AA80" s="930"/>
      <c r="AB80" s="1016">
        <f t="shared" si="20"/>
        <v>9</v>
      </c>
      <c r="AC80" s="863">
        <f t="shared" si="18"/>
        <v>0.36159420289855071</v>
      </c>
    </row>
    <row r="81" spans="1:32" s="3" customFormat="1" ht="12" x14ac:dyDescent="0.2">
      <c r="B81" s="75" t="s">
        <v>128</v>
      </c>
      <c r="C81" s="224">
        <v>2</v>
      </c>
      <c r="D81" s="216">
        <f t="shared" si="19"/>
        <v>0.1</v>
      </c>
      <c r="E81" s="223">
        <v>4</v>
      </c>
      <c r="F81" s="311">
        <f>E81/F$65</f>
        <v>0.19047619047619047</v>
      </c>
      <c r="G81" s="230">
        <v>5</v>
      </c>
      <c r="H81" s="395">
        <f>G81/H$65</f>
        <v>0.25</v>
      </c>
      <c r="I81" s="283">
        <v>7</v>
      </c>
      <c r="J81" s="221">
        <f>I81/J$65</f>
        <v>0.33333333333333331</v>
      </c>
      <c r="K81" s="230">
        <v>3</v>
      </c>
      <c r="L81" s="221">
        <f>K81/L$65</f>
        <v>0.15</v>
      </c>
      <c r="M81" s="230">
        <f>4+1</f>
        <v>5</v>
      </c>
      <c r="N81" s="216">
        <f>M81/N$65</f>
        <v>0.22727272727272727</v>
      </c>
      <c r="O81" s="283">
        <v>4</v>
      </c>
      <c r="P81" s="216">
        <f>O81/P$65</f>
        <v>0.19047619047619047</v>
      </c>
      <c r="Q81" s="283">
        <v>6</v>
      </c>
      <c r="R81" s="216">
        <f>Q81/R$65</f>
        <v>0.2608695652173913</v>
      </c>
      <c r="S81" s="283">
        <f>7</f>
        <v>7</v>
      </c>
      <c r="T81" s="216">
        <f>S81/T$65</f>
        <v>0.29166666666666669</v>
      </c>
      <c r="U81" s="283">
        <v>11</v>
      </c>
      <c r="V81" s="216">
        <f>U81/V$65</f>
        <v>0.36666666666666664</v>
      </c>
      <c r="W81" s="283">
        <v>7</v>
      </c>
      <c r="X81" s="216">
        <f>W81/X$65</f>
        <v>0.29166666666666669</v>
      </c>
      <c r="Y81" s="283">
        <v>6</v>
      </c>
      <c r="Z81" s="216">
        <f>Y81/Z$65</f>
        <v>0.25</v>
      </c>
      <c r="AA81" s="930"/>
      <c r="AB81" s="1016">
        <f t="shared" si="20"/>
        <v>7.4</v>
      </c>
      <c r="AC81" s="863">
        <f t="shared" si="18"/>
        <v>0.29217391304347828</v>
      </c>
    </row>
    <row r="82" spans="1:32" s="3" customFormat="1" ht="12" x14ac:dyDescent="0.2">
      <c r="B82" s="343" t="s">
        <v>138</v>
      </c>
      <c r="C82" s="219"/>
      <c r="D82" s="216"/>
      <c r="E82" s="227"/>
      <c r="F82" s="311"/>
      <c r="G82" s="315"/>
      <c r="H82" s="395"/>
      <c r="I82" s="285"/>
      <c r="J82" s="221"/>
      <c r="K82" s="315"/>
      <c r="L82" s="221"/>
      <c r="M82" s="315"/>
      <c r="N82" s="216"/>
      <c r="O82" s="285"/>
      <c r="P82" s="216"/>
      <c r="Q82" s="285"/>
      <c r="R82" s="216"/>
      <c r="S82" s="285"/>
      <c r="T82" s="216"/>
      <c r="U82" s="285"/>
      <c r="V82" s="216"/>
      <c r="W82" s="285"/>
      <c r="X82" s="216"/>
      <c r="Y82" s="285"/>
      <c r="Z82" s="216"/>
      <c r="AA82" s="930"/>
      <c r="AB82" s="1016"/>
      <c r="AC82" s="863"/>
    </row>
    <row r="83" spans="1:32" s="3" customFormat="1" ht="12" x14ac:dyDescent="0.2">
      <c r="B83" s="75" t="s">
        <v>129</v>
      </c>
      <c r="C83" s="224">
        <v>3</v>
      </c>
      <c r="D83" s="216">
        <f t="shared" si="19"/>
        <v>0.15</v>
      </c>
      <c r="E83" s="223">
        <v>3</v>
      </c>
      <c r="F83" s="311">
        <f>E83/F$65</f>
        <v>0.14285714285714285</v>
      </c>
      <c r="G83" s="230">
        <v>3</v>
      </c>
      <c r="H83" s="395">
        <f>G83/H$65</f>
        <v>0.15</v>
      </c>
      <c r="I83" s="283">
        <v>2</v>
      </c>
      <c r="J83" s="221">
        <f>I83/J$65</f>
        <v>9.5238095238095233E-2</v>
      </c>
      <c r="K83" s="230">
        <v>3</v>
      </c>
      <c r="L83" s="221">
        <f>K83/L$65</f>
        <v>0.15</v>
      </c>
      <c r="M83" s="230">
        <v>3</v>
      </c>
      <c r="N83" s="216">
        <f>M83/N$65</f>
        <v>0.13636363636363635</v>
      </c>
      <c r="O83" s="283">
        <v>3</v>
      </c>
      <c r="P83" s="216">
        <f>O83/P$65</f>
        <v>0.14285714285714285</v>
      </c>
      <c r="Q83" s="283">
        <v>3</v>
      </c>
      <c r="R83" s="216">
        <f>Q83/R$65</f>
        <v>0.13043478260869565</v>
      </c>
      <c r="S83" s="283">
        <f>2+1</f>
        <v>3</v>
      </c>
      <c r="T83" s="216">
        <f>S83/T$65</f>
        <v>0.125</v>
      </c>
      <c r="U83" s="283">
        <v>3</v>
      </c>
      <c r="V83" s="216">
        <f>U83/V$65</f>
        <v>0.1</v>
      </c>
      <c r="W83" s="283">
        <v>2</v>
      </c>
      <c r="X83" s="216">
        <f>W83/X$65</f>
        <v>8.3333333333333329E-2</v>
      </c>
      <c r="Y83" s="283">
        <v>3</v>
      </c>
      <c r="Z83" s="216">
        <f>Y83/Z$65</f>
        <v>0.125</v>
      </c>
      <c r="AA83" s="930"/>
      <c r="AB83" s="1016">
        <f t="shared" si="20"/>
        <v>2.8</v>
      </c>
      <c r="AC83" s="863">
        <f t="shared" si="18"/>
        <v>0.1127536231884058</v>
      </c>
    </row>
    <row r="84" spans="1:32" s="3" customFormat="1" ht="12" x14ac:dyDescent="0.2">
      <c r="B84" s="75" t="s">
        <v>130</v>
      </c>
      <c r="C84" s="224">
        <v>16</v>
      </c>
      <c r="D84" s="216">
        <f t="shared" si="19"/>
        <v>0.8</v>
      </c>
      <c r="E84" s="223">
        <v>15</v>
      </c>
      <c r="F84" s="311">
        <f>E84/F$65</f>
        <v>0.7142857142857143</v>
      </c>
      <c r="G84" s="230">
        <v>16</v>
      </c>
      <c r="H84" s="395">
        <f>G84/H$65</f>
        <v>0.8</v>
      </c>
      <c r="I84" s="283">
        <v>17</v>
      </c>
      <c r="J84" s="221">
        <f>I84/J$65</f>
        <v>0.80952380952380953</v>
      </c>
      <c r="K84" s="230">
        <v>16</v>
      </c>
      <c r="L84" s="221">
        <f>K84/L$65</f>
        <v>0.8</v>
      </c>
      <c r="M84" s="230">
        <f>4+14</f>
        <v>18</v>
      </c>
      <c r="N84" s="216">
        <f>M84/N$65</f>
        <v>0.81818181818181823</v>
      </c>
      <c r="O84" s="283">
        <v>17</v>
      </c>
      <c r="P84" s="216">
        <f>O84/P$65</f>
        <v>0.80952380952380953</v>
      </c>
      <c r="Q84" s="283">
        <v>18</v>
      </c>
      <c r="R84" s="216">
        <f>Q84/R$65</f>
        <v>0.78260869565217395</v>
      </c>
      <c r="S84" s="283">
        <f>14+6</f>
        <v>20</v>
      </c>
      <c r="T84" s="216">
        <f>S84/T$65</f>
        <v>0.83333333333333337</v>
      </c>
      <c r="U84" s="283">
        <v>24</v>
      </c>
      <c r="V84" s="216">
        <f>U84/V$65</f>
        <v>0.8</v>
      </c>
      <c r="W84" s="283">
        <f>6+15</f>
        <v>21</v>
      </c>
      <c r="X84" s="216">
        <f>W84/X$65</f>
        <v>0.875</v>
      </c>
      <c r="Y84" s="283">
        <v>20</v>
      </c>
      <c r="Z84" s="216">
        <f>Y84/Z$65</f>
        <v>0.83333333333333337</v>
      </c>
      <c r="AB84" s="1016">
        <f t="shared" si="20"/>
        <v>20.6</v>
      </c>
      <c r="AC84" s="863">
        <f t="shared" si="18"/>
        <v>0.8248550724637681</v>
      </c>
    </row>
    <row r="85" spans="1:32" s="3" customFormat="1" ht="12" x14ac:dyDescent="0.2">
      <c r="B85" s="75" t="s">
        <v>131</v>
      </c>
      <c r="C85" s="224">
        <v>1</v>
      </c>
      <c r="D85" s="216">
        <f t="shared" si="19"/>
        <v>0.05</v>
      </c>
      <c r="E85" s="223">
        <v>3</v>
      </c>
      <c r="F85" s="311">
        <f>E85/F$65</f>
        <v>0.14285714285714285</v>
      </c>
      <c r="G85" s="230">
        <v>1</v>
      </c>
      <c r="H85" s="395">
        <f>G85/H$65</f>
        <v>0.05</v>
      </c>
      <c r="I85" s="283">
        <v>2</v>
      </c>
      <c r="J85" s="221">
        <f>I85/J$65</f>
        <v>9.5238095238095233E-2</v>
      </c>
      <c r="K85" s="230">
        <v>1</v>
      </c>
      <c r="L85" s="221">
        <f>K85/L$65</f>
        <v>0.05</v>
      </c>
      <c r="M85" s="230">
        <v>1</v>
      </c>
      <c r="N85" s="216">
        <f>M85/N$65</f>
        <v>4.5454545454545456E-2</v>
      </c>
      <c r="O85" s="283">
        <v>1</v>
      </c>
      <c r="P85" s="216">
        <f>O85/P$65</f>
        <v>4.7619047619047616E-2</v>
      </c>
      <c r="Q85" s="283">
        <v>2</v>
      </c>
      <c r="R85" s="216">
        <f>Q85/R$65</f>
        <v>8.6956521739130432E-2</v>
      </c>
      <c r="S85" s="283">
        <v>1</v>
      </c>
      <c r="T85" s="216">
        <f>S85/T$65</f>
        <v>4.1666666666666664E-2</v>
      </c>
      <c r="U85" s="283">
        <v>3</v>
      </c>
      <c r="V85" s="216">
        <f>U85/V$65</f>
        <v>0.1</v>
      </c>
      <c r="W85" s="283">
        <v>1</v>
      </c>
      <c r="X85" s="216">
        <f>W85/X$65</f>
        <v>4.1666666666666664E-2</v>
      </c>
      <c r="Y85" s="283">
        <v>1</v>
      </c>
      <c r="Z85" s="216">
        <f>Y85/Z$65</f>
        <v>4.1666666666666664E-2</v>
      </c>
      <c r="AB85" s="1016">
        <f t="shared" si="20"/>
        <v>1.6</v>
      </c>
      <c r="AC85" s="863">
        <f t="shared" si="18"/>
        <v>6.2391304347826096E-2</v>
      </c>
    </row>
    <row r="86" spans="1:32" s="3" customFormat="1" thickBot="1" x14ac:dyDescent="0.25">
      <c r="B86" s="344" t="s">
        <v>132</v>
      </c>
      <c r="C86" s="61">
        <v>0</v>
      </c>
      <c r="D86" s="220">
        <f t="shared" si="19"/>
        <v>0</v>
      </c>
      <c r="E86" s="228">
        <v>0</v>
      </c>
      <c r="F86" s="312">
        <f>E86/F$65</f>
        <v>0</v>
      </c>
      <c r="G86" s="375">
        <v>0</v>
      </c>
      <c r="H86" s="397">
        <f>G86/H$65</f>
        <v>0</v>
      </c>
      <c r="I86" s="284">
        <v>0</v>
      </c>
      <c r="J86" s="222">
        <f>I86/J$65</f>
        <v>0</v>
      </c>
      <c r="K86" s="375">
        <v>0</v>
      </c>
      <c r="L86" s="222">
        <f>K86/L$65</f>
        <v>0</v>
      </c>
      <c r="M86" s="375">
        <v>0</v>
      </c>
      <c r="N86" s="220">
        <f>M86/N$65</f>
        <v>0</v>
      </c>
      <c r="O86" s="284">
        <v>0</v>
      </c>
      <c r="P86" s="220">
        <f>O86/P$65</f>
        <v>0</v>
      </c>
      <c r="Q86" s="284">
        <v>0</v>
      </c>
      <c r="R86" s="220">
        <f>Q86/R$65</f>
        <v>0</v>
      </c>
      <c r="S86" s="284">
        <v>0</v>
      </c>
      <c r="T86" s="220">
        <f>S86/T$65</f>
        <v>0</v>
      </c>
      <c r="U86" s="284">
        <v>0</v>
      </c>
      <c r="V86" s="220">
        <f>U86/V$65</f>
        <v>0</v>
      </c>
      <c r="W86" s="284">
        <v>0</v>
      </c>
      <c r="X86" s="220">
        <f>W86/X$65</f>
        <v>0</v>
      </c>
      <c r="Y86" s="284">
        <v>0</v>
      </c>
      <c r="Z86" s="220">
        <f>Y86/Z$65</f>
        <v>0</v>
      </c>
      <c r="AB86" s="1016">
        <f t="shared" si="20"/>
        <v>0</v>
      </c>
      <c r="AC86" s="863">
        <f t="shared" si="18"/>
        <v>0</v>
      </c>
    </row>
    <row r="87" spans="1:32" ht="14.25" thickTop="1" thickBot="1" x14ac:dyDescent="0.25">
      <c r="A87" s="1"/>
      <c r="B87" s="956" t="s">
        <v>186</v>
      </c>
      <c r="C87" s="1992" t="s">
        <v>51</v>
      </c>
      <c r="D87" s="1993"/>
      <c r="E87" s="1992" t="s">
        <v>52</v>
      </c>
      <c r="F87" s="1993"/>
      <c r="G87" s="1989" t="s">
        <v>184</v>
      </c>
      <c r="H87" s="1990"/>
      <c r="I87" s="1989" t="s">
        <v>185</v>
      </c>
      <c r="J87" s="1990"/>
      <c r="K87" s="1989" t="s">
        <v>202</v>
      </c>
      <c r="L87" s="1990"/>
      <c r="M87" s="1991" t="s">
        <v>203</v>
      </c>
      <c r="N87" s="1979"/>
      <c r="O87" s="1970" t="s">
        <v>228</v>
      </c>
      <c r="P87" s="1979"/>
      <c r="Q87" s="1970" t="s">
        <v>238</v>
      </c>
      <c r="R87" s="1979"/>
      <c r="S87" s="1970" t="s">
        <v>273</v>
      </c>
      <c r="T87" s="1979"/>
      <c r="U87" s="1970" t="s">
        <v>275</v>
      </c>
      <c r="V87" s="1979"/>
      <c r="W87" s="1970" t="s">
        <v>281</v>
      </c>
      <c r="X87" s="1979"/>
      <c r="Y87" s="1970" t="s">
        <v>291</v>
      </c>
      <c r="Z87" s="1979"/>
      <c r="AB87" s="2003" t="s">
        <v>213</v>
      </c>
      <c r="AC87" s="2004"/>
    </row>
    <row r="88" spans="1:32" x14ac:dyDescent="0.2">
      <c r="A88" s="1"/>
      <c r="B88" s="957"/>
      <c r="C88" s="958"/>
      <c r="D88" s="1242"/>
      <c r="E88" s="1273" t="s">
        <v>133</v>
      </c>
      <c r="F88" s="1180" t="s">
        <v>17</v>
      </c>
      <c r="G88" s="958" t="s">
        <v>133</v>
      </c>
      <c r="H88" s="1242" t="s">
        <v>17</v>
      </c>
      <c r="I88" s="1273" t="s">
        <v>133</v>
      </c>
      <c r="J88" s="1242" t="s">
        <v>17</v>
      </c>
      <c r="K88" s="1273" t="s">
        <v>133</v>
      </c>
      <c r="L88" s="1242" t="s">
        <v>17</v>
      </c>
      <c r="M88" s="1273" t="s">
        <v>133</v>
      </c>
      <c r="N88" s="1242" t="s">
        <v>17</v>
      </c>
      <c r="O88" s="1273" t="s">
        <v>133</v>
      </c>
      <c r="P88" s="959" t="s">
        <v>17</v>
      </c>
      <c r="Q88" s="1273" t="s">
        <v>133</v>
      </c>
      <c r="R88" s="959" t="s">
        <v>17</v>
      </c>
      <c r="S88" s="1273" t="s">
        <v>133</v>
      </c>
      <c r="T88" s="959" t="s">
        <v>17</v>
      </c>
      <c r="U88" s="1273" t="s">
        <v>133</v>
      </c>
      <c r="V88" s="959" t="s">
        <v>17</v>
      </c>
      <c r="W88" s="1273" t="s">
        <v>133</v>
      </c>
      <c r="X88" s="959" t="s">
        <v>17</v>
      </c>
      <c r="Y88" s="1273" t="s">
        <v>133</v>
      </c>
      <c r="Z88" s="959" t="s">
        <v>17</v>
      </c>
      <c r="AB88" s="953" t="s">
        <v>133</v>
      </c>
      <c r="AC88" s="954" t="s">
        <v>17</v>
      </c>
    </row>
    <row r="89" spans="1:32" x14ac:dyDescent="0.2">
      <c r="A89" s="1"/>
      <c r="B89" s="341" t="s">
        <v>187</v>
      </c>
      <c r="C89" s="960">
        <v>0</v>
      </c>
      <c r="D89" s="961">
        <v>0</v>
      </c>
      <c r="E89" s="960">
        <v>1</v>
      </c>
      <c r="F89" s="961">
        <v>0.25</v>
      </c>
      <c r="G89" s="960">
        <v>0</v>
      </c>
      <c r="H89" s="961">
        <v>0</v>
      </c>
      <c r="I89" s="960">
        <v>0</v>
      </c>
      <c r="J89" s="961">
        <v>0</v>
      </c>
      <c r="K89" s="960">
        <v>0</v>
      </c>
      <c r="L89" s="961">
        <v>0</v>
      </c>
      <c r="M89" s="960">
        <v>0</v>
      </c>
      <c r="N89" s="961">
        <v>0</v>
      </c>
      <c r="O89" s="960">
        <v>0</v>
      </c>
      <c r="P89" s="961">
        <v>0</v>
      </c>
      <c r="Q89" s="960">
        <v>0</v>
      </c>
      <c r="R89" s="961">
        <v>0</v>
      </c>
      <c r="S89" s="960">
        <v>0</v>
      </c>
      <c r="T89" s="961">
        <v>0</v>
      </c>
      <c r="U89" s="960">
        <v>0</v>
      </c>
      <c r="V89" s="961">
        <v>0</v>
      </c>
      <c r="W89" s="960">
        <v>0</v>
      </c>
      <c r="X89" s="961">
        <v>0</v>
      </c>
      <c r="Y89" s="960">
        <v>0</v>
      </c>
      <c r="Z89" s="961">
        <v>0</v>
      </c>
      <c r="AB89" s="1115">
        <f t="shared" ref="AB89:AB91" si="21">AVERAGE(W89,U89,Q89,S89,Y89)</f>
        <v>0</v>
      </c>
      <c r="AC89" s="1116">
        <f>AVERAGE(X89,V89,R89,T89,Z89)</f>
        <v>0</v>
      </c>
    </row>
    <row r="90" spans="1:32" x14ac:dyDescent="0.2">
      <c r="A90" s="1"/>
      <c r="B90" s="341" t="s">
        <v>188</v>
      </c>
      <c r="C90" s="960">
        <v>20</v>
      </c>
      <c r="D90" s="961">
        <v>7.3</v>
      </c>
      <c r="E90" s="960">
        <v>23</v>
      </c>
      <c r="F90" s="961">
        <v>9.25</v>
      </c>
      <c r="G90" s="960">
        <v>22</v>
      </c>
      <c r="H90" s="961">
        <v>10</v>
      </c>
      <c r="I90" s="960">
        <v>17</v>
      </c>
      <c r="J90" s="961">
        <v>8.25</v>
      </c>
      <c r="K90" s="960">
        <v>19</v>
      </c>
      <c r="L90" s="961">
        <v>8</v>
      </c>
      <c r="M90" s="960">
        <v>14</v>
      </c>
      <c r="N90" s="961">
        <v>6.75</v>
      </c>
      <c r="O90" s="960">
        <v>17</v>
      </c>
      <c r="P90" s="961">
        <v>7.5</v>
      </c>
      <c r="Q90" s="960">
        <v>15</v>
      </c>
      <c r="R90" s="961">
        <v>7.5</v>
      </c>
      <c r="S90" s="960">
        <v>16</v>
      </c>
      <c r="T90" s="961">
        <v>7.8</v>
      </c>
      <c r="U90" s="960">
        <v>12</v>
      </c>
      <c r="V90" s="961">
        <v>6</v>
      </c>
      <c r="W90" s="960">
        <v>16</v>
      </c>
      <c r="X90" s="961">
        <v>8</v>
      </c>
      <c r="Y90" s="960">
        <v>16</v>
      </c>
      <c r="Z90" s="961">
        <v>8</v>
      </c>
      <c r="AB90" s="1115">
        <f t="shared" si="21"/>
        <v>15</v>
      </c>
      <c r="AC90" s="1116">
        <f t="shared" ref="AC90:AC91" si="22">AVERAGE(X90,V90,R90,T90,Z90)</f>
        <v>7.4599999999999991</v>
      </c>
    </row>
    <row r="91" spans="1:32" ht="13.5" thickBot="1" x14ac:dyDescent="0.25">
      <c r="A91" s="1"/>
      <c r="B91" s="344" t="s">
        <v>211</v>
      </c>
      <c r="C91" s="962">
        <v>0</v>
      </c>
      <c r="D91" s="963">
        <v>0</v>
      </c>
      <c r="E91" s="964">
        <v>0</v>
      </c>
      <c r="F91" s="963">
        <v>0</v>
      </c>
      <c r="G91" s="964">
        <v>0</v>
      </c>
      <c r="H91" s="963">
        <v>0</v>
      </c>
      <c r="I91" s="964">
        <v>0</v>
      </c>
      <c r="J91" s="963">
        <v>0</v>
      </c>
      <c r="K91" s="964">
        <v>0</v>
      </c>
      <c r="L91" s="963">
        <v>0</v>
      </c>
      <c r="M91" s="964">
        <v>0</v>
      </c>
      <c r="N91" s="963">
        <v>0</v>
      </c>
      <c r="O91" s="964">
        <v>0</v>
      </c>
      <c r="P91" s="963">
        <v>0</v>
      </c>
      <c r="Q91" s="964">
        <v>0</v>
      </c>
      <c r="R91" s="963">
        <v>0</v>
      </c>
      <c r="S91" s="964">
        <v>0</v>
      </c>
      <c r="T91" s="963">
        <v>0</v>
      </c>
      <c r="U91" s="964">
        <v>0</v>
      </c>
      <c r="V91" s="963">
        <v>0</v>
      </c>
      <c r="W91" s="964">
        <v>0</v>
      </c>
      <c r="X91" s="963">
        <v>0</v>
      </c>
      <c r="Y91" s="964">
        <v>0</v>
      </c>
      <c r="Z91" s="963">
        <v>0</v>
      </c>
      <c r="AB91" s="1115">
        <f t="shared" si="21"/>
        <v>0</v>
      </c>
      <c r="AC91" s="1116">
        <f t="shared" si="22"/>
        <v>0</v>
      </c>
    </row>
    <row r="92" spans="1:32" ht="17.25" thickTop="1" thickBot="1" x14ac:dyDescent="0.3">
      <c r="A92" s="966"/>
      <c r="B92" s="967"/>
      <c r="C92" s="1992" t="s">
        <v>51</v>
      </c>
      <c r="D92" s="1993"/>
      <c r="E92" s="1992" t="s">
        <v>52</v>
      </c>
      <c r="F92" s="1993"/>
      <c r="G92" s="1989" t="s">
        <v>184</v>
      </c>
      <c r="H92" s="1990"/>
      <c r="I92" s="1989" t="s">
        <v>185</v>
      </c>
      <c r="J92" s="1990"/>
      <c r="K92" s="1989" t="s">
        <v>202</v>
      </c>
      <c r="L92" s="1990"/>
      <c r="M92" s="1991" t="s">
        <v>203</v>
      </c>
      <c r="N92" s="1979"/>
      <c r="O92" s="1970" t="s">
        <v>254</v>
      </c>
      <c r="P92" s="1979"/>
      <c r="Q92" s="1970" t="s">
        <v>238</v>
      </c>
      <c r="R92" s="1979"/>
      <c r="S92" s="1970" t="s">
        <v>273</v>
      </c>
      <c r="T92" s="1979"/>
      <c r="U92" s="1970" t="s">
        <v>275</v>
      </c>
      <c r="V92" s="1979"/>
      <c r="W92" s="1970" t="s">
        <v>281</v>
      </c>
      <c r="X92" s="1979"/>
      <c r="Y92" s="1970" t="s">
        <v>291</v>
      </c>
      <c r="Z92" s="1979"/>
      <c r="AA92" s="1470"/>
      <c r="AB92" s="1987"/>
      <c r="AC92" s="1988"/>
      <c r="AD92" s="3"/>
      <c r="AE92" s="3"/>
      <c r="AF92" s="1" t="s">
        <v>29</v>
      </c>
    </row>
    <row r="93" spans="1:32" x14ac:dyDescent="0.2">
      <c r="A93" s="3"/>
      <c r="B93" s="342" t="s">
        <v>210</v>
      </c>
      <c r="C93" s="1097"/>
      <c r="D93" s="1098"/>
      <c r="E93" s="1099"/>
      <c r="F93" s="1100"/>
      <c r="G93" s="1101"/>
      <c r="H93" s="1102"/>
      <c r="I93" s="1103"/>
      <c r="J93" s="1104"/>
      <c r="K93" s="982"/>
      <c r="L93" s="1105"/>
      <c r="M93" s="982"/>
      <c r="N93" s="983"/>
      <c r="O93" s="1229"/>
      <c r="P93" s="1401"/>
      <c r="Q93" s="982"/>
      <c r="R93" s="983"/>
      <c r="S93" s="982"/>
      <c r="T93" s="983"/>
      <c r="U93" s="1229"/>
      <c r="V93" s="1401"/>
      <c r="W93" s="982"/>
      <c r="X93" s="983"/>
      <c r="Y93" s="982"/>
      <c r="Z93" s="983"/>
      <c r="AA93" s="1471"/>
      <c r="AB93" s="1106"/>
      <c r="AC93" s="1106"/>
      <c r="AD93" s="3"/>
      <c r="AE93" s="3"/>
    </row>
    <row r="94" spans="1:32" x14ac:dyDescent="0.2">
      <c r="A94" s="930"/>
      <c r="B94" s="979" t="s">
        <v>192</v>
      </c>
      <c r="C94" s="1983">
        <v>6.85</v>
      </c>
      <c r="D94" s="1984"/>
      <c r="E94" s="980"/>
      <c r="F94" s="981"/>
      <c r="G94" s="982"/>
      <c r="H94" s="983"/>
      <c r="I94" s="1983">
        <v>4.1500000000000004</v>
      </c>
      <c r="J94" s="1984"/>
      <c r="K94" s="1107"/>
      <c r="L94" s="1108"/>
      <c r="M94" s="1107"/>
      <c r="N94" s="983"/>
      <c r="O94" s="1230"/>
      <c r="P94" s="1401">
        <v>16.2</v>
      </c>
      <c r="Q94" s="1107"/>
      <c r="R94" s="983"/>
      <c r="S94" s="1107"/>
      <c r="T94" s="983"/>
      <c r="U94" s="1230"/>
      <c r="V94" s="1401">
        <v>17.5</v>
      </c>
      <c r="W94" s="1107"/>
      <c r="X94" s="983"/>
      <c r="Y94" s="1107"/>
      <c r="Z94" s="983"/>
      <c r="AA94" s="1471"/>
      <c r="AB94" s="1106"/>
      <c r="AC94" s="1106"/>
      <c r="AD94" s="3"/>
      <c r="AE94" s="3"/>
    </row>
    <row r="95" spans="1:32" x14ac:dyDescent="0.2">
      <c r="A95" s="930"/>
      <c r="B95" s="986" t="s">
        <v>193</v>
      </c>
      <c r="C95" s="1983"/>
      <c r="D95" s="1984"/>
      <c r="E95" s="980"/>
      <c r="F95" s="981"/>
      <c r="G95" s="982"/>
      <c r="H95" s="983"/>
      <c r="I95" s="1983"/>
      <c r="J95" s="1984"/>
      <c r="K95" s="1107"/>
      <c r="L95" s="1108"/>
      <c r="M95" s="1107"/>
      <c r="N95" s="983"/>
      <c r="O95" s="1230"/>
      <c r="P95" s="1401"/>
      <c r="Q95" s="1107"/>
      <c r="R95" s="983"/>
      <c r="S95" s="1107"/>
      <c r="T95" s="983"/>
      <c r="U95" s="1230"/>
      <c r="V95" s="1401"/>
      <c r="W95" s="1107"/>
      <c r="X95" s="983"/>
      <c r="Y95" s="1107"/>
      <c r="Z95" s="983"/>
      <c r="AA95" s="1471"/>
      <c r="AB95" s="1106"/>
      <c r="AC95" s="1106"/>
      <c r="AD95" s="3"/>
      <c r="AE95" s="3"/>
    </row>
    <row r="96" spans="1:32" x14ac:dyDescent="0.2">
      <c r="A96" s="930"/>
      <c r="B96" s="986" t="s">
        <v>194</v>
      </c>
      <c r="C96" s="1983">
        <v>7.65</v>
      </c>
      <c r="D96" s="1984"/>
      <c r="E96" s="980"/>
      <c r="F96" s="981"/>
      <c r="G96" s="982"/>
      <c r="H96" s="983"/>
      <c r="I96" s="1983">
        <v>8.25</v>
      </c>
      <c r="J96" s="1984"/>
      <c r="K96" s="1107"/>
      <c r="L96" s="1108"/>
      <c r="M96" s="1107"/>
      <c r="N96" s="983"/>
      <c r="O96" s="1230"/>
      <c r="P96" s="1401">
        <v>6</v>
      </c>
      <c r="Q96" s="1107"/>
      <c r="R96" s="983"/>
      <c r="S96" s="1107"/>
      <c r="T96" s="983"/>
      <c r="U96" s="1230"/>
      <c r="V96" s="1401">
        <v>4</v>
      </c>
      <c r="W96" s="1107"/>
      <c r="X96" s="983"/>
      <c r="Y96" s="1107"/>
      <c r="Z96" s="983"/>
      <c r="AA96" s="1471"/>
      <c r="AB96" s="1106"/>
      <c r="AC96" s="1106"/>
      <c r="AD96" s="3"/>
      <c r="AE96" s="3"/>
    </row>
    <row r="97" spans="1:31" x14ac:dyDescent="0.2">
      <c r="A97" s="930"/>
      <c r="B97" s="979" t="s">
        <v>195</v>
      </c>
      <c r="C97" s="1983">
        <v>0</v>
      </c>
      <c r="D97" s="1984"/>
      <c r="E97" s="980"/>
      <c r="F97" s="981"/>
      <c r="G97" s="982"/>
      <c r="H97" s="983"/>
      <c r="I97" s="1983">
        <v>0</v>
      </c>
      <c r="J97" s="1984"/>
      <c r="K97" s="1107"/>
      <c r="L97" s="1108"/>
      <c r="M97" s="1107"/>
      <c r="N97" s="983"/>
      <c r="O97" s="1230"/>
      <c r="P97" s="1401">
        <v>2</v>
      </c>
      <c r="Q97" s="1107"/>
      <c r="R97" s="983"/>
      <c r="S97" s="1107"/>
      <c r="T97" s="983"/>
      <c r="U97" s="1230"/>
      <c r="V97" s="1401">
        <v>3</v>
      </c>
      <c r="W97" s="1107"/>
      <c r="X97" s="983"/>
      <c r="Y97" s="1107"/>
      <c r="Z97" s="983"/>
      <c r="AA97" s="1471"/>
      <c r="AB97" s="1106"/>
      <c r="AC97" s="1106"/>
      <c r="AD97" s="3"/>
      <c r="AE97" s="3"/>
    </row>
    <row r="98" spans="1:31" x14ac:dyDescent="0.2">
      <c r="A98" s="930"/>
      <c r="B98" s="987" t="s">
        <v>196</v>
      </c>
      <c r="C98" s="1983">
        <v>1.1000000000000001</v>
      </c>
      <c r="D98" s="1984"/>
      <c r="E98" s="980"/>
      <c r="F98" s="981"/>
      <c r="G98" s="982"/>
      <c r="H98" s="983"/>
      <c r="I98" s="1983">
        <v>6</v>
      </c>
      <c r="J98" s="1984"/>
      <c r="K98" s="1107"/>
      <c r="L98" s="1108"/>
      <c r="M98" s="1107"/>
      <c r="N98" s="983"/>
      <c r="O98" s="1230"/>
      <c r="P98" s="1401">
        <v>4</v>
      </c>
      <c r="Q98" s="1107"/>
      <c r="R98" s="983"/>
      <c r="S98" s="1107"/>
      <c r="T98" s="983"/>
      <c r="U98" s="1230"/>
      <c r="V98" s="1401">
        <f>1+4.65</f>
        <v>5.65</v>
      </c>
      <c r="W98" s="1107"/>
      <c r="X98" s="983"/>
      <c r="Y98" s="1107"/>
      <c r="Z98" s="983"/>
      <c r="AA98" s="1471"/>
      <c r="AB98" s="1106"/>
      <c r="AC98" s="1106"/>
      <c r="AD98" s="3"/>
      <c r="AE98" s="3"/>
    </row>
    <row r="99" spans="1:31" x14ac:dyDescent="0.2">
      <c r="A99" s="930"/>
      <c r="B99" s="987" t="s">
        <v>197</v>
      </c>
      <c r="C99" s="1983">
        <f>SUM(C94:D98)</f>
        <v>15.6</v>
      </c>
      <c r="D99" s="1984"/>
      <c r="E99" s="980"/>
      <c r="F99" s="981"/>
      <c r="G99" s="982"/>
      <c r="H99" s="983"/>
      <c r="I99" s="1983">
        <f>SUM(I94:J98)</f>
        <v>18.399999999999999</v>
      </c>
      <c r="J99" s="1984"/>
      <c r="K99" s="1107"/>
      <c r="L99" s="1108"/>
      <c r="M99" s="1107"/>
      <c r="N99" s="983"/>
      <c r="O99" s="1230"/>
      <c r="P99" s="1401">
        <f>SUM(P93:P98)</f>
        <v>28.2</v>
      </c>
      <c r="Q99" s="1107"/>
      <c r="R99" s="983"/>
      <c r="S99" s="1107"/>
      <c r="T99" s="983"/>
      <c r="U99" s="1230"/>
      <c r="V99" s="1401">
        <f>SUM(V94:V98)</f>
        <v>30.15</v>
      </c>
      <c r="W99" s="1107"/>
      <c r="X99" s="983"/>
      <c r="Y99" s="1107"/>
      <c r="Z99" s="983"/>
      <c r="AA99" s="1471"/>
      <c r="AB99" s="1106"/>
      <c r="AC99" s="1106"/>
      <c r="AD99" s="3"/>
      <c r="AE99" s="3"/>
    </row>
    <row r="100" spans="1:31" ht="13.5" thickBot="1" x14ac:dyDescent="0.25">
      <c r="A100" s="930"/>
      <c r="B100" s="988" t="s">
        <v>204</v>
      </c>
      <c r="C100" s="1983"/>
      <c r="D100" s="1984"/>
      <c r="E100" s="980"/>
      <c r="F100" s="981"/>
      <c r="G100" s="982"/>
      <c r="H100" s="983"/>
      <c r="I100" s="1983"/>
      <c r="J100" s="1984"/>
      <c r="K100" s="1107"/>
      <c r="L100" s="1108"/>
      <c r="M100" s="1107"/>
      <c r="N100" s="983"/>
      <c r="O100" s="1230"/>
      <c r="P100" s="1401"/>
      <c r="Q100" s="1107"/>
      <c r="R100" s="983"/>
      <c r="S100" s="1107"/>
      <c r="T100" s="983"/>
      <c r="U100" s="1230"/>
      <c r="V100" s="1401"/>
      <c r="W100" s="1107"/>
      <c r="X100" s="983"/>
      <c r="Y100" s="1107"/>
      <c r="Z100" s="983"/>
      <c r="AA100" s="1471"/>
      <c r="AB100" s="1106"/>
      <c r="AC100" s="1106"/>
      <c r="AD100" s="3"/>
      <c r="AE100" s="3"/>
    </row>
    <row r="101" spans="1:31" x14ac:dyDescent="0.2">
      <c r="A101" s="930"/>
      <c r="B101" s="979" t="s">
        <v>198</v>
      </c>
      <c r="C101" s="1983">
        <v>3052</v>
      </c>
      <c r="D101" s="1984"/>
      <c r="E101" s="980"/>
      <c r="F101" s="981"/>
      <c r="G101" s="982"/>
      <c r="H101" s="983"/>
      <c r="I101" s="2043">
        <v>1338</v>
      </c>
      <c r="J101" s="2044"/>
      <c r="K101" s="1000"/>
      <c r="L101" s="1001"/>
      <c r="M101" s="1000"/>
      <c r="N101" s="999"/>
      <c r="O101" s="494"/>
      <c r="P101" s="1462">
        <v>2488</v>
      </c>
      <c r="Q101" s="1000"/>
      <c r="R101" s="999"/>
      <c r="S101" s="1000"/>
      <c r="T101" s="999"/>
      <c r="U101" s="494"/>
      <c r="V101" s="1462">
        <v>2955</v>
      </c>
      <c r="W101" s="1000"/>
      <c r="X101" s="999"/>
      <c r="Y101" s="1000"/>
      <c r="Z101" s="999"/>
      <c r="AA101" s="1472"/>
      <c r="AB101" s="668"/>
      <c r="AC101" s="1473"/>
      <c r="AD101" s="3"/>
      <c r="AE101" s="3"/>
    </row>
    <row r="102" spans="1:31" x14ac:dyDescent="0.2">
      <c r="A102" s="930"/>
      <c r="B102" s="987" t="s">
        <v>199</v>
      </c>
      <c r="C102" s="1983">
        <v>1586</v>
      </c>
      <c r="D102" s="1984"/>
      <c r="E102" s="980"/>
      <c r="F102" s="981"/>
      <c r="G102" s="982"/>
      <c r="H102" s="983"/>
      <c r="I102" s="2043">
        <v>1635</v>
      </c>
      <c r="J102" s="2044"/>
      <c r="K102" s="1000"/>
      <c r="L102" s="1001"/>
      <c r="M102" s="1000"/>
      <c r="N102" s="999"/>
      <c r="O102" s="494"/>
      <c r="P102" s="1462">
        <v>1278</v>
      </c>
      <c r="Q102" s="1000"/>
      <c r="R102" s="999"/>
      <c r="S102" s="1000"/>
      <c r="T102" s="999"/>
      <c r="U102" s="494"/>
      <c r="V102" s="1462">
        <v>558</v>
      </c>
      <c r="W102" s="1000"/>
      <c r="X102" s="999"/>
      <c r="Y102" s="1000"/>
      <c r="Z102" s="999"/>
      <c r="AA102" s="1472"/>
      <c r="AB102" s="668"/>
      <c r="AC102" s="1473"/>
      <c r="AD102" s="3"/>
      <c r="AE102" s="3"/>
    </row>
    <row r="103" spans="1:31" x14ac:dyDescent="0.2">
      <c r="A103" s="930"/>
      <c r="B103" s="987" t="s">
        <v>200</v>
      </c>
      <c r="C103" s="1983">
        <v>216</v>
      </c>
      <c r="D103" s="1984"/>
      <c r="E103" s="980"/>
      <c r="F103" s="981"/>
      <c r="G103" s="982"/>
      <c r="H103" s="983"/>
      <c r="I103" s="2043">
        <v>1615</v>
      </c>
      <c r="J103" s="2044"/>
      <c r="K103" s="1000"/>
      <c r="L103" s="1001"/>
      <c r="M103" s="1000"/>
      <c r="N103" s="999"/>
      <c r="O103" s="494"/>
      <c r="P103" s="1462">
        <f>113+424</f>
        <v>537</v>
      </c>
      <c r="Q103" s="1000"/>
      <c r="R103" s="999"/>
      <c r="S103" s="1000"/>
      <c r="T103" s="999"/>
      <c r="U103" s="494"/>
      <c r="V103" s="1462">
        <f>1006+208</f>
        <v>1214</v>
      </c>
      <c r="W103" s="1000"/>
      <c r="X103" s="999"/>
      <c r="Y103" s="1000"/>
      <c r="Z103" s="999"/>
      <c r="AA103" s="1472"/>
      <c r="AB103" s="668"/>
      <c r="AC103" s="1473"/>
      <c r="AD103" s="3"/>
      <c r="AE103" s="3"/>
    </row>
    <row r="104" spans="1:31" x14ac:dyDescent="0.2">
      <c r="A104" s="930"/>
      <c r="B104" s="987" t="s">
        <v>209</v>
      </c>
      <c r="C104" s="1983">
        <f>SUM(C101:D103)</f>
        <v>4854</v>
      </c>
      <c r="D104" s="1984"/>
      <c r="E104" s="980"/>
      <c r="F104" s="981"/>
      <c r="G104" s="982"/>
      <c r="H104" s="983"/>
      <c r="I104" s="2043">
        <f>SUM(I101:J103)</f>
        <v>4588</v>
      </c>
      <c r="J104" s="2044"/>
      <c r="K104" s="1000"/>
      <c r="L104" s="1001"/>
      <c r="M104" s="1000"/>
      <c r="N104" s="999"/>
      <c r="O104" s="494"/>
      <c r="P104" s="1462">
        <f>SUM(P101:P103)</f>
        <v>4303</v>
      </c>
      <c r="Q104" s="1000"/>
      <c r="R104" s="999"/>
      <c r="S104" s="1000"/>
      <c r="T104" s="999"/>
      <c r="U104" s="494"/>
      <c r="V104" s="1462">
        <f>SUM(V101:V103)</f>
        <v>4727</v>
      </c>
      <c r="W104" s="1000"/>
      <c r="X104" s="999"/>
      <c r="Y104" s="1000"/>
      <c r="Z104" s="999"/>
      <c r="AA104" s="1472"/>
      <c r="AB104" s="668"/>
      <c r="AC104" s="1473"/>
      <c r="AD104" s="3"/>
      <c r="AE104" s="3"/>
    </row>
    <row r="105" spans="1:31" ht="13.5" thickBot="1" x14ac:dyDescent="0.25">
      <c r="A105" s="930"/>
      <c r="B105" s="988" t="s">
        <v>205</v>
      </c>
      <c r="C105" s="1983"/>
      <c r="D105" s="1984"/>
      <c r="E105" s="980"/>
      <c r="F105" s="981"/>
      <c r="G105" s="982"/>
      <c r="H105" s="983"/>
      <c r="I105" s="1983"/>
      <c r="J105" s="1984"/>
      <c r="K105" s="1107"/>
      <c r="L105" s="1108"/>
      <c r="M105" s="1107"/>
      <c r="N105" s="983"/>
      <c r="O105" s="1230"/>
      <c r="P105" s="1401"/>
      <c r="Q105" s="1107"/>
      <c r="R105" s="983"/>
      <c r="S105" s="1107"/>
      <c r="T105" s="983"/>
      <c r="U105" s="1230"/>
      <c r="V105" s="1401"/>
      <c r="W105" s="1107"/>
      <c r="X105" s="983"/>
      <c r="Y105" s="1107"/>
      <c r="Z105" s="983"/>
      <c r="AA105" s="1471"/>
      <c r="AB105" s="1106"/>
      <c r="AC105" s="1106"/>
      <c r="AD105" s="28"/>
      <c r="AE105" s="28"/>
    </row>
    <row r="106" spans="1:31" x14ac:dyDescent="0.2">
      <c r="A106" s="930"/>
      <c r="B106" s="979" t="s">
        <v>206</v>
      </c>
      <c r="C106" s="1983">
        <f>C101/C94</f>
        <v>445.54744525547449</v>
      </c>
      <c r="D106" s="1984"/>
      <c r="E106" s="980"/>
      <c r="F106" s="981"/>
      <c r="G106" s="982"/>
      <c r="H106" s="983"/>
      <c r="I106" s="1985">
        <f>I101/I94</f>
        <v>322.40963855421683</v>
      </c>
      <c r="J106" s="1986"/>
      <c r="K106" s="1000"/>
      <c r="L106" s="1001"/>
      <c r="M106" s="1000"/>
      <c r="N106" s="999"/>
      <c r="O106" s="494"/>
      <c r="P106" s="1402">
        <f>P101/P94</f>
        <v>153.58024691358025</v>
      </c>
      <c r="Q106" s="1107"/>
      <c r="R106" s="983"/>
      <c r="S106" s="1107"/>
      <c r="T106" s="983"/>
      <c r="U106" s="1230"/>
      <c r="V106" s="1402">
        <f>V101/V94</f>
        <v>168.85714285714286</v>
      </c>
      <c r="W106" s="1107"/>
      <c r="X106" s="983"/>
      <c r="Y106" s="1107"/>
      <c r="Z106" s="983"/>
      <c r="AA106" s="1471"/>
      <c r="AB106" s="1106"/>
      <c r="AC106" s="1106"/>
      <c r="AD106" s="21"/>
      <c r="AE106" s="21"/>
    </row>
    <row r="107" spans="1:31" x14ac:dyDescent="0.2">
      <c r="A107" s="930"/>
      <c r="B107" s="987" t="s">
        <v>207</v>
      </c>
      <c r="C107" s="1983">
        <f>C102/C96</f>
        <v>207.3202614379085</v>
      </c>
      <c r="D107" s="1984"/>
      <c r="E107" s="980"/>
      <c r="F107" s="981"/>
      <c r="G107" s="982"/>
      <c r="H107" s="983"/>
      <c r="I107" s="1985">
        <f>I102/I96</f>
        <v>198.18181818181819</v>
      </c>
      <c r="J107" s="1986"/>
      <c r="K107" s="1000"/>
      <c r="L107" s="1001"/>
      <c r="M107" s="1000"/>
      <c r="N107" s="999"/>
      <c r="O107" s="494"/>
      <c r="P107" s="1402">
        <f>P102/P96</f>
        <v>213</v>
      </c>
      <c r="Q107" s="1107"/>
      <c r="R107" s="983"/>
      <c r="S107" s="1107"/>
      <c r="T107" s="983"/>
      <c r="U107" s="1230"/>
      <c r="V107" s="1402">
        <f>V102/(V96+V97)</f>
        <v>79.714285714285708</v>
      </c>
      <c r="W107" s="1107"/>
      <c r="X107" s="983"/>
      <c r="Y107" s="1107"/>
      <c r="Z107" s="983"/>
      <c r="AA107" s="1471"/>
      <c r="AB107" s="1106"/>
      <c r="AC107" s="1106"/>
      <c r="AD107" s="21"/>
      <c r="AE107" s="21"/>
    </row>
    <row r="108" spans="1:31" x14ac:dyDescent="0.2">
      <c r="A108" s="930"/>
      <c r="B108" s="987" t="s">
        <v>208</v>
      </c>
      <c r="C108" s="1983">
        <f>C103/C98</f>
        <v>196.36363636363635</v>
      </c>
      <c r="D108" s="1984"/>
      <c r="E108" s="980"/>
      <c r="F108" s="981"/>
      <c r="G108" s="982"/>
      <c r="H108" s="983"/>
      <c r="I108" s="1985">
        <f>I103/I98</f>
        <v>269.16666666666669</v>
      </c>
      <c r="J108" s="1986"/>
      <c r="K108" s="1000"/>
      <c r="L108" s="1001"/>
      <c r="M108" s="1000"/>
      <c r="N108" s="999"/>
      <c r="O108" s="494"/>
      <c r="P108" s="1402">
        <f>P103/P98</f>
        <v>134.25</v>
      </c>
      <c r="Q108" s="1107"/>
      <c r="R108" s="983"/>
      <c r="S108" s="1107"/>
      <c r="T108" s="983"/>
      <c r="U108" s="1230"/>
      <c r="V108" s="1402">
        <f>V103/V98</f>
        <v>214.86725663716814</v>
      </c>
      <c r="W108" s="1107"/>
      <c r="X108" s="983"/>
      <c r="Y108" s="1107"/>
      <c r="Z108" s="983"/>
      <c r="AA108" s="1471"/>
      <c r="AB108" s="1106"/>
      <c r="AC108" s="1106"/>
      <c r="AD108" s="21"/>
      <c r="AE108" s="21"/>
    </row>
    <row r="109" spans="1:31" ht="13.5" thickBot="1" x14ac:dyDescent="0.25">
      <c r="A109" s="930"/>
      <c r="B109" s="1002" t="s">
        <v>201</v>
      </c>
      <c r="C109" s="1977">
        <f>C104/C99</f>
        <v>311.15384615384619</v>
      </c>
      <c r="D109" s="1978"/>
      <c r="E109" s="1109"/>
      <c r="F109" s="1110"/>
      <c r="G109" s="1111"/>
      <c r="H109" s="1112"/>
      <c r="I109" s="2045">
        <f>I104/I99</f>
        <v>249.34782608695653</v>
      </c>
      <c r="J109" s="2046"/>
      <c r="K109" s="1005"/>
      <c r="L109" s="1006"/>
      <c r="M109" s="1005"/>
      <c r="N109" s="1006"/>
      <c r="O109" s="1233"/>
      <c r="P109" s="1423">
        <f>P104/P99</f>
        <v>152.58865248226951</v>
      </c>
      <c r="Q109" s="1111"/>
      <c r="R109" s="1112"/>
      <c r="S109" s="1111"/>
      <c r="T109" s="1112"/>
      <c r="U109" s="1231"/>
      <c r="V109" s="1423">
        <f>V104/V99</f>
        <v>156.78275290215589</v>
      </c>
      <c r="W109" s="1111"/>
      <c r="X109" s="1112"/>
      <c r="Y109" s="1111"/>
      <c r="Z109" s="1112"/>
      <c r="AA109" s="1471"/>
      <c r="AB109" s="1106"/>
      <c r="AC109" s="1106"/>
      <c r="AD109" s="21"/>
      <c r="AE109" s="21"/>
    </row>
    <row r="110" spans="1:31" ht="13.5" thickTop="1" x14ac:dyDescent="0.2">
      <c r="A110" s="1"/>
      <c r="B110" s="1" t="str">
        <f>Dean_AS!B169</f>
        <v>*Note: Beginning with the 2009 collection cycle, Instructional FTE was defined according to the national Delaware Study of Instructional Costs and Productivity</v>
      </c>
      <c r="AC110" s="91"/>
    </row>
    <row r="111" spans="1:31" x14ac:dyDescent="0.2">
      <c r="A111" s="1"/>
      <c r="B111" s="1"/>
      <c r="N111" t="s">
        <v>29</v>
      </c>
    </row>
  </sheetData>
  <mergeCells count="143">
    <mergeCell ref="AD27:AE27"/>
    <mergeCell ref="AB31:AC31"/>
    <mergeCell ref="AB50:AC50"/>
    <mergeCell ref="AB57:AC57"/>
    <mergeCell ref="AB27:AC27"/>
    <mergeCell ref="C103:D103"/>
    <mergeCell ref="I103:J103"/>
    <mergeCell ref="I102:J102"/>
    <mergeCell ref="O57:P57"/>
    <mergeCell ref="Q57:R57"/>
    <mergeCell ref="O27:P27"/>
    <mergeCell ref="O31:P31"/>
    <mergeCell ref="Q27:R27"/>
    <mergeCell ref="Q31:R31"/>
    <mergeCell ref="U87:V87"/>
    <mergeCell ref="U92:V92"/>
    <mergeCell ref="U27:V27"/>
    <mergeCell ref="U31:V31"/>
    <mergeCell ref="U57:V57"/>
    <mergeCell ref="W87:X87"/>
    <mergeCell ref="W92:X92"/>
    <mergeCell ref="W27:X27"/>
    <mergeCell ref="W31:X31"/>
    <mergeCell ref="W57:X57"/>
    <mergeCell ref="I104:J104"/>
    <mergeCell ref="C105:D105"/>
    <mergeCell ref="I105:J105"/>
    <mergeCell ref="C100:D100"/>
    <mergeCell ref="I100:J100"/>
    <mergeCell ref="C101:D101"/>
    <mergeCell ref="C104:D104"/>
    <mergeCell ref="C109:D109"/>
    <mergeCell ref="I109:J109"/>
    <mergeCell ref="C106:D106"/>
    <mergeCell ref="C107:D107"/>
    <mergeCell ref="I107:J107"/>
    <mergeCell ref="C108:D108"/>
    <mergeCell ref="I108:J108"/>
    <mergeCell ref="I106:J106"/>
    <mergeCell ref="I101:J101"/>
    <mergeCell ref="C102:D102"/>
    <mergeCell ref="C97:D97"/>
    <mergeCell ref="I97:J97"/>
    <mergeCell ref="C98:D98"/>
    <mergeCell ref="I98:J98"/>
    <mergeCell ref="O87:P87"/>
    <mergeCell ref="O92:P92"/>
    <mergeCell ref="C99:D99"/>
    <mergeCell ref="I99:J99"/>
    <mergeCell ref="C95:D95"/>
    <mergeCell ref="I95:J95"/>
    <mergeCell ref="C96:D96"/>
    <mergeCell ref="I96:J96"/>
    <mergeCell ref="C94:D94"/>
    <mergeCell ref="I94:J94"/>
    <mergeCell ref="K87:L87"/>
    <mergeCell ref="M87:N87"/>
    <mergeCell ref="C92:D92"/>
    <mergeCell ref="E92:F92"/>
    <mergeCell ref="G92:H92"/>
    <mergeCell ref="I92:J92"/>
    <mergeCell ref="K92:L92"/>
    <mergeCell ref="M92:N92"/>
    <mergeCell ref="AB92:AC92"/>
    <mergeCell ref="C87:D87"/>
    <mergeCell ref="E87:F87"/>
    <mergeCell ref="S87:T87"/>
    <mergeCell ref="S92:T92"/>
    <mergeCell ref="Q87:R87"/>
    <mergeCell ref="M24:N24"/>
    <mergeCell ref="M27:N27"/>
    <mergeCell ref="G27:H27"/>
    <mergeCell ref="I27:J27"/>
    <mergeCell ref="G31:H31"/>
    <mergeCell ref="I57:J57"/>
    <mergeCell ref="I26:J26"/>
    <mergeCell ref="K57:L57"/>
    <mergeCell ref="AB87:AC87"/>
    <mergeCell ref="S27:T27"/>
    <mergeCell ref="S31:T31"/>
    <mergeCell ref="S57:T57"/>
    <mergeCell ref="E25:F25"/>
    <mergeCell ref="G25:H25"/>
    <mergeCell ref="K27:L27"/>
    <mergeCell ref="Q92:R92"/>
    <mergeCell ref="G87:H87"/>
    <mergeCell ref="I87:J87"/>
    <mergeCell ref="M31:N31"/>
    <mergeCell ref="M57:N57"/>
    <mergeCell ref="AB24:AC24"/>
    <mergeCell ref="I25:J25"/>
    <mergeCell ref="AB7:AC7"/>
    <mergeCell ref="AB16:AC16"/>
    <mergeCell ref="O7:P7"/>
    <mergeCell ref="I24:J24"/>
    <mergeCell ref="I16:J16"/>
    <mergeCell ref="M7:N7"/>
    <mergeCell ref="M16:N16"/>
    <mergeCell ref="O16:P16"/>
    <mergeCell ref="O24:P24"/>
    <mergeCell ref="Q7:R7"/>
    <mergeCell ref="Q16:R16"/>
    <mergeCell ref="Q24:R24"/>
    <mergeCell ref="U7:V7"/>
    <mergeCell ref="U16:V16"/>
    <mergeCell ref="U24:V24"/>
    <mergeCell ref="W7:X7"/>
    <mergeCell ref="W16:X16"/>
    <mergeCell ref="W24:X24"/>
    <mergeCell ref="K24:L24"/>
    <mergeCell ref="S7:T7"/>
    <mergeCell ref="I7:J7"/>
    <mergeCell ref="K7:L7"/>
    <mergeCell ref="K16:L16"/>
    <mergeCell ref="K31:L31"/>
    <mergeCell ref="I31:J31"/>
    <mergeCell ref="E57:F57"/>
    <mergeCell ref="C57:D57"/>
    <mergeCell ref="G26:H26"/>
    <mergeCell ref="G57:H57"/>
    <mergeCell ref="C31:D31"/>
    <mergeCell ref="E31:F31"/>
    <mergeCell ref="C26:D26"/>
    <mergeCell ref="E26:F26"/>
    <mergeCell ref="C27:D27"/>
    <mergeCell ref="E27:F27"/>
    <mergeCell ref="E16:F16"/>
    <mergeCell ref="C24:D24"/>
    <mergeCell ref="C16:D16"/>
    <mergeCell ref="C25:D25"/>
    <mergeCell ref="E24:F24"/>
    <mergeCell ref="G24:H24"/>
    <mergeCell ref="G16:H16"/>
    <mergeCell ref="Y7:Z7"/>
    <mergeCell ref="Y16:Z16"/>
    <mergeCell ref="Y24:Z24"/>
    <mergeCell ref="Y27:Z27"/>
    <mergeCell ref="Y31:Z31"/>
    <mergeCell ref="Y57:Z57"/>
    <mergeCell ref="Y87:Z87"/>
    <mergeCell ref="Y92:Z92"/>
    <mergeCell ref="S16:T16"/>
    <mergeCell ref="S24:T24"/>
  </mergeCells>
  <phoneticPr fontId="3" type="noConversion"/>
  <printOptions horizontalCentered="1"/>
  <pageMargins left="0.5" right="0.5" top="0.5" bottom="0.5" header="0.5" footer="0.25"/>
  <pageSetup scale="72" orientation="landscape" r:id="rId1"/>
  <headerFooter alignWithMargins="0">
    <oddFooter>&amp;R&amp;P of &amp;N
&amp;D</oddFooter>
  </headerFooter>
  <rowBreaks count="1" manualBreakCount="1">
    <brk id="54" max="16383" man="1"/>
  </rowBreaks>
  <ignoredErrors>
    <ignoredError sqref="M76:M86 M67 S67:S85 W67:W8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3"/>
  <sheetViews>
    <sheetView view="pageBreakPreview" zoomScaleNormal="100" workbookViewId="0">
      <pane xSplit="2" ySplit="1" topLeftCell="C2" activePane="bottomRight" state="frozen"/>
      <selection activeCell="AF81" sqref="AF81"/>
      <selection pane="topRight" activeCell="AF81" sqref="AF81"/>
      <selection pane="bottomLeft" activeCell="AF81" sqref="AF81"/>
      <selection pane="bottomRight" activeCell="AF81" sqref="AF81"/>
    </sheetView>
  </sheetViews>
  <sheetFormatPr defaultColWidth="10.28515625" defaultRowHeight="12.75" x14ac:dyDescent="0.2"/>
  <cols>
    <col min="1" max="1" width="3.7109375" customWidth="1"/>
    <col min="2" max="2" width="30.28515625" customWidth="1"/>
    <col min="3" max="3" width="7.7109375" hidden="1" customWidth="1"/>
    <col min="4" max="4" width="10.85546875" hidden="1" customWidth="1"/>
    <col min="5" max="5" width="7.7109375" hidden="1" customWidth="1"/>
    <col min="6" max="6" width="10.85546875" hidden="1" customWidth="1"/>
    <col min="7" max="7" width="7.7109375" style="115" hidden="1" customWidth="1"/>
    <col min="8" max="8" width="10.85546875" style="115" hidden="1" customWidth="1"/>
    <col min="9" max="9" width="7.7109375" style="115" hidden="1" customWidth="1"/>
    <col min="10" max="10" width="10.85546875" style="115" hidden="1" customWidth="1"/>
    <col min="11" max="11" width="7.7109375" hidden="1" customWidth="1"/>
    <col min="12" max="12" width="10.85546875" hidden="1" customWidth="1"/>
    <col min="13" max="13" width="7.7109375" hidden="1" customWidth="1"/>
    <col min="14" max="14" width="10.85546875" hidden="1" customWidth="1"/>
    <col min="15" max="15" width="7.7109375" customWidth="1"/>
    <col min="16" max="16" width="12.28515625" customWidth="1"/>
    <col min="17" max="17" width="7.7109375" customWidth="1"/>
    <col min="18" max="18" width="10.85546875" customWidth="1"/>
    <col min="19" max="19" width="7.7109375" customWidth="1"/>
    <col min="20" max="20" width="10.85546875" customWidth="1"/>
    <col min="21" max="21" width="7.7109375" style="91" customWidth="1"/>
    <col min="22" max="22" width="10.85546875" style="91" customWidth="1"/>
    <col min="23" max="23" width="7.7109375" style="91" customWidth="1"/>
    <col min="24" max="24" width="12.28515625" style="91" bestFit="1" customWidth="1"/>
    <col min="25" max="25" width="7.7109375" style="91" customWidth="1"/>
    <col min="26" max="26" width="10.85546875" style="91" customWidth="1"/>
    <col min="27" max="27" width="2" customWidth="1"/>
    <col min="28" max="28" width="7.7109375" customWidth="1"/>
    <col min="29" max="29" width="10.85546875" customWidth="1"/>
    <col min="30" max="30" width="1.42578125" customWidth="1"/>
  </cols>
  <sheetData>
    <row r="1" spans="1:29" ht="18" x14ac:dyDescent="0.25">
      <c r="A1" s="1183" t="str">
        <f>Dean_AS!A1</f>
        <v>Department Profile Report - FY 2015</v>
      </c>
      <c r="B1" s="1183"/>
      <c r="C1" s="1183"/>
      <c r="D1" s="1183"/>
      <c r="E1" s="1183"/>
      <c r="F1" s="1183"/>
      <c r="G1" s="1183"/>
      <c r="H1" s="1183"/>
      <c r="I1" s="1181"/>
      <c r="J1" s="1181"/>
      <c r="K1" s="1182"/>
      <c r="L1" s="1182"/>
      <c r="M1" s="1182"/>
      <c r="N1" s="1182"/>
      <c r="O1" s="1182"/>
      <c r="P1" s="1182"/>
      <c r="Q1" s="1182"/>
      <c r="R1" s="1182"/>
      <c r="S1" s="1182"/>
      <c r="T1" s="1182"/>
      <c r="U1" s="1862"/>
      <c r="V1" s="1862"/>
      <c r="W1" s="1862"/>
      <c r="X1" s="1862"/>
      <c r="Y1" s="1862"/>
      <c r="Z1" s="1862"/>
      <c r="AA1" s="1182"/>
      <c r="AB1" s="1182"/>
      <c r="AC1" s="1182"/>
    </row>
    <row r="2" spans="1:29" ht="10.5" customHeight="1" x14ac:dyDescent="0.2">
      <c r="A2" s="3"/>
      <c r="B2" s="3"/>
      <c r="C2" s="3"/>
      <c r="D2" s="3"/>
      <c r="E2" s="3"/>
      <c r="F2" s="3"/>
      <c r="G2" s="117"/>
      <c r="H2" s="117"/>
      <c r="I2" s="117"/>
      <c r="J2" s="117"/>
    </row>
    <row r="3" spans="1:29" x14ac:dyDescent="0.2">
      <c r="A3" s="2" t="s">
        <v>278</v>
      </c>
      <c r="B3" s="117"/>
      <c r="C3" s="3"/>
      <c r="D3" s="3"/>
      <c r="E3" s="3"/>
      <c r="F3" s="3"/>
      <c r="G3" s="117"/>
      <c r="H3" s="117"/>
      <c r="I3" s="117"/>
      <c r="J3" s="117"/>
      <c r="N3" s="115"/>
      <c r="P3" s="115"/>
      <c r="R3" s="115"/>
      <c r="T3" s="115"/>
      <c r="V3" s="1477"/>
      <c r="X3" s="1477"/>
      <c r="Z3" s="1477"/>
      <c r="AB3" t="s">
        <v>29</v>
      </c>
    </row>
    <row r="4" spans="1:29" ht="10.5" customHeight="1" x14ac:dyDescent="0.2">
      <c r="A4" s="3"/>
      <c r="B4" s="3"/>
      <c r="C4" s="3"/>
      <c r="D4" s="3"/>
      <c r="E4" s="3"/>
      <c r="F4" s="3"/>
      <c r="G4" s="117"/>
      <c r="H4" s="117"/>
      <c r="I4" s="117"/>
      <c r="J4" s="117"/>
    </row>
    <row r="5" spans="1:29" x14ac:dyDescent="0.2">
      <c r="A5" s="2" t="s">
        <v>77</v>
      </c>
      <c r="B5" s="3"/>
      <c r="C5" s="3"/>
      <c r="D5" s="3"/>
      <c r="E5" s="3"/>
      <c r="F5" s="3"/>
      <c r="G5" s="117"/>
      <c r="H5" s="117"/>
      <c r="I5" s="117"/>
      <c r="J5" s="117"/>
    </row>
    <row r="6" spans="1:29" ht="10.5" customHeight="1" thickBot="1" x14ac:dyDescent="0.25">
      <c r="A6" s="2"/>
      <c r="B6" s="3"/>
      <c r="C6" s="3"/>
      <c r="D6" s="3"/>
      <c r="E6" s="3"/>
      <c r="F6" s="3"/>
      <c r="G6" s="117"/>
      <c r="H6" s="117"/>
      <c r="I6" s="117"/>
      <c r="J6" s="117"/>
    </row>
    <row r="7" spans="1:29" ht="14.25" thickTop="1" thickBot="1" x14ac:dyDescent="0.25">
      <c r="A7" s="3"/>
      <c r="B7" s="353"/>
      <c r="C7" s="29" t="s">
        <v>49</v>
      </c>
      <c r="D7" s="51"/>
      <c r="E7" s="29" t="s">
        <v>50</v>
      </c>
      <c r="F7" s="7"/>
      <c r="G7" s="302" t="s">
        <v>141</v>
      </c>
      <c r="H7" s="121"/>
      <c r="I7" s="302" t="s">
        <v>152</v>
      </c>
      <c r="J7" s="299"/>
      <c r="K7" s="1994" t="s">
        <v>154</v>
      </c>
      <c r="L7" s="1968"/>
      <c r="M7" s="1994" t="s">
        <v>171</v>
      </c>
      <c r="N7" s="1980"/>
      <c r="O7" s="1968" t="s">
        <v>227</v>
      </c>
      <c r="P7" s="1980"/>
      <c r="Q7" s="1968" t="s">
        <v>237</v>
      </c>
      <c r="R7" s="1980"/>
      <c r="S7" s="1968" t="s">
        <v>272</v>
      </c>
      <c r="T7" s="1980"/>
      <c r="U7" s="1968" t="s">
        <v>274</v>
      </c>
      <c r="V7" s="1980"/>
      <c r="W7" s="1968" t="s">
        <v>280</v>
      </c>
      <c r="X7" s="1980"/>
      <c r="Y7" s="1968" t="s">
        <v>290</v>
      </c>
      <c r="Z7" s="1969"/>
      <c r="AB7" s="2003" t="s">
        <v>213</v>
      </c>
      <c r="AC7" s="2004"/>
    </row>
    <row r="8" spans="1:29" x14ac:dyDescent="0.2">
      <c r="A8" s="3"/>
      <c r="B8" s="354"/>
      <c r="C8" s="42" t="s">
        <v>1</v>
      </c>
      <c r="D8" s="47" t="s">
        <v>2</v>
      </c>
      <c r="E8" s="42" t="s">
        <v>1</v>
      </c>
      <c r="F8" s="8" t="s">
        <v>2</v>
      </c>
      <c r="G8" s="303" t="s">
        <v>1</v>
      </c>
      <c r="H8" s="125" t="s">
        <v>2</v>
      </c>
      <c r="I8" s="303" t="s">
        <v>1</v>
      </c>
      <c r="J8" s="300" t="s">
        <v>2</v>
      </c>
      <c r="K8" s="303" t="s">
        <v>1</v>
      </c>
      <c r="L8" s="300" t="s">
        <v>2</v>
      </c>
      <c r="M8" s="303" t="s">
        <v>1</v>
      </c>
      <c r="N8" s="125" t="s">
        <v>2</v>
      </c>
      <c r="O8" s="124" t="s">
        <v>1</v>
      </c>
      <c r="P8" s="125" t="s">
        <v>2</v>
      </c>
      <c r="Q8" s="124" t="s">
        <v>1</v>
      </c>
      <c r="R8" s="125" t="s">
        <v>2</v>
      </c>
      <c r="S8" s="124" t="s">
        <v>1</v>
      </c>
      <c r="T8" s="125" t="s">
        <v>2</v>
      </c>
      <c r="U8" s="124" t="s">
        <v>1</v>
      </c>
      <c r="V8" s="125" t="s">
        <v>2</v>
      </c>
      <c r="W8" s="124" t="s">
        <v>1</v>
      </c>
      <c r="X8" s="125" t="s">
        <v>2</v>
      </c>
      <c r="Y8" s="124" t="s">
        <v>1</v>
      </c>
      <c r="Z8" s="126" t="s">
        <v>2</v>
      </c>
      <c r="AB8" s="921" t="s">
        <v>214</v>
      </c>
      <c r="AC8" s="922" t="s">
        <v>215</v>
      </c>
    </row>
    <row r="9" spans="1:29" ht="13.5" thickBot="1" x14ac:dyDescent="0.25">
      <c r="A9" s="3"/>
      <c r="B9" s="363"/>
      <c r="C9" s="46" t="s">
        <v>3</v>
      </c>
      <c r="D9" s="48" t="s">
        <v>4</v>
      </c>
      <c r="E9" s="46" t="s">
        <v>3</v>
      </c>
      <c r="F9" s="26" t="s">
        <v>4</v>
      </c>
      <c r="G9" s="304" t="s">
        <v>3</v>
      </c>
      <c r="H9" s="123" t="s">
        <v>4</v>
      </c>
      <c r="I9" s="304" t="s">
        <v>3</v>
      </c>
      <c r="J9" s="301" t="s">
        <v>4</v>
      </c>
      <c r="K9" s="304" t="s">
        <v>3</v>
      </c>
      <c r="L9" s="301" t="s">
        <v>4</v>
      </c>
      <c r="M9" s="304" t="s">
        <v>3</v>
      </c>
      <c r="N9" s="123" t="s">
        <v>4</v>
      </c>
      <c r="O9" s="127" t="s">
        <v>3</v>
      </c>
      <c r="P9" s="123" t="s">
        <v>4</v>
      </c>
      <c r="Q9" s="127" t="s">
        <v>3</v>
      </c>
      <c r="R9" s="123" t="s">
        <v>4</v>
      </c>
      <c r="S9" s="127" t="s">
        <v>3</v>
      </c>
      <c r="T9" s="123" t="s">
        <v>4</v>
      </c>
      <c r="U9" s="127" t="s">
        <v>3</v>
      </c>
      <c r="V9" s="123" t="s">
        <v>4</v>
      </c>
      <c r="W9" s="127" t="s">
        <v>3</v>
      </c>
      <c r="X9" s="123" t="s">
        <v>4</v>
      </c>
      <c r="Y9" s="127" t="s">
        <v>3</v>
      </c>
      <c r="Z9" s="128" t="s">
        <v>4</v>
      </c>
      <c r="AB9" s="923" t="s">
        <v>3</v>
      </c>
      <c r="AC9" s="924" t="s">
        <v>4</v>
      </c>
    </row>
    <row r="10" spans="1:29" x14ac:dyDescent="0.2">
      <c r="A10" s="3"/>
      <c r="B10" s="16" t="s">
        <v>5</v>
      </c>
      <c r="C10" s="15"/>
      <c r="D10" s="49"/>
      <c r="E10" s="15"/>
      <c r="F10" s="13"/>
      <c r="G10" s="305"/>
      <c r="H10" s="131"/>
      <c r="I10" s="305"/>
      <c r="J10" s="150"/>
      <c r="K10" s="305"/>
      <c r="L10" s="150"/>
      <c r="M10" s="305"/>
      <c r="N10" s="131"/>
      <c r="O10" s="130"/>
      <c r="P10" s="131"/>
      <c r="Q10" s="130"/>
      <c r="R10" s="131"/>
      <c r="S10" s="130"/>
      <c r="T10" s="131"/>
      <c r="U10" s="130"/>
      <c r="V10" s="131"/>
      <c r="W10" s="130"/>
      <c r="X10" s="131"/>
      <c r="Y10" s="130"/>
      <c r="Z10" s="296"/>
      <c r="AB10" s="925"/>
      <c r="AC10" s="581"/>
    </row>
    <row r="11" spans="1:29" ht="14.25" customHeight="1" x14ac:dyDescent="0.2">
      <c r="A11" s="3"/>
      <c r="B11" s="356" t="s">
        <v>30</v>
      </c>
      <c r="C11" s="14"/>
      <c r="D11" s="50"/>
      <c r="E11" s="14"/>
      <c r="F11" s="9"/>
      <c r="G11" s="318"/>
      <c r="H11" s="405"/>
      <c r="I11" s="318"/>
      <c r="J11" s="129"/>
      <c r="K11" s="318"/>
      <c r="L11" s="129"/>
      <c r="M11" s="318"/>
      <c r="N11" s="405"/>
      <c r="O11" s="404"/>
      <c r="P11" s="405"/>
      <c r="Q11" s="404"/>
      <c r="R11" s="405"/>
      <c r="S11" s="404"/>
      <c r="T11" s="405"/>
      <c r="U11" s="404"/>
      <c r="V11" s="405"/>
      <c r="W11" s="404"/>
      <c r="X11" s="405"/>
      <c r="Y11" s="404"/>
      <c r="Z11" s="291"/>
      <c r="AB11" s="926"/>
      <c r="AC11" s="927"/>
    </row>
    <row r="12" spans="1:29" s="617" customFormat="1" x14ac:dyDescent="0.2">
      <c r="A12" s="618"/>
      <c r="B12" s="699" t="s">
        <v>221</v>
      </c>
      <c r="C12" s="672">
        <v>42</v>
      </c>
      <c r="D12" s="700">
        <f>4+1</f>
        <v>5</v>
      </c>
      <c r="E12" s="672">
        <f>46+9</f>
        <v>55</v>
      </c>
      <c r="F12" s="701">
        <v>7</v>
      </c>
      <c r="G12" s="662">
        <v>67</v>
      </c>
      <c r="H12" s="663">
        <f>16+1</f>
        <v>17</v>
      </c>
      <c r="I12" s="662">
        <f>54+13</f>
        <v>67</v>
      </c>
      <c r="J12" s="665">
        <f>8+3</f>
        <v>11</v>
      </c>
      <c r="K12" s="662">
        <v>60</v>
      </c>
      <c r="L12" s="665">
        <f>9+2</f>
        <v>11</v>
      </c>
      <c r="M12" s="662">
        <v>70</v>
      </c>
      <c r="N12" s="663">
        <v>12</v>
      </c>
      <c r="O12" s="664">
        <v>57</v>
      </c>
      <c r="P12" s="663">
        <v>12</v>
      </c>
      <c r="Q12" s="664">
        <v>65</v>
      </c>
      <c r="R12" s="663">
        <v>10</v>
      </c>
      <c r="S12" s="664">
        <v>74</v>
      </c>
      <c r="T12" s="663">
        <v>10</v>
      </c>
      <c r="U12" s="664">
        <v>87</v>
      </c>
      <c r="V12" s="663">
        <v>10</v>
      </c>
      <c r="W12" s="664">
        <v>103</v>
      </c>
      <c r="X12" s="663">
        <v>19</v>
      </c>
      <c r="Y12" s="664">
        <v>123</v>
      </c>
      <c r="Z12" s="1646"/>
      <c r="AB12" s="926">
        <f>AVERAGE(W12,U12,Q12,S12,Y12)</f>
        <v>90.4</v>
      </c>
      <c r="AC12" s="1934">
        <f>AVERAGE(X12,V12,R12,T12,P12)</f>
        <v>12.2</v>
      </c>
    </row>
    <row r="13" spans="1:29" s="617" customFormat="1" x14ac:dyDescent="0.2">
      <c r="A13" s="618"/>
      <c r="B13" s="702" t="s">
        <v>223</v>
      </c>
      <c r="C13" s="705">
        <v>3</v>
      </c>
      <c r="D13" s="703">
        <f>5+1</f>
        <v>6</v>
      </c>
      <c r="E13" s="705">
        <v>3</v>
      </c>
      <c r="F13" s="704">
        <v>0</v>
      </c>
      <c r="G13" s="710">
        <v>5</v>
      </c>
      <c r="H13" s="729">
        <v>3</v>
      </c>
      <c r="I13" s="710">
        <v>7</v>
      </c>
      <c r="J13" s="730">
        <f>4+1</f>
        <v>5</v>
      </c>
      <c r="K13" s="710">
        <v>6</v>
      </c>
      <c r="L13" s="730">
        <v>3</v>
      </c>
      <c r="M13" s="710">
        <v>8</v>
      </c>
      <c r="N13" s="729">
        <v>2</v>
      </c>
      <c r="O13" s="734">
        <v>7</v>
      </c>
      <c r="P13" s="729">
        <v>4</v>
      </c>
      <c r="Q13" s="734">
        <v>4</v>
      </c>
      <c r="R13" s="729">
        <v>2</v>
      </c>
      <c r="S13" s="734">
        <v>3</v>
      </c>
      <c r="T13" s="729">
        <v>2</v>
      </c>
      <c r="U13" s="734">
        <v>5</v>
      </c>
      <c r="V13" s="729">
        <v>1</v>
      </c>
      <c r="W13" s="734">
        <v>9</v>
      </c>
      <c r="X13" s="729">
        <v>3</v>
      </c>
      <c r="Y13" s="734">
        <v>8</v>
      </c>
      <c r="Z13" s="1647"/>
      <c r="AB13" s="926">
        <f t="shared" ref="AB13:AB14" si="0">AVERAGE(W13,U13,Q13,S13,Y13)</f>
        <v>5.8</v>
      </c>
      <c r="AC13" s="928">
        <f>AVERAGE(X13,V13,R13,T13,P13)</f>
        <v>2.4</v>
      </c>
    </row>
    <row r="14" spans="1:29" s="617" customFormat="1" ht="13.5" thickBot="1" x14ac:dyDescent="0.25">
      <c r="A14" s="618"/>
      <c r="B14" s="711" t="s">
        <v>38</v>
      </c>
      <c r="C14" s="714">
        <v>28</v>
      </c>
      <c r="D14" s="712">
        <v>1</v>
      </c>
      <c r="E14" s="714">
        <v>24</v>
      </c>
      <c r="F14" s="713">
        <v>8</v>
      </c>
      <c r="G14" s="715">
        <v>21</v>
      </c>
      <c r="H14" s="716">
        <f>5</f>
        <v>5</v>
      </c>
      <c r="I14" s="715">
        <v>19</v>
      </c>
      <c r="J14" s="718">
        <v>0</v>
      </c>
      <c r="K14" s="715">
        <v>21</v>
      </c>
      <c r="L14" s="718">
        <v>3</v>
      </c>
      <c r="M14" s="715">
        <v>22</v>
      </c>
      <c r="N14" s="716">
        <v>4</v>
      </c>
      <c r="O14" s="717">
        <v>26</v>
      </c>
      <c r="P14" s="716">
        <v>2</v>
      </c>
      <c r="Q14" s="717">
        <v>28</v>
      </c>
      <c r="R14" s="716">
        <v>2</v>
      </c>
      <c r="S14" s="717">
        <v>29</v>
      </c>
      <c r="T14" s="716">
        <v>6</v>
      </c>
      <c r="U14" s="717">
        <v>27</v>
      </c>
      <c r="V14" s="716">
        <v>3</v>
      </c>
      <c r="W14" s="717">
        <v>27</v>
      </c>
      <c r="X14" s="716">
        <v>3</v>
      </c>
      <c r="Y14" s="717">
        <v>26</v>
      </c>
      <c r="Z14" s="1648"/>
      <c r="AB14" s="944">
        <f t="shared" si="0"/>
        <v>27.4</v>
      </c>
      <c r="AC14" s="1019">
        <f>AVERAGE(X14,V14,R14,T14,P14)</f>
        <v>3.2</v>
      </c>
    </row>
    <row r="15" spans="1:29" ht="13.5" thickTop="1" x14ac:dyDescent="0.2">
      <c r="A15" s="3"/>
      <c r="B15" s="57" t="s">
        <v>40</v>
      </c>
      <c r="C15" s="33"/>
      <c r="D15" s="34"/>
      <c r="E15" s="33"/>
      <c r="F15" s="34"/>
      <c r="G15" s="133"/>
      <c r="H15" s="135"/>
      <c r="I15" s="133"/>
      <c r="J15" s="135"/>
      <c r="K15" s="133"/>
      <c r="L15" s="135"/>
      <c r="M15" s="133"/>
      <c r="N15" s="135"/>
      <c r="O15" s="133"/>
      <c r="P15" s="135"/>
      <c r="Q15" s="133"/>
      <c r="R15" s="135"/>
      <c r="S15" s="133"/>
      <c r="T15" s="135"/>
      <c r="U15" s="133"/>
      <c r="V15" s="135"/>
      <c r="W15" s="133"/>
      <c r="X15" s="135"/>
      <c r="Y15" s="133"/>
      <c r="Z15" s="135"/>
      <c r="AC15" s="1012"/>
    </row>
    <row r="16" spans="1:29" x14ac:dyDescent="0.2">
      <c r="A16" s="3"/>
      <c r="B16" s="70" t="s">
        <v>170</v>
      </c>
      <c r="C16" s="33"/>
      <c r="D16" s="34"/>
      <c r="E16" s="33"/>
      <c r="F16" s="34"/>
      <c r="G16" s="133"/>
      <c r="H16" s="135"/>
      <c r="I16" s="133"/>
      <c r="J16" s="135"/>
      <c r="K16" s="133"/>
      <c r="L16" s="135"/>
      <c r="M16" s="133"/>
      <c r="N16" s="135"/>
      <c r="O16" s="133"/>
      <c r="P16" s="135"/>
      <c r="Q16" s="133"/>
      <c r="R16" s="135"/>
      <c r="S16" s="133"/>
      <c r="T16" s="135" t="s">
        <v>29</v>
      </c>
      <c r="U16" s="133"/>
      <c r="V16" s="135" t="s">
        <v>29</v>
      </c>
      <c r="W16" s="133"/>
      <c r="X16" s="135" t="s">
        <v>29</v>
      </c>
      <c r="Y16" s="133"/>
      <c r="Z16" s="135" t="s">
        <v>29</v>
      </c>
    </row>
    <row r="17" spans="1:32" ht="10.5" customHeight="1" thickBot="1" x14ac:dyDescent="0.25">
      <c r="A17" s="3"/>
      <c r="B17" s="5"/>
      <c r="C17" s="3"/>
      <c r="D17" s="3"/>
      <c r="E17" s="3"/>
      <c r="F17" s="3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36"/>
      <c r="V17" s="136"/>
      <c r="W17" s="136"/>
      <c r="X17" s="136"/>
      <c r="Y17" s="136"/>
      <c r="Z17" s="136"/>
    </row>
    <row r="18" spans="1:32" ht="14.25" thickTop="1" thickBot="1" x14ac:dyDescent="0.25">
      <c r="A18" s="3"/>
      <c r="B18" s="340"/>
      <c r="C18" s="2013" t="s">
        <v>49</v>
      </c>
      <c r="D18" s="2014"/>
      <c r="E18" s="2015" t="s">
        <v>50</v>
      </c>
      <c r="F18" s="2015"/>
      <c r="G18" s="2002" t="s">
        <v>141</v>
      </c>
      <c r="H18" s="1982"/>
      <c r="I18" s="1974" t="s">
        <v>152</v>
      </c>
      <c r="J18" s="1974"/>
      <c r="K18" s="2002" t="s">
        <v>154</v>
      </c>
      <c r="L18" s="1974"/>
      <c r="M18" s="2002" t="s">
        <v>171</v>
      </c>
      <c r="N18" s="1982"/>
      <c r="O18" s="1974" t="s">
        <v>227</v>
      </c>
      <c r="P18" s="1982"/>
      <c r="Q18" s="1974" t="s">
        <v>237</v>
      </c>
      <c r="R18" s="1982"/>
      <c r="S18" s="1974" t="s">
        <v>272</v>
      </c>
      <c r="T18" s="1982"/>
      <c r="U18" s="1974" t="s">
        <v>274</v>
      </c>
      <c r="V18" s="1982"/>
      <c r="W18" s="1974" t="s">
        <v>280</v>
      </c>
      <c r="X18" s="1982"/>
      <c r="Y18" s="1974" t="s">
        <v>290</v>
      </c>
      <c r="Z18" s="1975"/>
      <c r="AB18" s="2003" t="s">
        <v>213</v>
      </c>
      <c r="AC18" s="2004"/>
    </row>
    <row r="19" spans="1:32" x14ac:dyDescent="0.2">
      <c r="A19" s="3"/>
      <c r="B19" s="73" t="s">
        <v>7</v>
      </c>
      <c r="C19" s="54"/>
      <c r="D19" s="92"/>
      <c r="E19" s="30"/>
      <c r="F19" s="30"/>
      <c r="G19" s="243"/>
      <c r="H19" s="244"/>
      <c r="I19" s="138"/>
      <c r="J19" s="138"/>
      <c r="K19" s="243"/>
      <c r="L19" s="138"/>
      <c r="M19" s="243"/>
      <c r="N19" s="244"/>
      <c r="O19" s="138"/>
      <c r="P19" s="244"/>
      <c r="Q19" s="138"/>
      <c r="R19" s="244"/>
      <c r="S19" s="138"/>
      <c r="T19" s="244"/>
      <c r="U19" s="138"/>
      <c r="V19" s="244"/>
      <c r="W19" s="138"/>
      <c r="X19" s="244"/>
      <c r="Y19" s="138"/>
      <c r="Z19" s="140"/>
      <c r="AB19" s="831"/>
      <c r="AC19" s="930"/>
    </row>
    <row r="20" spans="1:32" x14ac:dyDescent="0.2">
      <c r="A20" s="3"/>
      <c r="B20" s="78" t="s">
        <v>8</v>
      </c>
      <c r="C20" s="184"/>
      <c r="D20" s="93"/>
      <c r="E20" s="31"/>
      <c r="F20" s="31"/>
      <c r="G20" s="239"/>
      <c r="H20" s="245"/>
      <c r="I20" s="139"/>
      <c r="J20" s="139"/>
      <c r="K20" s="239"/>
      <c r="L20" s="139"/>
      <c r="M20" s="239"/>
      <c r="N20" s="245"/>
      <c r="O20" s="139"/>
      <c r="P20" s="245"/>
      <c r="Q20" s="139"/>
      <c r="R20" s="245"/>
      <c r="S20" s="139"/>
      <c r="T20" s="245"/>
      <c r="U20" s="139"/>
      <c r="V20" s="245"/>
      <c r="W20" s="139"/>
      <c r="X20" s="245"/>
      <c r="Y20" s="139"/>
      <c r="Z20" s="141"/>
      <c r="AB20" s="831"/>
      <c r="AC20" s="930"/>
    </row>
    <row r="21" spans="1:32" x14ac:dyDescent="0.2">
      <c r="A21" s="3"/>
      <c r="B21" s="78" t="s">
        <v>9</v>
      </c>
      <c r="C21" s="184"/>
      <c r="D21" s="165">
        <v>880</v>
      </c>
      <c r="E21" s="31"/>
      <c r="F21" s="171">
        <v>753</v>
      </c>
      <c r="G21" s="239"/>
      <c r="H21" s="261">
        <v>827</v>
      </c>
      <c r="I21" s="139"/>
      <c r="J21" s="183">
        <v>957</v>
      </c>
      <c r="K21" s="239"/>
      <c r="L21" s="183">
        <v>1008</v>
      </c>
      <c r="M21" s="239"/>
      <c r="N21" s="261">
        <v>1133</v>
      </c>
      <c r="O21" s="139"/>
      <c r="P21" s="261">
        <v>1470</v>
      </c>
      <c r="Q21" s="139"/>
      <c r="R21" s="261">
        <v>1505</v>
      </c>
      <c r="S21" s="139"/>
      <c r="T21" s="261">
        <v>1600</v>
      </c>
      <c r="U21" s="139"/>
      <c r="V21" s="261">
        <v>1844</v>
      </c>
      <c r="W21" s="139"/>
      <c r="X21" s="261">
        <v>1752</v>
      </c>
      <c r="Y21" s="139"/>
      <c r="Z21" s="1649"/>
      <c r="AB21" s="24"/>
      <c r="AC21" s="947">
        <f>AVERAGE(X21,V21,R21,T21,P21)</f>
        <v>1634.2</v>
      </c>
    </row>
    <row r="22" spans="1:32" x14ac:dyDescent="0.2">
      <c r="A22" s="3"/>
      <c r="B22" s="78" t="s">
        <v>10</v>
      </c>
      <c r="C22" s="184"/>
      <c r="D22" s="165">
        <v>1128</v>
      </c>
      <c r="E22" s="31"/>
      <c r="F22" s="171">
        <v>1481</v>
      </c>
      <c r="G22" s="239"/>
      <c r="H22" s="261">
        <v>1407</v>
      </c>
      <c r="I22" s="139"/>
      <c r="J22" s="183">
        <v>1501</v>
      </c>
      <c r="K22" s="239"/>
      <c r="L22" s="183">
        <v>1357</v>
      </c>
      <c r="M22" s="239"/>
      <c r="N22" s="261">
        <v>1649</v>
      </c>
      <c r="O22" s="139"/>
      <c r="P22" s="261">
        <v>1800</v>
      </c>
      <c r="Q22" s="139"/>
      <c r="R22" s="261">
        <v>1830</v>
      </c>
      <c r="S22" s="139"/>
      <c r="T22" s="261">
        <v>1792</v>
      </c>
      <c r="U22" s="139"/>
      <c r="V22" s="261">
        <v>1928</v>
      </c>
      <c r="W22" s="139"/>
      <c r="X22" s="261">
        <v>1882</v>
      </c>
      <c r="Y22" s="139"/>
      <c r="Z22" s="1649"/>
      <c r="AB22" s="12"/>
      <c r="AC22" s="947">
        <f>AVERAGE(X22,V22,R22,T22,P22)</f>
        <v>1846.4</v>
      </c>
    </row>
    <row r="23" spans="1:32" x14ac:dyDescent="0.2">
      <c r="A23" s="3"/>
      <c r="B23" s="78" t="s">
        <v>11</v>
      </c>
      <c r="C23" s="184"/>
      <c r="D23" s="165">
        <v>605</v>
      </c>
      <c r="E23" s="31"/>
      <c r="F23" s="171">
        <v>509</v>
      </c>
      <c r="G23" s="239"/>
      <c r="H23" s="261">
        <v>501</v>
      </c>
      <c r="I23" s="139"/>
      <c r="J23" s="183">
        <v>513</v>
      </c>
      <c r="K23" s="239"/>
      <c r="L23" s="183">
        <v>538</v>
      </c>
      <c r="M23" s="239"/>
      <c r="N23" s="261">
        <v>399</v>
      </c>
      <c r="O23" s="139"/>
      <c r="P23" s="261">
        <v>389</v>
      </c>
      <c r="Q23" s="139"/>
      <c r="R23" s="261">
        <v>412</v>
      </c>
      <c r="S23" s="139"/>
      <c r="T23" s="261">
        <v>353</v>
      </c>
      <c r="U23" s="139"/>
      <c r="V23" s="261">
        <v>518</v>
      </c>
      <c r="W23" s="139"/>
      <c r="X23" s="261">
        <v>522</v>
      </c>
      <c r="Y23" s="139"/>
      <c r="Z23" s="1649"/>
      <c r="AB23" s="12"/>
      <c r="AC23" s="947">
        <f>AVERAGE(X23,V23,R23,T23,P23)</f>
        <v>438.8</v>
      </c>
    </row>
    <row r="24" spans="1:32" x14ac:dyDescent="0.2">
      <c r="A24" s="3"/>
      <c r="B24" s="78" t="s">
        <v>12</v>
      </c>
      <c r="C24" s="184"/>
      <c r="D24" s="94">
        <v>355</v>
      </c>
      <c r="E24" s="31"/>
      <c r="F24" s="39">
        <v>346</v>
      </c>
      <c r="G24" s="239"/>
      <c r="H24" s="240">
        <v>282</v>
      </c>
      <c r="I24" s="139"/>
      <c r="J24" s="241">
        <v>338</v>
      </c>
      <c r="K24" s="239"/>
      <c r="L24" s="241">
        <v>246</v>
      </c>
      <c r="M24" s="239"/>
      <c r="N24" s="240">
        <v>260</v>
      </c>
      <c r="O24" s="139"/>
      <c r="P24" s="240">
        <v>271</v>
      </c>
      <c r="Q24" s="139"/>
      <c r="R24" s="240">
        <v>342</v>
      </c>
      <c r="S24" s="139"/>
      <c r="T24" s="240">
        <v>341</v>
      </c>
      <c r="U24" s="139"/>
      <c r="V24" s="240">
        <v>315</v>
      </c>
      <c r="W24" s="139"/>
      <c r="X24" s="240">
        <v>337</v>
      </c>
      <c r="Y24" s="139"/>
      <c r="Z24" s="1650"/>
      <c r="AB24" s="12"/>
      <c r="AC24" s="947">
        <f>AVERAGE(X24,V24,R24,T24,P24)</f>
        <v>321.2</v>
      </c>
    </row>
    <row r="25" spans="1:32" ht="13.5" thickBot="1" x14ac:dyDescent="0.25">
      <c r="A25" s="3"/>
      <c r="B25" s="79" t="s">
        <v>13</v>
      </c>
      <c r="C25" s="185"/>
      <c r="D25" s="186">
        <f>SUM(D21:D24)</f>
        <v>2968</v>
      </c>
      <c r="E25" s="90"/>
      <c r="F25" s="58">
        <f>SUM(F21:F24)</f>
        <v>3089</v>
      </c>
      <c r="G25" s="246"/>
      <c r="H25" s="247">
        <f>SUM(H21:H24)</f>
        <v>3017</v>
      </c>
      <c r="I25" s="164"/>
      <c r="J25" s="242">
        <f>SUM(J21:J24)</f>
        <v>3309</v>
      </c>
      <c r="K25" s="246"/>
      <c r="L25" s="242">
        <f>SUM(L21:L24)</f>
        <v>3149</v>
      </c>
      <c r="M25" s="246"/>
      <c r="N25" s="247">
        <f>SUM(N21:N24)</f>
        <v>3441</v>
      </c>
      <c r="O25" s="164"/>
      <c r="P25" s="247">
        <f>SUM(P21:P24)</f>
        <v>3930</v>
      </c>
      <c r="Q25" s="164"/>
      <c r="R25" s="247">
        <f>SUM(R21:R24)</f>
        <v>4089</v>
      </c>
      <c r="S25" s="164"/>
      <c r="T25" s="247">
        <f>SUM(T21:T24)</f>
        <v>4086</v>
      </c>
      <c r="U25" s="164"/>
      <c r="V25" s="247">
        <f>SUM(V21:V24)</f>
        <v>4605</v>
      </c>
      <c r="W25" s="164"/>
      <c r="X25" s="247">
        <f>SUM(X21:X24)</f>
        <v>4493</v>
      </c>
      <c r="Y25" s="164"/>
      <c r="Z25" s="1692"/>
      <c r="AA25" s="1031"/>
      <c r="AB25" s="946"/>
      <c r="AC25" s="947">
        <f>AVERAGE(X25,V25,R25,T25,P25)</f>
        <v>4240.6000000000004</v>
      </c>
    </row>
    <row r="26" spans="1:32" ht="12" customHeight="1" thickTop="1" thickBot="1" x14ac:dyDescent="0.25">
      <c r="A26" s="930"/>
      <c r="B26" s="931" t="s">
        <v>212</v>
      </c>
      <c r="C26" s="1992" t="s">
        <v>51</v>
      </c>
      <c r="D26" s="1997"/>
      <c r="E26" s="1992" t="s">
        <v>52</v>
      </c>
      <c r="F26" s="1997"/>
      <c r="G26" s="1989" t="s">
        <v>184</v>
      </c>
      <c r="H26" s="1981"/>
      <c r="I26" s="1989" t="s">
        <v>185</v>
      </c>
      <c r="J26" s="2005"/>
      <c r="K26" s="1989" t="s">
        <v>202</v>
      </c>
      <c r="L26" s="2005"/>
      <c r="M26" s="1991" t="s">
        <v>203</v>
      </c>
      <c r="N26" s="1981"/>
      <c r="O26" s="1970" t="s">
        <v>228</v>
      </c>
      <c r="P26" s="1981"/>
      <c r="Q26" s="1970" t="s">
        <v>238</v>
      </c>
      <c r="R26" s="1981"/>
      <c r="S26" s="1970" t="s">
        <v>273</v>
      </c>
      <c r="T26" s="1981"/>
      <c r="U26" s="1970" t="s">
        <v>275</v>
      </c>
      <c r="V26" s="1981"/>
      <c r="W26" s="1970" t="s">
        <v>281</v>
      </c>
      <c r="X26" s="1981"/>
      <c r="Y26" s="1970" t="s">
        <v>291</v>
      </c>
      <c r="Z26" s="1971"/>
      <c r="AA26" s="932"/>
      <c r="AB26" s="2009"/>
      <c r="AC26" s="2010" t="e">
        <f>AVERAGE(L26,T26,R26,P26,N26)</f>
        <v>#DIV/0!</v>
      </c>
      <c r="AD26" s="293"/>
      <c r="AE26" s="293"/>
      <c r="AF26" s="21"/>
    </row>
    <row r="27" spans="1:32" ht="12" customHeight="1" x14ac:dyDescent="0.2">
      <c r="A27" s="930"/>
      <c r="B27" s="933" t="s">
        <v>189</v>
      </c>
      <c r="C27" s="2016">
        <v>3.5999999999999997E-2</v>
      </c>
      <c r="D27" s="2017"/>
      <c r="E27" s="1995">
        <v>7.1999999999999995E-2</v>
      </c>
      <c r="F27" s="1996"/>
      <c r="G27" s="1995">
        <v>7.8E-2</v>
      </c>
      <c r="H27" s="1996"/>
      <c r="I27" s="1995">
        <v>7.0000000000000007E-2</v>
      </c>
      <c r="J27" s="2006"/>
      <c r="K27" s="934"/>
      <c r="L27" s="935">
        <v>7.9000000000000001E-2</v>
      </c>
      <c r="M27" s="936"/>
      <c r="N27" s="1178">
        <v>4.9000000000000002E-2</v>
      </c>
      <c r="O27" s="1176"/>
      <c r="P27" s="1178">
        <v>0.05</v>
      </c>
      <c r="Q27" s="1271"/>
      <c r="R27" s="1178">
        <v>4.2999999999999997E-2</v>
      </c>
      <c r="S27" s="1271"/>
      <c r="T27" s="1178">
        <v>4.3999999999999997E-2</v>
      </c>
      <c r="U27" s="1271"/>
      <c r="V27" s="1178">
        <v>7.9000000000000001E-2</v>
      </c>
      <c r="W27" s="1271"/>
      <c r="X27" s="1178">
        <v>0.112</v>
      </c>
      <c r="Y27" s="1271"/>
      <c r="Z27" s="1479">
        <v>0.10100000000000001</v>
      </c>
      <c r="AA27" s="937"/>
      <c r="AB27" s="938"/>
      <c r="AC27" s="1048">
        <f>AVERAGE(X27,V27,R27,T27,Z27)</f>
        <v>7.5800000000000006E-2</v>
      </c>
      <c r="AD27" s="293"/>
      <c r="AE27" s="293"/>
      <c r="AF27" s="21"/>
    </row>
    <row r="28" spans="1:32" ht="12" customHeight="1" x14ac:dyDescent="0.2">
      <c r="A28" s="930"/>
      <c r="B28" s="940" t="s">
        <v>190</v>
      </c>
      <c r="C28" s="2018">
        <v>0.16700000000000001</v>
      </c>
      <c r="D28" s="2019"/>
      <c r="E28" s="2000">
        <v>0.14199999999999999</v>
      </c>
      <c r="F28" s="2001"/>
      <c r="G28" s="2000">
        <v>0.122</v>
      </c>
      <c r="H28" s="2001"/>
      <c r="I28" s="2000">
        <v>0.128</v>
      </c>
      <c r="J28" s="2011"/>
      <c r="K28" s="941"/>
      <c r="L28" s="942">
        <v>0.113</v>
      </c>
      <c r="M28" s="941"/>
      <c r="N28" s="1179">
        <v>0.125</v>
      </c>
      <c r="O28" s="1177"/>
      <c r="P28" s="1179">
        <v>0.11</v>
      </c>
      <c r="Q28" s="1272"/>
      <c r="R28" s="1179">
        <v>0.11899999999999999</v>
      </c>
      <c r="S28" s="1272"/>
      <c r="T28" s="1179">
        <v>0.112</v>
      </c>
      <c r="U28" s="1272"/>
      <c r="V28" s="1179">
        <v>0.104</v>
      </c>
      <c r="W28" s="1272"/>
      <c r="X28" s="1179">
        <v>0.105</v>
      </c>
      <c r="Y28" s="1272"/>
      <c r="Z28" s="1480">
        <v>8.4000000000000005E-2</v>
      </c>
      <c r="AA28" s="937"/>
      <c r="AB28" s="938"/>
      <c r="AC28" s="1048">
        <f t="shared" ref="AC28:AC29" si="1">AVERAGE(X28,V28,R28,T28,Z28)</f>
        <v>0.10479999999999998</v>
      </c>
      <c r="AD28" s="293"/>
      <c r="AE28" s="293"/>
      <c r="AF28" s="21"/>
    </row>
    <row r="29" spans="1:32" ht="12" customHeight="1" thickBot="1" x14ac:dyDescent="0.25">
      <c r="A29" s="3"/>
      <c r="B29" s="943" t="s">
        <v>191</v>
      </c>
      <c r="C29" s="1998">
        <f>1-C27-C28</f>
        <v>0.79699999999999993</v>
      </c>
      <c r="D29" s="1999"/>
      <c r="E29" s="1998">
        <f>1-E27-E28</f>
        <v>0.78600000000000003</v>
      </c>
      <c r="F29" s="1999"/>
      <c r="G29" s="1998">
        <f>1-G27-G28</f>
        <v>0.8</v>
      </c>
      <c r="H29" s="1999"/>
      <c r="I29" s="1998">
        <f>1-I27-I28</f>
        <v>0.80199999999999994</v>
      </c>
      <c r="J29" s="1999"/>
      <c r="K29" s="1998">
        <f>1-L27-L28</f>
        <v>0.80800000000000005</v>
      </c>
      <c r="L29" s="1999"/>
      <c r="M29" s="1998">
        <f>1-N27-N28</f>
        <v>0.82599999999999996</v>
      </c>
      <c r="N29" s="1999"/>
      <c r="O29" s="2012">
        <f>1-P27-P28</f>
        <v>0.84</v>
      </c>
      <c r="P29" s="1999"/>
      <c r="Q29" s="1972">
        <f>1-R27-R28</f>
        <v>0.83799999999999997</v>
      </c>
      <c r="R29" s="1973"/>
      <c r="S29" s="1972">
        <f>1-T27-T28</f>
        <v>0.84399999999999997</v>
      </c>
      <c r="T29" s="1973"/>
      <c r="U29" s="1972">
        <f>1-V27-V28</f>
        <v>0.81700000000000006</v>
      </c>
      <c r="V29" s="1973"/>
      <c r="W29" s="1972">
        <f>1-X27-X28</f>
        <v>0.78300000000000003</v>
      </c>
      <c r="X29" s="1973"/>
      <c r="Y29" s="1972">
        <f>1-Z27-Z28</f>
        <v>0.81500000000000006</v>
      </c>
      <c r="Z29" s="1973"/>
      <c r="AA29" s="937"/>
      <c r="AB29" s="2007">
        <f t="shared" ref="AB29" si="2">AVERAGE(W29,U29,Q29,S29,Y29)</f>
        <v>0.81940000000000013</v>
      </c>
      <c r="AC29" s="2008" t="e">
        <f t="shared" si="1"/>
        <v>#DIV/0!</v>
      </c>
      <c r="AD29" s="1050"/>
      <c r="AE29" s="293"/>
      <c r="AF29" s="21"/>
    </row>
    <row r="30" spans="1:32" s="3" customFormat="1" thickTop="1" x14ac:dyDescent="0.2">
      <c r="B30" s="109"/>
      <c r="C30" s="110"/>
      <c r="D30" s="111"/>
      <c r="E30" s="110"/>
      <c r="F30" s="111"/>
      <c r="G30" s="146"/>
      <c r="H30" s="147"/>
      <c r="I30" s="146"/>
      <c r="J30" s="147"/>
      <c r="K30" s="145"/>
      <c r="L30" s="293"/>
      <c r="M30" s="145"/>
      <c r="N30" s="293"/>
      <c r="O30" s="145"/>
      <c r="P30" s="293"/>
      <c r="Q30" s="145"/>
      <c r="R30" s="293"/>
      <c r="S30" s="145"/>
      <c r="T30" s="293"/>
      <c r="U30" s="145"/>
      <c r="V30" s="293"/>
      <c r="W30" s="145"/>
      <c r="X30" s="293"/>
      <c r="Y30" s="145"/>
      <c r="Z30" s="293"/>
      <c r="AC30" s="578"/>
    </row>
    <row r="31" spans="1:32" s="3" customFormat="1" x14ac:dyDescent="0.2">
      <c r="A31" s="112" t="s">
        <v>68</v>
      </c>
      <c r="B31" s="96"/>
      <c r="C31" s="28"/>
      <c r="D31" s="28"/>
      <c r="E31" s="28"/>
      <c r="F31" s="28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</row>
    <row r="32" spans="1:32" s="3" customFormat="1" ht="13.5" thickBot="1" x14ac:dyDescent="0.25">
      <c r="A32" s="112"/>
      <c r="B32" s="96"/>
      <c r="C32" s="28"/>
      <c r="D32" s="28"/>
      <c r="E32" s="28"/>
      <c r="F32" s="28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</row>
    <row r="33" spans="1:29" s="3" customFormat="1" ht="14.25" thickTop="1" thickBot="1" x14ac:dyDescent="0.25">
      <c r="A33" s="2"/>
      <c r="B33" s="329" t="s">
        <v>69</v>
      </c>
      <c r="C33" s="2013" t="s">
        <v>49</v>
      </c>
      <c r="D33" s="2014"/>
      <c r="E33" s="2013" t="s">
        <v>50</v>
      </c>
      <c r="F33" s="2015"/>
      <c r="G33" s="2002" t="s">
        <v>141</v>
      </c>
      <c r="H33" s="1982"/>
      <c r="I33" s="1974" t="s">
        <v>152</v>
      </c>
      <c r="J33" s="1974"/>
      <c r="K33" s="2002" t="s">
        <v>154</v>
      </c>
      <c r="L33" s="1974"/>
      <c r="M33" s="2002" t="s">
        <v>171</v>
      </c>
      <c r="N33" s="1982"/>
      <c r="O33" s="1974" t="s">
        <v>227</v>
      </c>
      <c r="P33" s="1982"/>
      <c r="Q33" s="1974" t="s">
        <v>237</v>
      </c>
      <c r="R33" s="1982"/>
      <c r="S33" s="1974" t="s">
        <v>272</v>
      </c>
      <c r="T33" s="1982"/>
      <c r="U33" s="1974" t="s">
        <v>274</v>
      </c>
      <c r="V33" s="1982"/>
      <c r="W33" s="1974" t="s">
        <v>280</v>
      </c>
      <c r="X33" s="1982"/>
      <c r="Y33" s="1974" t="s">
        <v>290</v>
      </c>
      <c r="Z33" s="1975"/>
      <c r="AB33" s="2003" t="s">
        <v>213</v>
      </c>
      <c r="AC33" s="2004"/>
    </row>
    <row r="34" spans="1:29" s="3" customFormat="1" x14ac:dyDescent="0.2">
      <c r="A34" s="2"/>
      <c r="B34" s="330" t="s">
        <v>70</v>
      </c>
      <c r="C34" s="184"/>
      <c r="D34" s="93"/>
      <c r="E34" s="31"/>
      <c r="F34" s="31"/>
      <c r="G34" s="239"/>
      <c r="H34" s="245"/>
      <c r="I34" s="139"/>
      <c r="J34" s="139"/>
      <c r="K34" s="239"/>
      <c r="L34" s="139"/>
      <c r="M34" s="239"/>
      <c r="N34" s="245"/>
      <c r="O34" s="139"/>
      <c r="P34" s="245"/>
      <c r="Q34" s="139"/>
      <c r="R34" s="245"/>
      <c r="S34" s="139"/>
      <c r="T34" s="245"/>
      <c r="U34" s="139"/>
      <c r="V34" s="245"/>
      <c r="W34" s="139"/>
      <c r="X34" s="245"/>
      <c r="Y34" s="139"/>
      <c r="Z34" s="141"/>
      <c r="AB34" s="831"/>
      <c r="AC34" s="930"/>
    </row>
    <row r="35" spans="1:29" s="3" customFormat="1" x14ac:dyDescent="0.2">
      <c r="A35" s="2"/>
      <c r="B35" s="331" t="s">
        <v>71</v>
      </c>
      <c r="C35" s="54"/>
      <c r="D35" s="188">
        <v>493847</v>
      </c>
      <c r="E35" s="30"/>
      <c r="F35" s="205">
        <v>578676</v>
      </c>
      <c r="G35" s="243"/>
      <c r="H35" s="416">
        <v>675917</v>
      </c>
      <c r="I35" s="138"/>
      <c r="J35" s="451">
        <v>716335</v>
      </c>
      <c r="K35" s="243"/>
      <c r="L35" s="451">
        <v>854129</v>
      </c>
      <c r="M35" s="243"/>
      <c r="N35" s="416">
        <v>900640</v>
      </c>
      <c r="O35" s="138"/>
      <c r="P35" s="416">
        <v>925700</v>
      </c>
      <c r="Q35" s="138"/>
      <c r="R35" s="416">
        <v>869417</v>
      </c>
      <c r="S35" s="138"/>
      <c r="T35" s="416">
        <v>857496</v>
      </c>
      <c r="U35" s="138"/>
      <c r="V35" s="416">
        <v>987857</v>
      </c>
      <c r="W35" s="138"/>
      <c r="X35" s="416">
        <v>1049005</v>
      </c>
      <c r="Y35" s="138"/>
      <c r="Z35" s="294">
        <v>1301043</v>
      </c>
      <c r="AB35" s="24"/>
      <c r="AC35" s="947">
        <f>AVERAGE(X35,V35,R35,T35,Z35)</f>
        <v>1012963.6</v>
      </c>
    </row>
    <row r="36" spans="1:29" s="3" customFormat="1" x14ac:dyDescent="0.2">
      <c r="A36" s="2"/>
      <c r="B36" s="331" t="s">
        <v>247</v>
      </c>
      <c r="C36" s="54"/>
      <c r="D36" s="188"/>
      <c r="E36" s="30"/>
      <c r="F36" s="205"/>
      <c r="G36" s="243"/>
      <c r="H36" s="1439"/>
      <c r="I36" s="138"/>
      <c r="J36" s="451">
        <v>20000</v>
      </c>
      <c r="K36" s="243"/>
      <c r="L36" s="451">
        <v>20000</v>
      </c>
      <c r="M36" s="243"/>
      <c r="N36" s="416">
        <v>20000</v>
      </c>
      <c r="O36" s="138"/>
      <c r="P36" s="416">
        <v>20000</v>
      </c>
      <c r="Q36" s="138"/>
      <c r="R36" s="416">
        <v>20000</v>
      </c>
      <c r="S36" s="138"/>
      <c r="T36" s="416">
        <v>20000</v>
      </c>
      <c r="U36" s="138"/>
      <c r="V36" s="416">
        <v>20000</v>
      </c>
      <c r="W36" s="138"/>
      <c r="X36" s="416">
        <v>20000</v>
      </c>
      <c r="Y36" s="138"/>
      <c r="Z36" s="294">
        <v>20000</v>
      </c>
      <c r="AB36" s="24"/>
      <c r="AC36" s="947">
        <f t="shared" ref="AC36:AC38" si="3">AVERAGE(X36,V36,R36,T36,Z36)</f>
        <v>20000</v>
      </c>
    </row>
    <row r="37" spans="1:29" s="3" customFormat="1" ht="36" x14ac:dyDescent="0.2">
      <c r="A37" s="2"/>
      <c r="B37" s="332" t="s">
        <v>248</v>
      </c>
      <c r="C37" s="184"/>
      <c r="D37" s="189">
        <v>31099</v>
      </c>
      <c r="E37" s="31"/>
      <c r="F37" s="206">
        <v>69524</v>
      </c>
      <c r="G37" s="239"/>
      <c r="H37" s="369">
        <v>69716</v>
      </c>
      <c r="I37" s="139"/>
      <c r="J37" s="347">
        <v>37902</v>
      </c>
      <c r="K37" s="239"/>
      <c r="L37" s="347">
        <v>37886</v>
      </c>
      <c r="M37" s="239"/>
      <c r="N37" s="369">
        <v>37868</v>
      </c>
      <c r="O37" s="139"/>
      <c r="P37" s="369">
        <v>111606</v>
      </c>
      <c r="Q37" s="139"/>
      <c r="R37" s="369">
        <v>184107</v>
      </c>
      <c r="S37" s="139"/>
      <c r="T37" s="369">
        <v>185614</v>
      </c>
      <c r="U37" s="139"/>
      <c r="V37" s="369">
        <v>37871</v>
      </c>
      <c r="W37" s="139"/>
      <c r="X37" s="369">
        <v>257296</v>
      </c>
      <c r="Y37" s="139"/>
      <c r="Z37" s="282">
        <v>43906</v>
      </c>
      <c r="AB37" s="12"/>
      <c r="AC37" s="947">
        <f t="shared" si="3"/>
        <v>141758.79999999999</v>
      </c>
    </row>
    <row r="38" spans="1:29" s="3" customFormat="1" x14ac:dyDescent="0.2">
      <c r="A38" s="2"/>
      <c r="B38" s="333" t="s">
        <v>72</v>
      </c>
      <c r="C38" s="187"/>
      <c r="D38" s="190">
        <f>SUM(D35:D37)</f>
        <v>524946</v>
      </c>
      <c r="E38" s="90"/>
      <c r="F38" s="207">
        <f>SUM(F35:F37)</f>
        <v>648200</v>
      </c>
      <c r="G38" s="262"/>
      <c r="H38" s="263">
        <f>SUM(H35:H37)</f>
        <v>745633</v>
      </c>
      <c r="I38" s="250"/>
      <c r="J38" s="249">
        <f>SUM(J35:J37)</f>
        <v>774237</v>
      </c>
      <c r="K38" s="262"/>
      <c r="L38" s="249">
        <f>SUM(L35:L37)</f>
        <v>912015</v>
      </c>
      <c r="M38" s="262"/>
      <c r="N38" s="263">
        <f>SUM(N35:N37)</f>
        <v>958508</v>
      </c>
      <c r="O38" s="250"/>
      <c r="P38" s="263">
        <f>SUM(P35:P37)</f>
        <v>1057306</v>
      </c>
      <c r="Q38" s="250"/>
      <c r="R38" s="263">
        <f>SUM(R35:R37)</f>
        <v>1073524</v>
      </c>
      <c r="S38" s="250"/>
      <c r="T38" s="263">
        <f>SUM(T35:T37)</f>
        <v>1063110</v>
      </c>
      <c r="U38" s="250"/>
      <c r="V38" s="263">
        <f>SUM(V35:V37)</f>
        <v>1045728</v>
      </c>
      <c r="W38" s="250"/>
      <c r="X38" s="263">
        <f>SUM(X35:X37)</f>
        <v>1326301</v>
      </c>
      <c r="Y38" s="250"/>
      <c r="Z38" s="149">
        <f>SUM(Z35:Z37)</f>
        <v>1364949</v>
      </c>
      <c r="AB38" s="12"/>
      <c r="AC38" s="1008">
        <f t="shared" si="3"/>
        <v>1174722.3999999999</v>
      </c>
    </row>
    <row r="39" spans="1:29" s="3" customFormat="1" x14ac:dyDescent="0.2">
      <c r="A39" s="2"/>
      <c r="B39" s="330" t="s">
        <v>73</v>
      </c>
      <c r="C39" s="184"/>
      <c r="D39" s="189"/>
      <c r="E39" s="31"/>
      <c r="F39" s="206"/>
      <c r="G39" s="239"/>
      <c r="H39" s="369"/>
      <c r="I39" s="139"/>
      <c r="J39" s="347"/>
      <c r="K39" s="239"/>
      <c r="L39" s="347"/>
      <c r="M39" s="239"/>
      <c r="N39" s="369"/>
      <c r="O39" s="139"/>
      <c r="P39" s="369"/>
      <c r="Q39" s="139"/>
      <c r="R39" s="369"/>
      <c r="S39" s="139"/>
      <c r="T39" s="369"/>
      <c r="U39" s="139"/>
      <c r="V39" s="369"/>
      <c r="W39" s="139"/>
      <c r="X39" s="369"/>
      <c r="Y39" s="139"/>
      <c r="Z39" s="282"/>
      <c r="AB39" s="12"/>
      <c r="AC39" s="947"/>
    </row>
    <row r="40" spans="1:29" s="3" customFormat="1" x14ac:dyDescent="0.2">
      <c r="A40" s="2"/>
      <c r="B40" s="331" t="s">
        <v>71</v>
      </c>
      <c r="C40" s="184"/>
      <c r="D40" s="189">
        <v>926247</v>
      </c>
      <c r="E40" s="31"/>
      <c r="F40" s="206">
        <v>975351</v>
      </c>
      <c r="G40" s="239"/>
      <c r="H40" s="369">
        <v>1000606</v>
      </c>
      <c r="I40" s="139"/>
      <c r="J40" s="347">
        <v>1037572</v>
      </c>
      <c r="K40" s="239"/>
      <c r="L40" s="347">
        <v>1074111</v>
      </c>
      <c r="M40" s="239"/>
      <c r="N40" s="369">
        <v>1118866</v>
      </c>
      <c r="O40" s="139"/>
      <c r="P40" s="369">
        <v>1035832</v>
      </c>
      <c r="Q40" s="139"/>
      <c r="R40" s="369">
        <v>1046477</v>
      </c>
      <c r="S40" s="139"/>
      <c r="T40" s="369">
        <v>1032184</v>
      </c>
      <c r="U40" s="139"/>
      <c r="V40" s="369">
        <v>1131647</v>
      </c>
      <c r="W40" s="139"/>
      <c r="X40" s="369">
        <v>1097245</v>
      </c>
      <c r="Y40" s="139"/>
      <c r="Z40" s="282">
        <v>1049360</v>
      </c>
      <c r="AB40" s="12"/>
      <c r="AC40" s="947">
        <f t="shared" ref="AC40:AC44" si="4">AVERAGE(X40,V40,R40,T40,Z40)</f>
        <v>1071382.6000000001</v>
      </c>
    </row>
    <row r="41" spans="1:29" s="3" customFormat="1" x14ac:dyDescent="0.2">
      <c r="A41" s="2"/>
      <c r="B41" s="331" t="s">
        <v>247</v>
      </c>
      <c r="C41" s="184"/>
      <c r="D41" s="189"/>
      <c r="E41" s="31"/>
      <c r="F41" s="206"/>
      <c r="G41" s="239"/>
      <c r="H41" s="1440"/>
      <c r="I41" s="139"/>
      <c r="J41" s="347">
        <v>130188</v>
      </c>
      <c r="K41" s="239"/>
      <c r="L41" s="347">
        <v>135232</v>
      </c>
      <c r="M41" s="239"/>
      <c r="N41" s="369">
        <v>140470</v>
      </c>
      <c r="O41" s="139"/>
      <c r="P41" s="369">
        <v>141850</v>
      </c>
      <c r="Q41" s="139"/>
      <c r="R41" s="369">
        <v>145090</v>
      </c>
      <c r="S41" s="139"/>
      <c r="T41" s="369">
        <v>146868</v>
      </c>
      <c r="U41" s="139"/>
      <c r="V41" s="369">
        <v>148621</v>
      </c>
      <c r="W41" s="139"/>
      <c r="X41" s="369">
        <v>102003</v>
      </c>
      <c r="Y41" s="139"/>
      <c r="Z41" s="282">
        <v>101810</v>
      </c>
      <c r="AB41" s="12"/>
      <c r="AC41" s="947">
        <f t="shared" si="4"/>
        <v>128878.39999999999</v>
      </c>
    </row>
    <row r="42" spans="1:29" s="3" customFormat="1" ht="36" x14ac:dyDescent="0.2">
      <c r="A42" s="2"/>
      <c r="B42" s="332" t="s">
        <v>248</v>
      </c>
      <c r="C42" s="184"/>
      <c r="D42" s="189">
        <v>750842</v>
      </c>
      <c r="E42" s="31"/>
      <c r="F42" s="206">
        <v>2355808</v>
      </c>
      <c r="G42" s="239"/>
      <c r="H42" s="369">
        <v>2358884</v>
      </c>
      <c r="I42" s="139"/>
      <c r="J42" s="347">
        <v>2234977</v>
      </c>
      <c r="K42" s="239"/>
      <c r="L42" s="347">
        <v>2234069</v>
      </c>
      <c r="M42" s="239"/>
      <c r="N42" s="369">
        <v>2232995</v>
      </c>
      <c r="O42" s="139"/>
      <c r="P42" s="369">
        <v>2231386</v>
      </c>
      <c r="Q42" s="139"/>
      <c r="R42" s="369">
        <v>2234329</v>
      </c>
      <c r="S42" s="139"/>
      <c r="T42" s="369">
        <v>2233626</v>
      </c>
      <c r="U42" s="139"/>
      <c r="V42" s="369">
        <v>2233077</v>
      </c>
      <c r="W42" s="139"/>
      <c r="X42" s="369">
        <v>2229223</v>
      </c>
      <c r="Y42" s="139"/>
      <c r="Z42" s="282">
        <v>2307470</v>
      </c>
      <c r="AB42" s="12"/>
      <c r="AC42" s="947">
        <f t="shared" si="4"/>
        <v>2247545</v>
      </c>
    </row>
    <row r="43" spans="1:29" s="3" customFormat="1" x14ac:dyDescent="0.2">
      <c r="A43" s="2"/>
      <c r="B43" s="333" t="s">
        <v>74</v>
      </c>
      <c r="C43" s="187"/>
      <c r="D43" s="190">
        <f>SUM(D40:D42)</f>
        <v>1677089</v>
      </c>
      <c r="E43" s="90"/>
      <c r="F43" s="207">
        <f>SUM(F40:F42)</f>
        <v>3331159</v>
      </c>
      <c r="G43" s="262"/>
      <c r="H43" s="263">
        <f>SUM(H40:H42)</f>
        <v>3359490</v>
      </c>
      <c r="I43" s="250"/>
      <c r="J43" s="249">
        <f>SUM(J40:J42)</f>
        <v>3402737</v>
      </c>
      <c r="K43" s="262"/>
      <c r="L43" s="249">
        <f>SUM(L40:L42)</f>
        <v>3443412</v>
      </c>
      <c r="M43" s="262"/>
      <c r="N43" s="263">
        <f>SUM(N40:N42)</f>
        <v>3492331</v>
      </c>
      <c r="O43" s="250"/>
      <c r="P43" s="263">
        <f>SUM(P40:P42)</f>
        <v>3409068</v>
      </c>
      <c r="Q43" s="250"/>
      <c r="R43" s="263">
        <f>SUM(R40:R42)</f>
        <v>3425896</v>
      </c>
      <c r="S43" s="250"/>
      <c r="T43" s="263">
        <f>SUM(T40:T42)</f>
        <v>3412678</v>
      </c>
      <c r="U43" s="250"/>
      <c r="V43" s="263">
        <f>SUM(V40:V42)</f>
        <v>3513345</v>
      </c>
      <c r="W43" s="250"/>
      <c r="X43" s="263">
        <f>SUM(X40:X42)</f>
        <v>3428471</v>
      </c>
      <c r="Y43" s="250"/>
      <c r="Z43" s="149">
        <f>SUM(Z40:Z42)</f>
        <v>3458640</v>
      </c>
      <c r="AB43" s="12"/>
      <c r="AC43" s="1008">
        <f t="shared" si="4"/>
        <v>3447806</v>
      </c>
    </row>
    <row r="44" spans="1:29" s="3" customFormat="1" ht="13.5" thickBot="1" x14ac:dyDescent="0.25">
      <c r="A44" s="2"/>
      <c r="B44" s="1493" t="s">
        <v>75</v>
      </c>
      <c r="C44" s="184"/>
      <c r="D44" s="190">
        <f>SUM(D38,D43)</f>
        <v>2202035</v>
      </c>
      <c r="E44" s="31"/>
      <c r="F44" s="207">
        <f>SUM(F38,F43)</f>
        <v>3979359</v>
      </c>
      <c r="G44" s="239"/>
      <c r="H44" s="263">
        <f>SUM(H38,H43)</f>
        <v>4105123</v>
      </c>
      <c r="I44" s="139"/>
      <c r="J44" s="249">
        <f>SUM(J38,J43)</f>
        <v>4176974</v>
      </c>
      <c r="K44" s="239"/>
      <c r="L44" s="249">
        <f>SUM(L38,L43)</f>
        <v>4355427</v>
      </c>
      <c r="M44" s="239"/>
      <c r="N44" s="263">
        <f>SUM(N38,N43)</f>
        <v>4450839</v>
      </c>
      <c r="O44" s="139"/>
      <c r="P44" s="263">
        <f>SUM(P38,P43)</f>
        <v>4466374</v>
      </c>
      <c r="Q44" s="139"/>
      <c r="R44" s="263">
        <f>SUM(R38,R43)</f>
        <v>4499420</v>
      </c>
      <c r="S44" s="139"/>
      <c r="T44" s="263">
        <f>SUM(T38,T43)</f>
        <v>4475788</v>
      </c>
      <c r="U44" s="139"/>
      <c r="V44" s="263">
        <f>SUM(V38,V43)</f>
        <v>4559073</v>
      </c>
      <c r="W44" s="139"/>
      <c r="X44" s="263">
        <f>SUM(X38,X43)</f>
        <v>4754772</v>
      </c>
      <c r="Y44" s="139"/>
      <c r="Z44" s="149">
        <f>SUM(Z38,Z43)</f>
        <v>4823589</v>
      </c>
      <c r="AB44" s="948"/>
      <c r="AC44" s="1008">
        <f t="shared" si="4"/>
        <v>4622528.4000000004</v>
      </c>
    </row>
    <row r="45" spans="1:29" s="3" customFormat="1" ht="12" x14ac:dyDescent="0.2">
      <c r="B45" s="81" t="s">
        <v>259</v>
      </c>
      <c r="C45" s="52"/>
      <c r="D45" s="191"/>
      <c r="E45" s="36"/>
      <c r="F45" s="36"/>
      <c r="G45" s="265"/>
      <c r="H45" s="248"/>
      <c r="I45" s="151"/>
      <c r="J45" s="151"/>
      <c r="K45" s="265"/>
      <c r="L45" s="151"/>
      <c r="M45" s="265"/>
      <c r="N45" s="248"/>
      <c r="O45" s="151"/>
      <c r="P45" s="248"/>
      <c r="Q45" s="151"/>
      <c r="R45" s="248"/>
      <c r="S45" s="151"/>
      <c r="T45" s="248"/>
      <c r="U45" s="151"/>
      <c r="V45" s="248"/>
      <c r="W45" s="151"/>
      <c r="X45" s="248"/>
      <c r="Y45" s="151"/>
      <c r="Z45" s="152"/>
      <c r="AB45" s="831"/>
      <c r="AC45" s="978"/>
    </row>
    <row r="46" spans="1:29" x14ac:dyDescent="0.2">
      <c r="A46" s="3"/>
      <c r="B46" s="78" t="s">
        <v>14</v>
      </c>
      <c r="C46" s="266"/>
      <c r="D46" s="460">
        <f>345989+321169</f>
        <v>667158</v>
      </c>
      <c r="E46" s="38"/>
      <c r="F46" s="458">
        <v>736320</v>
      </c>
      <c r="G46" s="432"/>
      <c r="H46" s="433">
        <v>990299.2</v>
      </c>
      <c r="I46" s="153"/>
      <c r="J46" s="376">
        <v>913217.81</v>
      </c>
      <c r="K46" s="266"/>
      <c r="L46" s="823">
        <f>914544+1060792</f>
        <v>1975336</v>
      </c>
      <c r="M46" s="266"/>
      <c r="N46" s="1140">
        <v>1210573</v>
      </c>
      <c r="O46" s="153"/>
      <c r="P46" s="1140">
        <v>1180214</v>
      </c>
      <c r="Q46" s="525"/>
      <c r="R46" s="1140">
        <v>1125453</v>
      </c>
      <c r="S46" s="525"/>
      <c r="T46" s="1140">
        <v>1261381</v>
      </c>
      <c r="U46" s="525"/>
      <c r="V46" s="1140">
        <v>1310096</v>
      </c>
      <c r="W46" s="525"/>
      <c r="X46" s="1140">
        <v>1585507.31</v>
      </c>
      <c r="Y46" s="525"/>
      <c r="Z46" s="1568"/>
      <c r="AB46" s="24"/>
      <c r="AC46" s="949">
        <f>AVERAGE(X46,V46,R46,T46,P46)</f>
        <v>1292530.2620000001</v>
      </c>
    </row>
    <row r="47" spans="1:29" x14ac:dyDescent="0.2">
      <c r="A47" s="3"/>
      <c r="B47" s="1340" t="s">
        <v>15</v>
      </c>
      <c r="C47" s="196"/>
      <c r="D47" s="235">
        <f>833481+315571</f>
        <v>1149052</v>
      </c>
      <c r="E47" s="64"/>
      <c r="F47" s="377">
        <v>1144244</v>
      </c>
      <c r="G47" s="309"/>
      <c r="H47" s="440">
        <v>1283200</v>
      </c>
      <c r="I47" s="415"/>
      <c r="J47" s="377">
        <v>1414064</v>
      </c>
      <c r="K47" s="309"/>
      <c r="L47" s="825">
        <f>29661+142071+153470+154234+57055</f>
        <v>536491</v>
      </c>
      <c r="M47" s="309"/>
      <c r="N47" s="1266">
        <f>149501+892941+171525+157462</f>
        <v>1371429</v>
      </c>
      <c r="O47" s="415"/>
      <c r="P47" s="1266">
        <f>1028836+315712+172051+53983</f>
        <v>1570582</v>
      </c>
      <c r="Q47" s="828"/>
      <c r="R47" s="1266">
        <f>1275705.98+225209.98</f>
        <v>1500915.96</v>
      </c>
      <c r="S47" s="828"/>
      <c r="T47" s="1266">
        <f>24074.65+1044974.81+42039.13+197332.69</f>
        <v>1308421.2799999998</v>
      </c>
      <c r="U47" s="828"/>
      <c r="V47" s="1266">
        <v>1676581</v>
      </c>
      <c r="W47" s="828"/>
      <c r="X47" s="1266">
        <v>1935534.91</v>
      </c>
      <c r="Y47" s="828"/>
      <c r="Z47" s="1576"/>
      <c r="AB47" s="63"/>
      <c r="AC47" s="949">
        <f>AVERAGE(X47,V47,R47,T47,P47)</f>
        <v>1598407.03</v>
      </c>
    </row>
    <row r="48" spans="1:29" ht="13.5" thickBot="1" x14ac:dyDescent="0.25">
      <c r="A48" s="3"/>
      <c r="B48" s="1539"/>
      <c r="C48" s="192"/>
      <c r="D48" s="208"/>
      <c r="E48" s="40"/>
      <c r="F48" s="321"/>
      <c r="G48" s="268"/>
      <c r="H48" s="428"/>
      <c r="I48" s="154"/>
      <c r="J48" s="399"/>
      <c r="K48" s="268"/>
      <c r="L48" s="399"/>
      <c r="M48" s="268"/>
      <c r="N48" s="428"/>
      <c r="O48" s="154"/>
      <c r="P48" s="428"/>
      <c r="Q48" s="154"/>
      <c r="R48" s="428"/>
      <c r="S48" s="154"/>
      <c r="T48" s="428"/>
      <c r="U48" s="154"/>
      <c r="V48" s="428"/>
      <c r="W48" s="154"/>
      <c r="X48" s="428"/>
      <c r="Y48" s="154"/>
      <c r="Z48" s="155"/>
      <c r="AB48" s="948"/>
      <c r="AC48" s="949"/>
    </row>
    <row r="49" spans="1:31" x14ac:dyDescent="0.2">
      <c r="A49" s="3"/>
      <c r="B49" s="77"/>
      <c r="C49" s="193" t="s">
        <v>133</v>
      </c>
      <c r="D49" s="194" t="s">
        <v>139</v>
      </c>
      <c r="E49" s="166" t="s">
        <v>133</v>
      </c>
      <c r="F49" s="84" t="s">
        <v>139</v>
      </c>
      <c r="G49" s="308" t="s">
        <v>133</v>
      </c>
      <c r="H49" s="417" t="s">
        <v>139</v>
      </c>
      <c r="I49" s="414" t="s">
        <v>133</v>
      </c>
      <c r="J49" s="352" t="s">
        <v>139</v>
      </c>
      <c r="K49" s="308" t="s">
        <v>133</v>
      </c>
      <c r="L49" s="352" t="s">
        <v>139</v>
      </c>
      <c r="M49" s="308" t="s">
        <v>133</v>
      </c>
      <c r="N49" s="417" t="s">
        <v>139</v>
      </c>
      <c r="O49" s="414" t="s">
        <v>133</v>
      </c>
      <c r="P49" s="417" t="s">
        <v>139</v>
      </c>
      <c r="Q49" s="414" t="s">
        <v>133</v>
      </c>
      <c r="R49" s="417" t="s">
        <v>139</v>
      </c>
      <c r="S49" s="414" t="s">
        <v>133</v>
      </c>
      <c r="T49" s="417" t="s">
        <v>139</v>
      </c>
      <c r="U49" s="414" t="s">
        <v>133</v>
      </c>
      <c r="V49" s="417" t="s">
        <v>139</v>
      </c>
      <c r="W49" s="414" t="s">
        <v>133</v>
      </c>
      <c r="X49" s="417" t="s">
        <v>139</v>
      </c>
      <c r="Y49" s="414" t="s">
        <v>133</v>
      </c>
      <c r="Z49" s="295" t="s">
        <v>139</v>
      </c>
      <c r="AB49" s="950" t="s">
        <v>133</v>
      </c>
      <c r="AC49" s="295" t="s">
        <v>139</v>
      </c>
    </row>
    <row r="50" spans="1:31" s="3" customFormat="1" ht="11.45" customHeight="1" x14ac:dyDescent="0.2">
      <c r="B50" s="80" t="s">
        <v>67</v>
      </c>
      <c r="C50" s="475">
        <v>42</v>
      </c>
      <c r="D50" s="1141">
        <v>5122971</v>
      </c>
      <c r="E50" s="108">
        <v>32</v>
      </c>
      <c r="F50" s="1139">
        <v>2513708</v>
      </c>
      <c r="G50" s="476">
        <v>37</v>
      </c>
      <c r="H50" s="1140">
        <v>5129327</v>
      </c>
      <c r="I50" s="477">
        <v>37</v>
      </c>
      <c r="J50" s="1123">
        <v>5356436</v>
      </c>
      <c r="K50" s="476">
        <v>31</v>
      </c>
      <c r="L50" s="1123">
        <v>3502753</v>
      </c>
      <c r="M50" s="476">
        <v>42</v>
      </c>
      <c r="N50" s="1140">
        <v>10598118</v>
      </c>
      <c r="O50" s="477">
        <v>22</v>
      </c>
      <c r="P50" s="1140">
        <v>3671455</v>
      </c>
      <c r="Q50" s="477">
        <v>17</v>
      </c>
      <c r="R50" s="1140">
        <v>3076758</v>
      </c>
      <c r="S50" s="477">
        <v>24</v>
      </c>
      <c r="T50" s="1140">
        <v>3634964</v>
      </c>
      <c r="U50" s="477">
        <v>25</v>
      </c>
      <c r="V50" s="1140">
        <v>5053477</v>
      </c>
      <c r="W50" s="477">
        <v>26</v>
      </c>
      <c r="X50" s="1140">
        <v>3817005</v>
      </c>
      <c r="Y50" s="1769"/>
      <c r="Z50" s="1770"/>
      <c r="AA50" s="1124"/>
      <c r="AB50" s="108">
        <f>AVERAGE(W50,U50,Q50,S50,O50)</f>
        <v>22.8</v>
      </c>
      <c r="AC50" s="1120">
        <f>AVERAGE(X50,V50,R50,T50,P50)</f>
        <v>3850731.8</v>
      </c>
      <c r="AE50" s="3" t="s">
        <v>29</v>
      </c>
    </row>
    <row r="51" spans="1:31" s="3" customFormat="1" ht="11.45" customHeight="1" x14ac:dyDescent="0.2">
      <c r="B51" s="80"/>
      <c r="C51" s="916"/>
      <c r="D51" s="1136"/>
      <c r="E51" s="838"/>
      <c r="F51" s="1126"/>
      <c r="G51" s="551"/>
      <c r="H51" s="1127"/>
      <c r="I51" s="255"/>
      <c r="J51" s="1128"/>
      <c r="K51" s="551"/>
      <c r="L51" s="1129"/>
      <c r="M51" s="551"/>
      <c r="N51" s="1127"/>
      <c r="O51" s="255"/>
      <c r="P51" s="1127"/>
      <c r="Q51" s="255"/>
      <c r="R51" s="1127"/>
      <c r="S51" s="255"/>
      <c r="T51" s="1127"/>
      <c r="U51" s="255"/>
      <c r="V51" s="1127"/>
      <c r="W51" s="255"/>
      <c r="X51" s="1127"/>
      <c r="Y51" s="1771"/>
      <c r="Z51" s="1772"/>
      <c r="AA51" s="1124"/>
      <c r="AB51" s="1013"/>
      <c r="AC51" s="1120"/>
    </row>
    <row r="52" spans="1:31" s="3" customFormat="1" thickBot="1" x14ac:dyDescent="0.25">
      <c r="B52" s="167" t="s">
        <v>16</v>
      </c>
      <c r="C52" s="913">
        <v>18</v>
      </c>
      <c r="D52" s="1137">
        <v>2134757</v>
      </c>
      <c r="E52" s="839">
        <v>27</v>
      </c>
      <c r="F52" s="322">
        <v>2623498.4</v>
      </c>
      <c r="G52" s="552">
        <v>24</v>
      </c>
      <c r="H52" s="442">
        <v>2764069</v>
      </c>
      <c r="I52" s="550">
        <v>25</v>
      </c>
      <c r="J52" s="456">
        <v>2643618</v>
      </c>
      <c r="K52" s="552">
        <v>16</v>
      </c>
      <c r="L52" s="453">
        <v>2347721</v>
      </c>
      <c r="M52" s="552">
        <v>6</v>
      </c>
      <c r="N52" s="442">
        <v>1158896</v>
      </c>
      <c r="O52" s="1491">
        <v>16</v>
      </c>
      <c r="P52" s="442">
        <v>3018734</v>
      </c>
      <c r="Q52" s="1491">
        <v>10</v>
      </c>
      <c r="R52" s="442">
        <v>1457390</v>
      </c>
      <c r="S52" s="1491">
        <v>11</v>
      </c>
      <c r="T52" s="442">
        <v>1383653</v>
      </c>
      <c r="U52" s="1491">
        <v>11</v>
      </c>
      <c r="V52" s="442">
        <v>1446113</v>
      </c>
      <c r="W52" s="1491">
        <v>13</v>
      </c>
      <c r="X52" s="442">
        <v>2463717</v>
      </c>
      <c r="Y52" s="1773"/>
      <c r="Z52" s="1781"/>
      <c r="AA52" s="1124"/>
      <c r="AB52" s="839">
        <f>AVERAGE(W52,U52,Q52,S52,O52)</f>
        <v>12.2</v>
      </c>
      <c r="AC52" s="1121">
        <f>AVERAGE(X52,V52,R52,T52,P52)</f>
        <v>1953921.4</v>
      </c>
    </row>
    <row r="53" spans="1:31" s="3" customFormat="1" thickTop="1" x14ac:dyDescent="0.2">
      <c r="B53" s="81" t="s">
        <v>84</v>
      </c>
      <c r="C53" s="199"/>
      <c r="D53" s="209"/>
      <c r="E53" s="45"/>
      <c r="F53" s="323"/>
      <c r="G53" s="269"/>
      <c r="H53" s="419"/>
      <c r="I53" s="156"/>
      <c r="J53" s="307"/>
      <c r="K53" s="269"/>
      <c r="L53" s="307"/>
      <c r="M53" s="269"/>
      <c r="N53" s="419"/>
      <c r="O53" s="156"/>
      <c r="P53" s="419"/>
      <c r="Q53" s="156"/>
      <c r="R53" s="419"/>
      <c r="S53" s="156"/>
      <c r="T53" s="419"/>
      <c r="U53" s="156"/>
      <c r="V53" s="419"/>
      <c r="W53" s="156"/>
      <c r="X53" s="419"/>
      <c r="Y53" s="156"/>
      <c r="Z53" s="158"/>
      <c r="AB53" s="2048"/>
      <c r="AC53" s="2049"/>
    </row>
    <row r="54" spans="1:31" s="3" customFormat="1" ht="6.75" customHeight="1" x14ac:dyDescent="0.2">
      <c r="B54" s="337" t="s">
        <v>35</v>
      </c>
      <c r="C54" s="201"/>
      <c r="D54" s="210"/>
      <c r="E54" s="97"/>
      <c r="F54" s="34"/>
      <c r="G54" s="271"/>
      <c r="H54" s="420"/>
      <c r="I54" s="157"/>
      <c r="J54" s="135"/>
      <c r="K54" s="271"/>
      <c r="L54" s="135"/>
      <c r="M54" s="271"/>
      <c r="N54" s="420"/>
      <c r="O54" s="157"/>
      <c r="P54" s="420"/>
      <c r="Q54" s="157"/>
      <c r="R54" s="420"/>
      <c r="S54" s="157"/>
      <c r="T54" s="420"/>
      <c r="U54" s="157"/>
      <c r="V54" s="420"/>
      <c r="W54" s="157"/>
      <c r="X54" s="420"/>
      <c r="Y54" s="157"/>
      <c r="Z54" s="287"/>
      <c r="AA54" s="955"/>
      <c r="AB54" s="720"/>
      <c r="AC54" s="1011"/>
    </row>
    <row r="55" spans="1:31" s="3" customFormat="1" ht="12" x14ac:dyDescent="0.2">
      <c r="B55" s="338" t="s">
        <v>85</v>
      </c>
      <c r="C55" s="202"/>
      <c r="D55" s="232">
        <v>8578.33</v>
      </c>
      <c r="E55" s="35"/>
      <c r="F55" s="345">
        <v>15010</v>
      </c>
      <c r="G55" s="272"/>
      <c r="H55" s="534">
        <v>17275</v>
      </c>
      <c r="I55" s="254"/>
      <c r="J55" s="542">
        <v>60810</v>
      </c>
      <c r="K55" s="541"/>
      <c r="L55" s="555">
        <v>16740</v>
      </c>
      <c r="M55" s="541"/>
      <c r="N55" s="546">
        <v>16296</v>
      </c>
      <c r="O55" s="508"/>
      <c r="P55" s="546">
        <v>12905</v>
      </c>
      <c r="Q55" s="508"/>
      <c r="R55" s="546">
        <v>32850</v>
      </c>
      <c r="S55" s="508"/>
      <c r="T55" s="546">
        <v>82471.69</v>
      </c>
      <c r="U55" s="508"/>
      <c r="V55" s="546">
        <v>173990</v>
      </c>
      <c r="W55" s="508"/>
      <c r="X55" s="546">
        <v>47602.92</v>
      </c>
      <c r="Y55" s="508"/>
      <c r="Z55" s="1577"/>
      <c r="AA55" s="955"/>
      <c r="AB55" s="1013"/>
      <c r="AC55" s="949">
        <f t="shared" ref="AC55:AC56" si="5">AVERAGE(X55,V55,R55,T55,P55)</f>
        <v>69963.921999999991</v>
      </c>
    </row>
    <row r="56" spans="1:31" s="3" customFormat="1" thickBot="1" x14ac:dyDescent="0.25">
      <c r="B56" s="339" t="s">
        <v>86</v>
      </c>
      <c r="C56" s="204"/>
      <c r="D56" s="211">
        <v>0</v>
      </c>
      <c r="E56" s="37"/>
      <c r="F56" s="324">
        <v>0</v>
      </c>
      <c r="G56" s="274"/>
      <c r="H56" s="485">
        <v>0</v>
      </c>
      <c r="I56" s="260"/>
      <c r="J56" s="455">
        <v>0</v>
      </c>
      <c r="K56" s="274"/>
      <c r="L56" s="455">
        <v>0</v>
      </c>
      <c r="M56" s="274"/>
      <c r="N56" s="485">
        <v>0</v>
      </c>
      <c r="O56" s="260"/>
      <c r="P56" s="485">
        <v>0</v>
      </c>
      <c r="Q56" s="260"/>
      <c r="R56" s="485">
        <v>0</v>
      </c>
      <c r="S56" s="260"/>
      <c r="T56" s="485">
        <v>0</v>
      </c>
      <c r="U56" s="260"/>
      <c r="V56" s="485">
        <v>0</v>
      </c>
      <c r="W56" s="260"/>
      <c r="X56" s="485">
        <v>0</v>
      </c>
      <c r="Y56" s="260"/>
      <c r="Z56" s="1578"/>
      <c r="AB56" s="1015"/>
      <c r="AC56" s="1024">
        <f t="shared" si="5"/>
        <v>0</v>
      </c>
    </row>
    <row r="57" spans="1:31" ht="13.5" thickTop="1" x14ac:dyDescent="0.2">
      <c r="A57" s="3"/>
      <c r="B57" s="96"/>
      <c r="C57" s="97"/>
      <c r="D57" s="98"/>
      <c r="E57" s="97"/>
      <c r="F57" s="34"/>
      <c r="G57" s="157"/>
      <c r="H57" s="135"/>
      <c r="I57" s="157"/>
      <c r="J57" s="135"/>
      <c r="K57" s="157"/>
      <c r="L57" s="135"/>
      <c r="M57" s="157"/>
      <c r="N57" s="135"/>
      <c r="O57" s="157"/>
      <c r="P57" s="135"/>
      <c r="Q57" s="157"/>
      <c r="R57" s="135"/>
      <c r="S57" s="157"/>
      <c r="T57" s="135"/>
      <c r="U57" s="157"/>
      <c r="V57" s="135"/>
      <c r="W57" s="157"/>
      <c r="X57" s="135"/>
      <c r="Y57" s="157"/>
      <c r="Z57" s="135"/>
    </row>
    <row r="58" spans="1:31" x14ac:dyDescent="0.2">
      <c r="A58" s="2" t="s">
        <v>78</v>
      </c>
      <c r="B58" s="96"/>
      <c r="C58" s="97"/>
      <c r="D58" s="98"/>
      <c r="E58" s="97"/>
      <c r="F58" s="34"/>
      <c r="G58" s="157"/>
      <c r="H58" s="135"/>
      <c r="I58" s="157"/>
      <c r="J58" s="135"/>
      <c r="K58" s="157"/>
      <c r="L58" s="135"/>
      <c r="M58" s="157"/>
      <c r="N58" s="135"/>
      <c r="O58" s="157"/>
      <c r="P58" s="135"/>
      <c r="Q58" s="157"/>
      <c r="R58" s="135"/>
      <c r="S58" s="157"/>
      <c r="T58" s="135"/>
      <c r="U58" s="157"/>
      <c r="V58" s="135"/>
      <c r="W58" s="157"/>
      <c r="X58" s="135"/>
      <c r="Y58" s="157"/>
      <c r="Z58" s="135"/>
    </row>
    <row r="59" spans="1:31" ht="13.5" thickBot="1" x14ac:dyDescent="0.25">
      <c r="A59" s="3"/>
      <c r="B59" s="96"/>
      <c r="C59" s="97"/>
      <c r="D59" s="98"/>
      <c r="E59" s="97"/>
      <c r="F59" s="34"/>
      <c r="G59" s="157"/>
      <c r="H59" s="135"/>
      <c r="I59" s="157"/>
      <c r="J59" s="135"/>
      <c r="K59" s="157"/>
      <c r="L59" s="135"/>
      <c r="M59" s="157"/>
      <c r="N59" s="135"/>
      <c r="O59" s="157"/>
      <c r="P59" s="135"/>
      <c r="Q59" s="157"/>
      <c r="R59" s="135"/>
      <c r="S59" s="157"/>
      <c r="T59" s="135"/>
      <c r="U59" s="157"/>
      <c r="V59" s="135"/>
      <c r="W59" s="157"/>
      <c r="X59" s="135"/>
      <c r="Y59" s="157"/>
      <c r="Z59" s="135"/>
    </row>
    <row r="60" spans="1:31" s="3" customFormat="1" ht="14.25" customHeight="1" thickTop="1" thickBot="1" x14ac:dyDescent="0.25">
      <c r="B60" s="340"/>
      <c r="C60" s="2015" t="s">
        <v>49</v>
      </c>
      <c r="D60" s="2014"/>
      <c r="E60" s="2015" t="s">
        <v>50</v>
      </c>
      <c r="F60" s="2015"/>
      <c r="G60" s="2002" t="s">
        <v>141</v>
      </c>
      <c r="H60" s="1982"/>
      <c r="I60" s="1974" t="s">
        <v>152</v>
      </c>
      <c r="J60" s="1974"/>
      <c r="K60" s="2002" t="s">
        <v>154</v>
      </c>
      <c r="L60" s="1974"/>
      <c r="M60" s="2002" t="s">
        <v>171</v>
      </c>
      <c r="N60" s="1982"/>
      <c r="O60" s="1974" t="s">
        <v>227</v>
      </c>
      <c r="P60" s="1982"/>
      <c r="Q60" s="1974" t="s">
        <v>237</v>
      </c>
      <c r="R60" s="1982"/>
      <c r="S60" s="1974" t="s">
        <v>272</v>
      </c>
      <c r="T60" s="1982"/>
      <c r="U60" s="1974" t="s">
        <v>274</v>
      </c>
      <c r="V60" s="1982"/>
      <c r="W60" s="1974" t="s">
        <v>280</v>
      </c>
      <c r="X60" s="1982"/>
      <c r="Y60" s="1974" t="s">
        <v>290</v>
      </c>
      <c r="Z60" s="1975"/>
      <c r="AB60" s="2003" t="s">
        <v>213</v>
      </c>
      <c r="AC60" s="2004"/>
    </row>
    <row r="61" spans="1:31" s="3" customFormat="1" ht="12" x14ac:dyDescent="0.2">
      <c r="B61" s="73" t="s">
        <v>53</v>
      </c>
      <c r="C61" s="30"/>
      <c r="D61" s="92"/>
      <c r="E61" s="30"/>
      <c r="F61" s="30"/>
      <c r="G61" s="243"/>
      <c r="H61" s="244"/>
      <c r="I61" s="138"/>
      <c r="J61" s="138"/>
      <c r="K61" s="243"/>
      <c r="L61" s="138"/>
      <c r="M61" s="243"/>
      <c r="N61" s="244"/>
      <c r="O61" s="138"/>
      <c r="P61" s="244"/>
      <c r="Q61" s="138"/>
      <c r="R61" s="244"/>
      <c r="S61" s="138"/>
      <c r="T61" s="244"/>
      <c r="U61" s="138"/>
      <c r="V61" s="244"/>
      <c r="W61" s="138"/>
      <c r="X61" s="244"/>
      <c r="Y61" s="138"/>
      <c r="Z61" s="140"/>
      <c r="AB61" s="831"/>
      <c r="AC61" s="930"/>
    </row>
    <row r="62" spans="1:31" s="3" customFormat="1" ht="12" x14ac:dyDescent="0.2">
      <c r="B62" s="74" t="s">
        <v>54</v>
      </c>
      <c r="C62" s="31"/>
      <c r="D62" s="165"/>
      <c r="E62" s="31"/>
      <c r="F62" s="171"/>
      <c r="G62" s="239"/>
      <c r="H62" s="261"/>
      <c r="I62" s="139"/>
      <c r="J62" s="183"/>
      <c r="K62" s="239"/>
      <c r="L62" s="183"/>
      <c r="M62" s="239"/>
      <c r="N62" s="261"/>
      <c r="O62" s="139"/>
      <c r="P62" s="261"/>
      <c r="Q62" s="139"/>
      <c r="R62" s="261"/>
      <c r="S62" s="139"/>
      <c r="T62" s="261"/>
      <c r="U62" s="139"/>
      <c r="V62" s="261"/>
      <c r="W62" s="139"/>
      <c r="X62" s="261"/>
      <c r="Y62" s="139"/>
      <c r="Z62" s="142"/>
      <c r="AB62" s="24"/>
      <c r="AC62" s="579"/>
    </row>
    <row r="63" spans="1:31" s="3" customFormat="1" ht="12" x14ac:dyDescent="0.2">
      <c r="B63" s="75" t="s">
        <v>55</v>
      </c>
      <c r="C63" s="31"/>
      <c r="D63" s="165">
        <v>5</v>
      </c>
      <c r="E63" s="31"/>
      <c r="F63" s="171">
        <v>4</v>
      </c>
      <c r="G63" s="239"/>
      <c r="H63" s="261">
        <v>3</v>
      </c>
      <c r="I63" s="139"/>
      <c r="J63" s="183">
        <v>2</v>
      </c>
      <c r="K63" s="239"/>
      <c r="L63" s="183">
        <v>2</v>
      </c>
      <c r="M63" s="239"/>
      <c r="N63" s="261">
        <v>2</v>
      </c>
      <c r="O63" s="139"/>
      <c r="P63" s="261">
        <v>1</v>
      </c>
      <c r="Q63" s="139"/>
      <c r="R63" s="261">
        <v>0</v>
      </c>
      <c r="S63" s="139"/>
      <c r="T63" s="261">
        <v>0</v>
      </c>
      <c r="U63" s="139"/>
      <c r="V63" s="261">
        <v>1</v>
      </c>
      <c r="W63" s="139"/>
      <c r="X63" s="261">
        <v>1</v>
      </c>
      <c r="Y63" s="139"/>
      <c r="Z63" s="142">
        <v>1</v>
      </c>
      <c r="AB63" s="12"/>
      <c r="AC63" s="1113">
        <f>AVERAGE(X63,V63,R63,T63,Z63)</f>
        <v>0.6</v>
      </c>
    </row>
    <row r="64" spans="1:31" s="3" customFormat="1" ht="12" x14ac:dyDescent="0.2">
      <c r="B64" s="75" t="s">
        <v>181</v>
      </c>
      <c r="C64" s="31"/>
      <c r="D64" s="165">
        <v>0</v>
      </c>
      <c r="E64" s="31"/>
      <c r="F64" s="171">
        <v>1</v>
      </c>
      <c r="G64" s="239"/>
      <c r="H64" s="261">
        <v>0</v>
      </c>
      <c r="I64" s="139"/>
      <c r="J64" s="183">
        <v>0</v>
      </c>
      <c r="K64" s="239"/>
      <c r="L64" s="183">
        <v>0</v>
      </c>
      <c r="M64" s="239"/>
      <c r="N64" s="261">
        <v>0</v>
      </c>
      <c r="O64" s="139"/>
      <c r="P64" s="261">
        <v>0</v>
      </c>
      <c r="Q64" s="139"/>
      <c r="R64" s="261">
        <v>1</v>
      </c>
      <c r="S64" s="139"/>
      <c r="T64" s="261">
        <v>0</v>
      </c>
      <c r="U64" s="139"/>
      <c r="V64" s="261">
        <v>0</v>
      </c>
      <c r="W64" s="139"/>
      <c r="X64" s="261">
        <v>0</v>
      </c>
      <c r="Y64" s="139"/>
      <c r="Z64" s="142">
        <v>0</v>
      </c>
      <c r="AB64" s="12"/>
      <c r="AC64" s="1113">
        <f>AVERAGE(X64,V64,R64,T64,Z64)</f>
        <v>0.2</v>
      </c>
    </row>
    <row r="65" spans="2:29" s="3" customFormat="1" ht="12" x14ac:dyDescent="0.2">
      <c r="B65" s="74" t="s">
        <v>57</v>
      </c>
      <c r="C65" s="31"/>
      <c r="D65" s="94"/>
      <c r="E65" s="31"/>
      <c r="F65" s="39"/>
      <c r="G65" s="239"/>
      <c r="H65" s="240"/>
      <c r="I65" s="139"/>
      <c r="J65" s="241"/>
      <c r="K65" s="239"/>
      <c r="L65" s="241"/>
      <c r="M65" s="239"/>
      <c r="N65" s="240"/>
      <c r="O65" s="139"/>
      <c r="P65" s="240"/>
      <c r="Q65" s="139"/>
      <c r="R65" s="240"/>
      <c r="S65" s="139"/>
      <c r="T65" s="240"/>
      <c r="U65" s="139"/>
      <c r="V65" s="240"/>
      <c r="W65" s="139"/>
      <c r="X65" s="240"/>
      <c r="Y65" s="139"/>
      <c r="Z65" s="143"/>
      <c r="AB65" s="12"/>
      <c r="AC65" s="1113"/>
    </row>
    <row r="66" spans="2:29" s="3" customFormat="1" ht="12" x14ac:dyDescent="0.2">
      <c r="B66" s="75" t="s">
        <v>55</v>
      </c>
      <c r="C66" s="31"/>
      <c r="D66" s="94">
        <v>8</v>
      </c>
      <c r="E66" s="31"/>
      <c r="F66" s="39">
        <v>7</v>
      </c>
      <c r="G66" s="239"/>
      <c r="H66" s="240">
        <v>12</v>
      </c>
      <c r="I66" s="139"/>
      <c r="J66" s="241">
        <v>14</v>
      </c>
      <c r="K66" s="239"/>
      <c r="L66" s="241">
        <v>14</v>
      </c>
      <c r="M66" s="239"/>
      <c r="N66" s="240">
        <v>14</v>
      </c>
      <c r="O66" s="139"/>
      <c r="P66" s="240">
        <v>14</v>
      </c>
      <c r="Q66" s="139"/>
      <c r="R66" s="240">
        <v>13</v>
      </c>
      <c r="S66" s="139"/>
      <c r="T66" s="240">
        <v>14</v>
      </c>
      <c r="U66" s="139"/>
      <c r="V66" s="240">
        <v>15</v>
      </c>
      <c r="W66" s="139"/>
      <c r="X66" s="240">
        <v>17</v>
      </c>
      <c r="Y66" s="139"/>
      <c r="Z66" s="143">
        <v>16</v>
      </c>
      <c r="AB66" s="12"/>
      <c r="AC66" s="1113">
        <f t="shared" ref="AC66:AC68" si="6">AVERAGE(X66,V66,R66,T66,Z66)</f>
        <v>15</v>
      </c>
    </row>
    <row r="67" spans="2:29" s="3" customFormat="1" ht="12" x14ac:dyDescent="0.2">
      <c r="B67" s="341" t="s">
        <v>181</v>
      </c>
      <c r="C67" s="31"/>
      <c r="D67" s="94">
        <v>0</v>
      </c>
      <c r="E67" s="31"/>
      <c r="F67" s="39">
        <v>0</v>
      </c>
      <c r="G67" s="239"/>
      <c r="H67" s="240">
        <v>0</v>
      </c>
      <c r="I67" s="139"/>
      <c r="J67" s="241">
        <v>0</v>
      </c>
      <c r="K67" s="239"/>
      <c r="L67" s="241">
        <v>0</v>
      </c>
      <c r="M67" s="239"/>
      <c r="N67" s="240">
        <v>1</v>
      </c>
      <c r="O67" s="139"/>
      <c r="P67" s="240">
        <v>0</v>
      </c>
      <c r="Q67" s="139"/>
      <c r="R67" s="240">
        <v>0</v>
      </c>
      <c r="S67" s="139"/>
      <c r="T67" s="240">
        <v>1</v>
      </c>
      <c r="U67" s="139"/>
      <c r="V67" s="240">
        <v>0</v>
      </c>
      <c r="W67" s="139"/>
      <c r="X67" s="240">
        <v>0</v>
      </c>
      <c r="Y67" s="139"/>
      <c r="Z67" s="143">
        <v>0</v>
      </c>
      <c r="AB67" s="12"/>
      <c r="AC67" s="1113">
        <f t="shared" si="6"/>
        <v>0.2</v>
      </c>
    </row>
    <row r="68" spans="2:29" s="3" customFormat="1" thickBot="1" x14ac:dyDescent="0.25">
      <c r="B68" s="79" t="s">
        <v>13</v>
      </c>
      <c r="C68" s="107"/>
      <c r="D68" s="234">
        <f>SUM(D63:D67)</f>
        <v>13</v>
      </c>
      <c r="E68" s="233"/>
      <c r="F68" s="106">
        <f>SUM(F63:F67)</f>
        <v>12</v>
      </c>
      <c r="G68" s="297"/>
      <c r="H68" s="427">
        <v>15</v>
      </c>
      <c r="I68" s="426"/>
      <c r="J68" s="454">
        <f>SUM(J63:J67)</f>
        <v>16</v>
      </c>
      <c r="K68" s="297"/>
      <c r="L68" s="454">
        <f>SUM(L63:L67)</f>
        <v>16</v>
      </c>
      <c r="M68" s="297"/>
      <c r="N68" s="427">
        <f>SUM(N63:N67)</f>
        <v>17</v>
      </c>
      <c r="O68" s="426"/>
      <c r="P68" s="427">
        <f>SUM(P63:P67)</f>
        <v>15</v>
      </c>
      <c r="Q68" s="426"/>
      <c r="R68" s="427">
        <f>SUM(R63:R67)</f>
        <v>14</v>
      </c>
      <c r="S68" s="426"/>
      <c r="T68" s="427">
        <f>SUM(T63:T67)</f>
        <v>15</v>
      </c>
      <c r="U68" s="426"/>
      <c r="V68" s="427">
        <f>SUM(V63:V67)</f>
        <v>16</v>
      </c>
      <c r="W68" s="426"/>
      <c r="X68" s="427">
        <f>SUM(X63:X67)</f>
        <v>18</v>
      </c>
      <c r="Y68" s="426"/>
      <c r="Z68" s="374">
        <f>SUM(Z63:Z67)</f>
        <v>17</v>
      </c>
      <c r="AB68" s="831"/>
      <c r="AC68" s="374">
        <f t="shared" si="6"/>
        <v>16</v>
      </c>
    </row>
    <row r="69" spans="2:29" s="3" customFormat="1" thickTop="1" x14ac:dyDescent="0.2">
      <c r="B69" s="342" t="s">
        <v>135</v>
      </c>
      <c r="C69" s="43"/>
      <c r="D69" s="56"/>
      <c r="E69" s="43" t="s">
        <v>133</v>
      </c>
      <c r="F69" s="41" t="s">
        <v>134</v>
      </c>
      <c r="G69" s="317" t="s">
        <v>133</v>
      </c>
      <c r="H69" s="412" t="s">
        <v>134</v>
      </c>
      <c r="I69" s="411" t="s">
        <v>133</v>
      </c>
      <c r="J69" s="449" t="s">
        <v>134</v>
      </c>
      <c r="K69" s="317" t="s">
        <v>133</v>
      </c>
      <c r="L69" s="449" t="s">
        <v>134</v>
      </c>
      <c r="M69" s="317" t="s">
        <v>133</v>
      </c>
      <c r="N69" s="441" t="s">
        <v>134</v>
      </c>
      <c r="O69" s="411" t="s">
        <v>133</v>
      </c>
      <c r="P69" s="412" t="s">
        <v>134</v>
      </c>
      <c r="Q69" s="411" t="s">
        <v>133</v>
      </c>
      <c r="R69" s="412" t="s">
        <v>134</v>
      </c>
      <c r="S69" s="411" t="s">
        <v>133</v>
      </c>
      <c r="T69" s="412" t="s">
        <v>134</v>
      </c>
      <c r="U69" s="411" t="s">
        <v>133</v>
      </c>
      <c r="V69" s="412" t="s">
        <v>134</v>
      </c>
      <c r="W69" s="411" t="s">
        <v>133</v>
      </c>
      <c r="X69" s="412" t="s">
        <v>134</v>
      </c>
      <c r="Y69" s="411" t="s">
        <v>133</v>
      </c>
      <c r="Z69" s="289" t="s">
        <v>134</v>
      </c>
      <c r="AB69" s="952" t="s">
        <v>133</v>
      </c>
      <c r="AC69" s="862" t="s">
        <v>134</v>
      </c>
    </row>
    <row r="70" spans="2:29" s="3" customFormat="1" ht="12" x14ac:dyDescent="0.2">
      <c r="B70" s="75" t="s">
        <v>87</v>
      </c>
      <c r="C70" s="173">
        <v>8</v>
      </c>
      <c r="D70" s="216">
        <f>C70/D$68</f>
        <v>0.61538461538461542</v>
      </c>
      <c r="E70" s="173">
        <v>8</v>
      </c>
      <c r="F70" s="221">
        <f t="shared" ref="F70:H77" si="7">E70/F$68</f>
        <v>0.66666666666666663</v>
      </c>
      <c r="G70" s="215">
        <v>9</v>
      </c>
      <c r="H70" s="216">
        <f t="shared" si="7"/>
        <v>0.6</v>
      </c>
      <c r="I70" s="173">
        <v>9</v>
      </c>
      <c r="J70" s="221">
        <f t="shared" ref="J70:L77" si="8">I70/J$68</f>
        <v>0.5625</v>
      </c>
      <c r="K70" s="215">
        <v>9</v>
      </c>
      <c r="L70" s="221">
        <f t="shared" si="8"/>
        <v>0.5625</v>
      </c>
      <c r="M70" s="215">
        <f>1+9</f>
        <v>10</v>
      </c>
      <c r="N70" s="216">
        <f t="shared" ref="N70:T77" si="9">M70/N$68</f>
        <v>0.58823529411764708</v>
      </c>
      <c r="O70" s="173">
        <v>9</v>
      </c>
      <c r="P70" s="216">
        <f t="shared" si="9"/>
        <v>0.6</v>
      </c>
      <c r="Q70" s="173">
        <v>9</v>
      </c>
      <c r="R70" s="216">
        <f t="shared" si="9"/>
        <v>0.6428571428571429</v>
      </c>
      <c r="S70" s="173">
        <f>9+1</f>
        <v>10</v>
      </c>
      <c r="T70" s="216">
        <f t="shared" si="9"/>
        <v>0.66666666666666663</v>
      </c>
      <c r="U70" s="173">
        <v>10</v>
      </c>
      <c r="V70" s="216">
        <f t="shared" ref="V70:V77" si="10">U70/V$68</f>
        <v>0.625</v>
      </c>
      <c r="W70" s="173">
        <v>12</v>
      </c>
      <c r="X70" s="216">
        <f t="shared" ref="X70:Z77" si="11">W70/X$68</f>
        <v>0.66666666666666663</v>
      </c>
      <c r="Y70" s="173">
        <v>12</v>
      </c>
      <c r="Z70" s="1494">
        <f t="shared" si="11"/>
        <v>0.70588235294117652</v>
      </c>
      <c r="AB70" s="1016">
        <f t="shared" ref="AB70:AB89" si="12">AVERAGE(W70,U70,Q70,S70,Y70)</f>
        <v>10.6</v>
      </c>
      <c r="AC70" s="863">
        <f t="shared" ref="AC70:AC89" si="13">AVERAGE(X70,V70,R70,T70,Z70)</f>
        <v>0.66141456582633051</v>
      </c>
    </row>
    <row r="71" spans="2:29" s="3" customFormat="1" ht="12" x14ac:dyDescent="0.2">
      <c r="B71" s="85" t="s">
        <v>88</v>
      </c>
      <c r="C71" s="173">
        <v>0</v>
      </c>
      <c r="D71" s="216">
        <f t="shared" ref="D71:D89" si="14">C71/$D$68</f>
        <v>0</v>
      </c>
      <c r="E71" s="173">
        <v>0</v>
      </c>
      <c r="F71" s="221">
        <f t="shared" si="7"/>
        <v>0</v>
      </c>
      <c r="G71" s="215">
        <v>0</v>
      </c>
      <c r="H71" s="216">
        <f t="shared" si="7"/>
        <v>0</v>
      </c>
      <c r="I71" s="173">
        <v>0</v>
      </c>
      <c r="J71" s="221">
        <f t="shared" si="8"/>
        <v>0</v>
      </c>
      <c r="K71" s="215">
        <v>0</v>
      </c>
      <c r="L71" s="221">
        <f t="shared" si="8"/>
        <v>0</v>
      </c>
      <c r="M71" s="215">
        <v>0</v>
      </c>
      <c r="N71" s="216">
        <f t="shared" si="9"/>
        <v>0</v>
      </c>
      <c r="O71" s="173">
        <v>0</v>
      </c>
      <c r="P71" s="216">
        <f t="shared" si="9"/>
        <v>0</v>
      </c>
      <c r="Q71" s="173">
        <v>0</v>
      </c>
      <c r="R71" s="216">
        <f t="shared" si="9"/>
        <v>0</v>
      </c>
      <c r="S71" s="173">
        <f>0</f>
        <v>0</v>
      </c>
      <c r="T71" s="216">
        <f t="shared" si="9"/>
        <v>0</v>
      </c>
      <c r="U71" s="173">
        <v>0</v>
      </c>
      <c r="V71" s="216">
        <f t="shared" si="10"/>
        <v>0</v>
      </c>
      <c r="W71" s="173">
        <v>0</v>
      </c>
      <c r="X71" s="216">
        <f t="shared" si="11"/>
        <v>0</v>
      </c>
      <c r="Y71" s="173">
        <v>0</v>
      </c>
      <c r="Z71" s="1494">
        <f t="shared" si="11"/>
        <v>0</v>
      </c>
      <c r="AB71" s="1016">
        <f t="shared" si="12"/>
        <v>0</v>
      </c>
      <c r="AC71" s="863">
        <f t="shared" si="13"/>
        <v>0</v>
      </c>
    </row>
    <row r="72" spans="2:29" s="3" customFormat="1" ht="12" x14ac:dyDescent="0.2">
      <c r="B72" s="85" t="s">
        <v>89</v>
      </c>
      <c r="C72" s="173">
        <v>0</v>
      </c>
      <c r="D72" s="216">
        <f t="shared" si="14"/>
        <v>0</v>
      </c>
      <c r="E72" s="173">
        <v>0</v>
      </c>
      <c r="F72" s="221">
        <f t="shared" si="7"/>
        <v>0</v>
      </c>
      <c r="G72" s="215">
        <v>0</v>
      </c>
      <c r="H72" s="216">
        <f t="shared" si="7"/>
        <v>0</v>
      </c>
      <c r="I72" s="173">
        <v>0</v>
      </c>
      <c r="J72" s="221">
        <f t="shared" si="8"/>
        <v>0</v>
      </c>
      <c r="K72" s="215">
        <v>0</v>
      </c>
      <c r="L72" s="221">
        <f t="shared" si="8"/>
        <v>0</v>
      </c>
      <c r="M72" s="215">
        <v>0</v>
      </c>
      <c r="N72" s="216">
        <f t="shared" si="9"/>
        <v>0</v>
      </c>
      <c r="O72" s="173">
        <v>0</v>
      </c>
      <c r="P72" s="216">
        <f t="shared" si="9"/>
        <v>0</v>
      </c>
      <c r="Q72" s="173">
        <v>0</v>
      </c>
      <c r="R72" s="216">
        <f t="shared" si="9"/>
        <v>0</v>
      </c>
      <c r="S72" s="173">
        <f>0</f>
        <v>0</v>
      </c>
      <c r="T72" s="216">
        <f t="shared" si="9"/>
        <v>0</v>
      </c>
      <c r="U72" s="173">
        <v>1</v>
      </c>
      <c r="V72" s="216">
        <f t="shared" si="10"/>
        <v>6.25E-2</v>
      </c>
      <c r="W72" s="173">
        <v>1</v>
      </c>
      <c r="X72" s="216">
        <f t="shared" si="11"/>
        <v>5.5555555555555552E-2</v>
      </c>
      <c r="Y72" s="173">
        <v>1</v>
      </c>
      <c r="Z72" s="1494">
        <f t="shared" si="11"/>
        <v>5.8823529411764705E-2</v>
      </c>
      <c r="AB72" s="1016">
        <f t="shared" si="12"/>
        <v>0.6</v>
      </c>
      <c r="AC72" s="863">
        <f t="shared" si="13"/>
        <v>3.5375816993464052E-2</v>
      </c>
    </row>
    <row r="73" spans="2:29" s="3" customFormat="1" ht="12" x14ac:dyDescent="0.2">
      <c r="B73" s="85" t="s">
        <v>90</v>
      </c>
      <c r="C73" s="173">
        <v>0</v>
      </c>
      <c r="D73" s="216">
        <f t="shared" si="14"/>
        <v>0</v>
      </c>
      <c r="E73" s="173">
        <v>0</v>
      </c>
      <c r="F73" s="221">
        <f t="shared" si="7"/>
        <v>0</v>
      </c>
      <c r="G73" s="215">
        <v>0</v>
      </c>
      <c r="H73" s="216">
        <f t="shared" si="7"/>
        <v>0</v>
      </c>
      <c r="I73" s="173">
        <v>0</v>
      </c>
      <c r="J73" s="221">
        <f t="shared" si="8"/>
        <v>0</v>
      </c>
      <c r="K73" s="215">
        <v>0</v>
      </c>
      <c r="L73" s="221">
        <f t="shared" si="8"/>
        <v>0</v>
      </c>
      <c r="M73" s="215">
        <v>0</v>
      </c>
      <c r="N73" s="216">
        <f t="shared" si="9"/>
        <v>0</v>
      </c>
      <c r="O73" s="173">
        <v>0</v>
      </c>
      <c r="P73" s="216">
        <f t="shared" si="9"/>
        <v>0</v>
      </c>
      <c r="Q73" s="173">
        <v>0</v>
      </c>
      <c r="R73" s="216">
        <f t="shared" si="9"/>
        <v>0</v>
      </c>
      <c r="S73" s="173">
        <f>0</f>
        <v>0</v>
      </c>
      <c r="T73" s="216">
        <f t="shared" si="9"/>
        <v>0</v>
      </c>
      <c r="U73" s="173">
        <v>0</v>
      </c>
      <c r="V73" s="216">
        <f t="shared" si="10"/>
        <v>0</v>
      </c>
      <c r="W73" s="173">
        <v>0</v>
      </c>
      <c r="X73" s="216">
        <f t="shared" si="11"/>
        <v>0</v>
      </c>
      <c r="Y73" s="173">
        <v>0</v>
      </c>
      <c r="Z73" s="1494">
        <f t="shared" si="11"/>
        <v>0</v>
      </c>
      <c r="AB73" s="1016">
        <f t="shared" si="12"/>
        <v>0</v>
      </c>
      <c r="AC73" s="863">
        <f t="shared" si="13"/>
        <v>0</v>
      </c>
    </row>
    <row r="74" spans="2:29" s="3" customFormat="1" ht="12" x14ac:dyDescent="0.2">
      <c r="B74" s="85" t="s">
        <v>91</v>
      </c>
      <c r="C74" s="173">
        <v>5</v>
      </c>
      <c r="D74" s="216">
        <f t="shared" si="14"/>
        <v>0.38461538461538464</v>
      </c>
      <c r="E74" s="173">
        <v>3</v>
      </c>
      <c r="F74" s="221">
        <f t="shared" si="7"/>
        <v>0.25</v>
      </c>
      <c r="G74" s="215">
        <v>5</v>
      </c>
      <c r="H74" s="216">
        <f t="shared" si="7"/>
        <v>0.33333333333333331</v>
      </c>
      <c r="I74" s="173">
        <f>2+2</f>
        <v>4</v>
      </c>
      <c r="J74" s="221">
        <f t="shared" si="8"/>
        <v>0.25</v>
      </c>
      <c r="K74" s="215">
        <v>6</v>
      </c>
      <c r="L74" s="221">
        <f t="shared" si="8"/>
        <v>0.375</v>
      </c>
      <c r="M74" s="215">
        <f>2+4</f>
        <v>6</v>
      </c>
      <c r="N74" s="216">
        <f t="shared" si="9"/>
        <v>0.35294117647058826</v>
      </c>
      <c r="O74" s="173">
        <v>6</v>
      </c>
      <c r="P74" s="216">
        <f t="shared" si="9"/>
        <v>0.4</v>
      </c>
      <c r="Q74" s="173">
        <v>5</v>
      </c>
      <c r="R74" s="216">
        <f t="shared" si="9"/>
        <v>0.35714285714285715</v>
      </c>
      <c r="S74" s="173">
        <f>5</f>
        <v>5</v>
      </c>
      <c r="T74" s="216">
        <f t="shared" si="9"/>
        <v>0.33333333333333331</v>
      </c>
      <c r="U74" s="173">
        <v>5</v>
      </c>
      <c r="V74" s="216">
        <f t="shared" si="10"/>
        <v>0.3125</v>
      </c>
      <c r="W74" s="173">
        <v>5</v>
      </c>
      <c r="X74" s="216">
        <f t="shared" si="11"/>
        <v>0.27777777777777779</v>
      </c>
      <c r="Y74" s="173">
        <v>4</v>
      </c>
      <c r="Z74" s="1494">
        <f t="shared" si="11"/>
        <v>0.23529411764705882</v>
      </c>
      <c r="AB74" s="1016">
        <f t="shared" si="12"/>
        <v>4.8</v>
      </c>
      <c r="AC74" s="863">
        <f t="shared" si="13"/>
        <v>0.30320961718020539</v>
      </c>
    </row>
    <row r="75" spans="2:29" s="3" customFormat="1" ht="12" x14ac:dyDescent="0.2">
      <c r="B75" s="85" t="s">
        <v>92</v>
      </c>
      <c r="C75" s="173">
        <v>0</v>
      </c>
      <c r="D75" s="216">
        <f t="shared" si="14"/>
        <v>0</v>
      </c>
      <c r="E75" s="173">
        <v>1</v>
      </c>
      <c r="F75" s="221">
        <f t="shared" si="7"/>
        <v>8.3333333333333329E-2</v>
      </c>
      <c r="G75" s="215">
        <v>1</v>
      </c>
      <c r="H75" s="216">
        <f t="shared" si="7"/>
        <v>6.6666666666666666E-2</v>
      </c>
      <c r="I75" s="173">
        <v>3</v>
      </c>
      <c r="J75" s="221">
        <f t="shared" si="8"/>
        <v>0.1875</v>
      </c>
      <c r="K75" s="215">
        <v>1</v>
      </c>
      <c r="L75" s="221">
        <f t="shared" si="8"/>
        <v>6.25E-2</v>
      </c>
      <c r="M75" s="215">
        <v>1</v>
      </c>
      <c r="N75" s="216">
        <f t="shared" si="9"/>
        <v>5.8823529411764705E-2</v>
      </c>
      <c r="O75" s="173">
        <v>0</v>
      </c>
      <c r="P75" s="216">
        <f t="shared" si="9"/>
        <v>0</v>
      </c>
      <c r="Q75" s="173">
        <v>0</v>
      </c>
      <c r="R75" s="216">
        <f t="shared" si="9"/>
        <v>0</v>
      </c>
      <c r="S75" s="173">
        <f>0</f>
        <v>0</v>
      </c>
      <c r="T75" s="216">
        <f t="shared" si="9"/>
        <v>0</v>
      </c>
      <c r="U75" s="173">
        <v>0</v>
      </c>
      <c r="V75" s="216">
        <f t="shared" si="10"/>
        <v>0</v>
      </c>
      <c r="W75" s="173">
        <v>0</v>
      </c>
      <c r="X75" s="216">
        <f t="shared" si="11"/>
        <v>0</v>
      </c>
      <c r="Y75" s="173">
        <v>0</v>
      </c>
      <c r="Z75" s="1494">
        <f t="shared" si="11"/>
        <v>0</v>
      </c>
      <c r="AB75" s="1016">
        <f t="shared" si="12"/>
        <v>0</v>
      </c>
      <c r="AC75" s="863">
        <f t="shared" si="13"/>
        <v>0</v>
      </c>
    </row>
    <row r="76" spans="2:29" s="3" customFormat="1" ht="12" x14ac:dyDescent="0.2">
      <c r="B76" s="85" t="s">
        <v>256</v>
      </c>
      <c r="C76" s="174"/>
      <c r="D76" s="216"/>
      <c r="E76" s="174"/>
      <c r="F76" s="221"/>
      <c r="G76" s="1501"/>
      <c r="H76" s="1502"/>
      <c r="I76" s="1429"/>
      <c r="J76" s="1503"/>
      <c r="K76" s="1501"/>
      <c r="L76" s="1503"/>
      <c r="M76" s="1501"/>
      <c r="N76" s="1502"/>
      <c r="O76" s="1429"/>
      <c r="P76" s="1502"/>
      <c r="Q76" s="174">
        <v>0</v>
      </c>
      <c r="R76" s="216">
        <f t="shared" si="9"/>
        <v>0</v>
      </c>
      <c r="S76" s="174">
        <f>0</f>
        <v>0</v>
      </c>
      <c r="T76" s="216">
        <f t="shared" si="9"/>
        <v>0</v>
      </c>
      <c r="U76" s="174">
        <v>0</v>
      </c>
      <c r="V76" s="216">
        <f t="shared" si="10"/>
        <v>0</v>
      </c>
      <c r="W76" s="174">
        <v>0</v>
      </c>
      <c r="X76" s="216">
        <f t="shared" si="11"/>
        <v>0</v>
      </c>
      <c r="Y76" s="174">
        <v>0</v>
      </c>
      <c r="Z76" s="1494">
        <f t="shared" si="11"/>
        <v>0</v>
      </c>
      <c r="AB76" s="1016">
        <f t="shared" si="12"/>
        <v>0</v>
      </c>
      <c r="AC76" s="863">
        <f t="shared" si="13"/>
        <v>0</v>
      </c>
    </row>
    <row r="77" spans="2:29" s="3" customFormat="1" ht="12" x14ac:dyDescent="0.2">
      <c r="B77" s="85" t="s">
        <v>93</v>
      </c>
      <c r="C77" s="174">
        <v>0</v>
      </c>
      <c r="D77" s="216">
        <f t="shared" si="14"/>
        <v>0</v>
      </c>
      <c r="E77" s="174">
        <v>0</v>
      </c>
      <c r="F77" s="221">
        <f t="shared" si="7"/>
        <v>0</v>
      </c>
      <c r="G77" s="217">
        <v>0</v>
      </c>
      <c r="H77" s="216">
        <f t="shared" si="7"/>
        <v>0</v>
      </c>
      <c r="I77" s="174">
        <v>0</v>
      </c>
      <c r="J77" s="221">
        <f t="shared" si="8"/>
        <v>0</v>
      </c>
      <c r="K77" s="217">
        <v>0</v>
      </c>
      <c r="L77" s="221">
        <f t="shared" si="8"/>
        <v>0</v>
      </c>
      <c r="M77" s="217">
        <v>0</v>
      </c>
      <c r="N77" s="216">
        <f t="shared" si="9"/>
        <v>0</v>
      </c>
      <c r="O77" s="174">
        <v>0</v>
      </c>
      <c r="P77" s="216">
        <f t="shared" si="9"/>
        <v>0</v>
      </c>
      <c r="Q77" s="174">
        <v>0</v>
      </c>
      <c r="R77" s="216">
        <f t="shared" si="9"/>
        <v>0</v>
      </c>
      <c r="S77" s="174">
        <f>0</f>
        <v>0</v>
      </c>
      <c r="T77" s="216">
        <f t="shared" si="9"/>
        <v>0</v>
      </c>
      <c r="U77" s="174">
        <v>0</v>
      </c>
      <c r="V77" s="216">
        <f t="shared" si="10"/>
        <v>0</v>
      </c>
      <c r="W77" s="174">
        <v>0</v>
      </c>
      <c r="X77" s="216">
        <f t="shared" si="11"/>
        <v>0</v>
      </c>
      <c r="Y77" s="174">
        <v>0</v>
      </c>
      <c r="Z77" s="1494">
        <f t="shared" si="11"/>
        <v>0</v>
      </c>
      <c r="AB77" s="1016">
        <f t="shared" si="12"/>
        <v>0</v>
      </c>
      <c r="AC77" s="863">
        <f t="shared" si="13"/>
        <v>0</v>
      </c>
    </row>
    <row r="78" spans="2:29" s="3" customFormat="1" ht="12" x14ac:dyDescent="0.2">
      <c r="B78" s="343" t="s">
        <v>136</v>
      </c>
      <c r="C78" s="1200"/>
      <c r="D78" s="216"/>
      <c r="E78" s="226"/>
      <c r="F78" s="310"/>
      <c r="G78" s="326"/>
      <c r="H78" s="394"/>
      <c r="I78" s="226"/>
      <c r="J78" s="310"/>
      <c r="K78" s="326"/>
      <c r="L78" s="310"/>
      <c r="M78" s="326"/>
      <c r="N78" s="394"/>
      <c r="O78" s="226"/>
      <c r="P78" s="394"/>
      <c r="Q78" s="226"/>
      <c r="R78" s="394"/>
      <c r="S78" s="226"/>
      <c r="T78" s="394"/>
      <c r="U78" s="226"/>
      <c r="V78" s="394"/>
      <c r="W78" s="226"/>
      <c r="X78" s="394"/>
      <c r="Y78" s="226"/>
      <c r="Z78" s="1500"/>
      <c r="AB78" s="1016"/>
      <c r="AC78" s="863"/>
    </row>
    <row r="79" spans="2:29" s="3" customFormat="1" ht="12" x14ac:dyDescent="0.2">
      <c r="B79" s="75" t="s">
        <v>124</v>
      </c>
      <c r="C79" s="183">
        <v>10</v>
      </c>
      <c r="D79" s="216">
        <f t="shared" si="14"/>
        <v>0.76923076923076927</v>
      </c>
      <c r="E79" s="171">
        <v>10</v>
      </c>
      <c r="F79" s="311">
        <f>E79/F$68</f>
        <v>0.83333333333333337</v>
      </c>
      <c r="G79" s="229">
        <v>11</v>
      </c>
      <c r="H79" s="395">
        <f>G79/H$68</f>
        <v>0.73333333333333328</v>
      </c>
      <c r="I79" s="183">
        <v>12</v>
      </c>
      <c r="J79" s="221">
        <f>I79/J$68</f>
        <v>0.75</v>
      </c>
      <c r="K79" s="229">
        <v>12</v>
      </c>
      <c r="L79" s="221">
        <f>K79/L$68</f>
        <v>0.75</v>
      </c>
      <c r="M79" s="229">
        <f>2+10</f>
        <v>12</v>
      </c>
      <c r="N79" s="216">
        <f>M79/N$68</f>
        <v>0.70588235294117652</v>
      </c>
      <c r="O79" s="183">
        <v>12</v>
      </c>
      <c r="P79" s="216">
        <f>O79/P$68</f>
        <v>0.8</v>
      </c>
      <c r="Q79" s="183">
        <v>11</v>
      </c>
      <c r="R79" s="216">
        <f>Q79/R$68</f>
        <v>0.7857142857142857</v>
      </c>
      <c r="S79" s="183">
        <f>12+1</f>
        <v>13</v>
      </c>
      <c r="T79" s="216">
        <f>S79/T$68</f>
        <v>0.8666666666666667</v>
      </c>
      <c r="U79" s="183">
        <v>12</v>
      </c>
      <c r="V79" s="216">
        <f>U79/V$68</f>
        <v>0.75</v>
      </c>
      <c r="W79" s="183">
        <v>13</v>
      </c>
      <c r="X79" s="216">
        <f>W79/X$68</f>
        <v>0.72222222222222221</v>
      </c>
      <c r="Y79" s="183">
        <v>12</v>
      </c>
      <c r="Z79" s="1494">
        <f>Y79/Z$68</f>
        <v>0.70588235294117652</v>
      </c>
      <c r="AB79" s="1016">
        <f t="shared" si="12"/>
        <v>12.2</v>
      </c>
      <c r="AC79" s="863">
        <f t="shared" si="13"/>
        <v>0.76609710550887022</v>
      </c>
    </row>
    <row r="80" spans="2:29" s="3" customFormat="1" ht="12" x14ac:dyDescent="0.2">
      <c r="B80" s="75" t="s">
        <v>125</v>
      </c>
      <c r="C80" s="283">
        <v>3</v>
      </c>
      <c r="D80" s="216">
        <f t="shared" si="14"/>
        <v>0.23076923076923078</v>
      </c>
      <c r="E80" s="223">
        <v>2</v>
      </c>
      <c r="F80" s="311">
        <f>E80/F$68</f>
        <v>0.16666666666666666</v>
      </c>
      <c r="G80" s="230">
        <v>4</v>
      </c>
      <c r="H80" s="395">
        <f>G80/H$68</f>
        <v>0.26666666666666666</v>
      </c>
      <c r="I80" s="283">
        <v>4</v>
      </c>
      <c r="J80" s="221">
        <f>I80/J$68</f>
        <v>0.25</v>
      </c>
      <c r="K80" s="230">
        <v>4</v>
      </c>
      <c r="L80" s="221">
        <f>K80/L$68</f>
        <v>0.25</v>
      </c>
      <c r="M80" s="230">
        <f>1+4</f>
        <v>5</v>
      </c>
      <c r="N80" s="216">
        <f>M80/N$68</f>
        <v>0.29411764705882354</v>
      </c>
      <c r="O80" s="283">
        <v>3</v>
      </c>
      <c r="P80" s="216">
        <f>O80/P$68</f>
        <v>0.2</v>
      </c>
      <c r="Q80" s="283">
        <v>3</v>
      </c>
      <c r="R80" s="216">
        <f>Q80/R$68</f>
        <v>0.21428571428571427</v>
      </c>
      <c r="S80" s="283">
        <f>2</f>
        <v>2</v>
      </c>
      <c r="T80" s="216">
        <f>S80/T$68</f>
        <v>0.13333333333333333</v>
      </c>
      <c r="U80" s="283">
        <v>4</v>
      </c>
      <c r="V80" s="216">
        <f>U80/V$68</f>
        <v>0.25</v>
      </c>
      <c r="W80" s="283">
        <v>5</v>
      </c>
      <c r="X80" s="216">
        <f>W80/X$68</f>
        <v>0.27777777777777779</v>
      </c>
      <c r="Y80" s="283">
        <v>5</v>
      </c>
      <c r="Z80" s="1494">
        <f>Y80/Z$68</f>
        <v>0.29411764705882354</v>
      </c>
      <c r="AB80" s="1016">
        <f t="shared" si="12"/>
        <v>3.8</v>
      </c>
      <c r="AC80" s="863">
        <f t="shared" si="13"/>
        <v>0.2339028944911298</v>
      </c>
    </row>
    <row r="81" spans="1:32" s="3" customFormat="1" ht="12" x14ac:dyDescent="0.2">
      <c r="B81" s="343" t="s">
        <v>137</v>
      </c>
      <c r="C81" s="1201"/>
      <c r="D81" s="216"/>
      <c r="E81" s="227"/>
      <c r="F81" s="311"/>
      <c r="G81" s="315"/>
      <c r="H81" s="395"/>
      <c r="I81" s="285"/>
      <c r="J81" s="221"/>
      <c r="K81" s="315"/>
      <c r="L81" s="221"/>
      <c r="M81" s="315"/>
      <c r="N81" s="216"/>
      <c r="O81" s="285"/>
      <c r="P81" s="216"/>
      <c r="Q81" s="285"/>
      <c r="R81" s="216"/>
      <c r="S81" s="285"/>
      <c r="T81" s="216"/>
      <c r="U81" s="285"/>
      <c r="V81" s="216"/>
      <c r="W81" s="285"/>
      <c r="X81" s="216"/>
      <c r="Y81" s="285"/>
      <c r="Z81" s="1494"/>
      <c r="AB81" s="1016"/>
      <c r="AC81" s="863"/>
    </row>
    <row r="82" spans="1:32" s="3" customFormat="1" ht="12" x14ac:dyDescent="0.2">
      <c r="B82" s="75" t="s">
        <v>126</v>
      </c>
      <c r="C82" s="223">
        <v>10</v>
      </c>
      <c r="D82" s="216">
        <f t="shared" si="14"/>
        <v>0.76923076923076927</v>
      </c>
      <c r="E82" s="223">
        <v>11</v>
      </c>
      <c r="F82" s="311">
        <f>E82/F$68</f>
        <v>0.91666666666666663</v>
      </c>
      <c r="G82" s="230">
        <v>11</v>
      </c>
      <c r="H82" s="395">
        <f>G82/H$68</f>
        <v>0.73333333333333328</v>
      </c>
      <c r="I82" s="283">
        <v>11</v>
      </c>
      <c r="J82" s="221">
        <f>I82/J$68</f>
        <v>0.6875</v>
      </c>
      <c r="K82" s="230">
        <v>11</v>
      </c>
      <c r="L82" s="221">
        <f>K82/L$68</f>
        <v>0.6875</v>
      </c>
      <c r="M82" s="230">
        <f>1+10</f>
        <v>11</v>
      </c>
      <c r="N82" s="216">
        <f>M82/N$68</f>
        <v>0.6470588235294118</v>
      </c>
      <c r="O82" s="283">
        <v>11</v>
      </c>
      <c r="P82" s="216">
        <f>O82/P$68</f>
        <v>0.73333333333333328</v>
      </c>
      <c r="Q82" s="283">
        <v>11</v>
      </c>
      <c r="R82" s="216">
        <f>Q82/R$68</f>
        <v>0.7857142857142857</v>
      </c>
      <c r="S82" s="283">
        <f>9+1</f>
        <v>10</v>
      </c>
      <c r="T82" s="216">
        <f>S82/T$68</f>
        <v>0.66666666666666663</v>
      </c>
      <c r="U82" s="283">
        <v>11</v>
      </c>
      <c r="V82" s="216">
        <f>U82/V$68</f>
        <v>0.6875</v>
      </c>
      <c r="W82" s="283">
        <v>13</v>
      </c>
      <c r="X82" s="216">
        <f>W82/X$68</f>
        <v>0.72222222222222221</v>
      </c>
      <c r="Y82" s="283">
        <v>12</v>
      </c>
      <c r="Z82" s="1494">
        <f>Y82/Z$68</f>
        <v>0.70588235294117652</v>
      </c>
      <c r="AB82" s="1016">
        <f t="shared" si="12"/>
        <v>11.4</v>
      </c>
      <c r="AC82" s="863">
        <f t="shared" si="13"/>
        <v>0.71359710550887023</v>
      </c>
    </row>
    <row r="83" spans="1:32" s="3" customFormat="1" ht="12" x14ac:dyDescent="0.2">
      <c r="B83" s="75" t="s">
        <v>127</v>
      </c>
      <c r="C83" s="223">
        <v>2</v>
      </c>
      <c r="D83" s="216">
        <f t="shared" si="14"/>
        <v>0.15384615384615385</v>
      </c>
      <c r="E83" s="223">
        <v>0</v>
      </c>
      <c r="F83" s="311">
        <f>E83/F$68</f>
        <v>0</v>
      </c>
      <c r="G83" s="230">
        <v>2</v>
      </c>
      <c r="H83" s="395">
        <f>G83/H$68</f>
        <v>0.13333333333333333</v>
      </c>
      <c r="I83" s="283">
        <v>2</v>
      </c>
      <c r="J83" s="221">
        <f>I83/J$68</f>
        <v>0.125</v>
      </c>
      <c r="K83" s="230">
        <v>3</v>
      </c>
      <c r="L83" s="221">
        <f>K83/L$68</f>
        <v>0.1875</v>
      </c>
      <c r="M83" s="230">
        <f>1+2</f>
        <v>3</v>
      </c>
      <c r="N83" s="216">
        <f>M83/N$68</f>
        <v>0.17647058823529413</v>
      </c>
      <c r="O83" s="283">
        <v>2</v>
      </c>
      <c r="P83" s="216">
        <f>O83/P$68</f>
        <v>0.13333333333333333</v>
      </c>
      <c r="Q83" s="283">
        <v>2</v>
      </c>
      <c r="R83" s="216">
        <f>Q83/R$68</f>
        <v>0.14285714285714285</v>
      </c>
      <c r="S83" s="283">
        <f>2</f>
        <v>2</v>
      </c>
      <c r="T83" s="216">
        <f>S83/T$68</f>
        <v>0.13333333333333333</v>
      </c>
      <c r="U83" s="283">
        <v>1</v>
      </c>
      <c r="V83" s="216">
        <f>U83/V$68</f>
        <v>6.25E-2</v>
      </c>
      <c r="W83" s="283">
        <v>1</v>
      </c>
      <c r="X83" s="216">
        <f>W83/X$68</f>
        <v>5.5555555555555552E-2</v>
      </c>
      <c r="Y83" s="283">
        <v>1</v>
      </c>
      <c r="Z83" s="1494">
        <f>Y83/Z$68</f>
        <v>5.8823529411764705E-2</v>
      </c>
      <c r="AB83" s="1016">
        <f t="shared" si="12"/>
        <v>1.4</v>
      </c>
      <c r="AC83" s="863">
        <f t="shared" si="13"/>
        <v>9.0613912231559277E-2</v>
      </c>
    </row>
    <row r="84" spans="1:32" s="3" customFormat="1" ht="12" x14ac:dyDescent="0.2">
      <c r="B84" s="75" t="s">
        <v>128</v>
      </c>
      <c r="C84" s="223">
        <v>1</v>
      </c>
      <c r="D84" s="216">
        <f t="shared" si="14"/>
        <v>7.6923076923076927E-2</v>
      </c>
      <c r="E84" s="223">
        <v>1</v>
      </c>
      <c r="F84" s="311">
        <f>E84/F$68</f>
        <v>8.3333333333333329E-2</v>
      </c>
      <c r="G84" s="230">
        <v>2</v>
      </c>
      <c r="H84" s="395">
        <f>G84/H$68</f>
        <v>0.13333333333333333</v>
      </c>
      <c r="I84" s="283">
        <v>3</v>
      </c>
      <c r="J84" s="221">
        <f>I84/J$68</f>
        <v>0.1875</v>
      </c>
      <c r="K84" s="230">
        <v>2</v>
      </c>
      <c r="L84" s="221">
        <f>K84/L$68</f>
        <v>0.125</v>
      </c>
      <c r="M84" s="230">
        <f>1+2</f>
        <v>3</v>
      </c>
      <c r="N84" s="216">
        <f>M84/N$68</f>
        <v>0.17647058823529413</v>
      </c>
      <c r="O84" s="283">
        <v>2</v>
      </c>
      <c r="P84" s="216">
        <f>O84/P$68</f>
        <v>0.13333333333333333</v>
      </c>
      <c r="Q84" s="283">
        <v>1</v>
      </c>
      <c r="R84" s="216">
        <f>Q84/R$68</f>
        <v>7.1428571428571425E-2</v>
      </c>
      <c r="S84" s="283">
        <f>3</f>
        <v>3</v>
      </c>
      <c r="T84" s="216">
        <f>S84/T$68</f>
        <v>0.2</v>
      </c>
      <c r="U84" s="283">
        <v>4</v>
      </c>
      <c r="V84" s="216">
        <f>U84/V$68</f>
        <v>0.25</v>
      </c>
      <c r="W84" s="283">
        <v>4</v>
      </c>
      <c r="X84" s="216">
        <f>W84/X$68</f>
        <v>0.22222222222222221</v>
      </c>
      <c r="Y84" s="283">
        <v>4</v>
      </c>
      <c r="Z84" s="1494">
        <f>Y84/Z$68</f>
        <v>0.23529411764705882</v>
      </c>
      <c r="AB84" s="1016">
        <f t="shared" si="12"/>
        <v>3.2</v>
      </c>
      <c r="AC84" s="863">
        <f t="shared" si="13"/>
        <v>0.1957889822595705</v>
      </c>
    </row>
    <row r="85" spans="1:32" s="3" customFormat="1" ht="12" x14ac:dyDescent="0.2">
      <c r="B85" s="343" t="s">
        <v>138</v>
      </c>
      <c r="C85" s="1201"/>
      <c r="D85" s="216"/>
      <c r="E85" s="227"/>
      <c r="F85" s="311"/>
      <c r="G85" s="315"/>
      <c r="H85" s="395"/>
      <c r="I85" s="285"/>
      <c r="J85" s="221"/>
      <c r="K85" s="315"/>
      <c r="L85" s="221"/>
      <c r="M85" s="315"/>
      <c r="N85" s="216"/>
      <c r="O85" s="285"/>
      <c r="P85" s="216"/>
      <c r="Q85" s="285"/>
      <c r="R85" s="216"/>
      <c r="S85" s="285"/>
      <c r="T85" s="216"/>
      <c r="U85" s="285"/>
      <c r="V85" s="216"/>
      <c r="W85" s="285"/>
      <c r="X85" s="216"/>
      <c r="Y85" s="285"/>
      <c r="Z85" s="1494"/>
      <c r="AB85" s="1016"/>
      <c r="AC85" s="863"/>
    </row>
    <row r="86" spans="1:32" s="3" customFormat="1" ht="12" x14ac:dyDescent="0.2">
      <c r="B86" s="75" t="s">
        <v>129</v>
      </c>
      <c r="C86" s="223">
        <v>13</v>
      </c>
      <c r="D86" s="216">
        <f t="shared" si="14"/>
        <v>1</v>
      </c>
      <c r="E86" s="223">
        <v>12</v>
      </c>
      <c r="F86" s="311">
        <f>E86/F$68</f>
        <v>1</v>
      </c>
      <c r="G86" s="230">
        <v>15</v>
      </c>
      <c r="H86" s="395">
        <f>G86/H$68</f>
        <v>1</v>
      </c>
      <c r="I86" s="283">
        <v>16</v>
      </c>
      <c r="J86" s="221">
        <f>I86/J$68</f>
        <v>1</v>
      </c>
      <c r="K86" s="230">
        <v>16</v>
      </c>
      <c r="L86" s="221">
        <f>K86/L$68</f>
        <v>1</v>
      </c>
      <c r="M86" s="230">
        <f>1+14+2</f>
        <v>17</v>
      </c>
      <c r="N86" s="216">
        <f>M86/N$68</f>
        <v>1</v>
      </c>
      <c r="O86" s="283">
        <v>15</v>
      </c>
      <c r="P86" s="216">
        <f>O86/P$68</f>
        <v>1</v>
      </c>
      <c r="Q86" s="283">
        <v>14</v>
      </c>
      <c r="R86" s="216">
        <f>Q86/R$68</f>
        <v>1</v>
      </c>
      <c r="S86" s="283">
        <f>14+1</f>
        <v>15</v>
      </c>
      <c r="T86" s="216">
        <f>S86/T$68</f>
        <v>1</v>
      </c>
      <c r="U86" s="283">
        <v>16</v>
      </c>
      <c r="V86" s="216">
        <f>U86/V$68</f>
        <v>1</v>
      </c>
      <c r="W86" s="283">
        <v>18</v>
      </c>
      <c r="X86" s="216">
        <f>W86/X$68</f>
        <v>1</v>
      </c>
      <c r="Y86" s="283">
        <v>17</v>
      </c>
      <c r="Z86" s="1494">
        <f>Y86/Z$68</f>
        <v>1</v>
      </c>
      <c r="AB86" s="1016">
        <f t="shared" si="12"/>
        <v>16</v>
      </c>
      <c r="AC86" s="863">
        <f t="shared" si="13"/>
        <v>1</v>
      </c>
    </row>
    <row r="87" spans="1:32" s="3" customFormat="1" ht="12" x14ac:dyDescent="0.2">
      <c r="B87" s="75" t="s">
        <v>130</v>
      </c>
      <c r="C87" s="223">
        <v>0</v>
      </c>
      <c r="D87" s="216">
        <f t="shared" si="14"/>
        <v>0</v>
      </c>
      <c r="E87" s="223">
        <v>0</v>
      </c>
      <c r="F87" s="311">
        <f>E87/F$68</f>
        <v>0</v>
      </c>
      <c r="G87" s="230">
        <v>0</v>
      </c>
      <c r="H87" s="395">
        <f>G87/H$68</f>
        <v>0</v>
      </c>
      <c r="I87" s="283">
        <v>0</v>
      </c>
      <c r="J87" s="221">
        <f>I87/J$68</f>
        <v>0</v>
      </c>
      <c r="K87" s="230">
        <v>0</v>
      </c>
      <c r="L87" s="221">
        <f>K87/L$68</f>
        <v>0</v>
      </c>
      <c r="M87" s="230">
        <v>0</v>
      </c>
      <c r="N87" s="216">
        <f>M87/N$68</f>
        <v>0</v>
      </c>
      <c r="O87" s="283">
        <v>0</v>
      </c>
      <c r="P87" s="216">
        <f>O87/P$68</f>
        <v>0</v>
      </c>
      <c r="Q87" s="283">
        <v>0</v>
      </c>
      <c r="R87" s="216">
        <f>Q87/R$68</f>
        <v>0</v>
      </c>
      <c r="S87" s="283">
        <f>0</f>
        <v>0</v>
      </c>
      <c r="T87" s="216">
        <f>S87/T$68</f>
        <v>0</v>
      </c>
      <c r="U87" s="283">
        <v>0</v>
      </c>
      <c r="V87" s="216">
        <f>U87/V$68</f>
        <v>0</v>
      </c>
      <c r="W87" s="283">
        <v>0</v>
      </c>
      <c r="X87" s="216">
        <f>W87/X$68</f>
        <v>0</v>
      </c>
      <c r="Y87" s="283">
        <v>0</v>
      </c>
      <c r="Z87" s="1494">
        <f>Y87/Z$68</f>
        <v>0</v>
      </c>
      <c r="AB87" s="1016">
        <f t="shared" si="12"/>
        <v>0</v>
      </c>
      <c r="AC87" s="863">
        <f t="shared" si="13"/>
        <v>0</v>
      </c>
    </row>
    <row r="88" spans="1:32" s="3" customFormat="1" ht="12" x14ac:dyDescent="0.2">
      <c r="B88" s="75" t="s">
        <v>131</v>
      </c>
      <c r="C88" s="223">
        <v>0</v>
      </c>
      <c r="D88" s="216">
        <f t="shared" si="14"/>
        <v>0</v>
      </c>
      <c r="E88" s="223">
        <v>0</v>
      </c>
      <c r="F88" s="311">
        <f>E88/F$68</f>
        <v>0</v>
      </c>
      <c r="G88" s="230">
        <v>0</v>
      </c>
      <c r="H88" s="395">
        <f>G88/H$68</f>
        <v>0</v>
      </c>
      <c r="I88" s="283">
        <v>0</v>
      </c>
      <c r="J88" s="221">
        <f>I88/J$68</f>
        <v>0</v>
      </c>
      <c r="K88" s="230">
        <v>0</v>
      </c>
      <c r="L88" s="861">
        <f>K88/L$68</f>
        <v>0</v>
      </c>
      <c r="M88" s="230">
        <v>0</v>
      </c>
      <c r="N88" s="1235">
        <f>M88/N$68</f>
        <v>0</v>
      </c>
      <c r="O88" s="283">
        <v>0</v>
      </c>
      <c r="P88" s="1235">
        <f>O88/P$68</f>
        <v>0</v>
      </c>
      <c r="Q88" s="283">
        <v>0</v>
      </c>
      <c r="R88" s="1235">
        <f>Q88/R$68</f>
        <v>0</v>
      </c>
      <c r="S88" s="283">
        <f>0</f>
        <v>0</v>
      </c>
      <c r="T88" s="1235">
        <f>S88/T$68</f>
        <v>0</v>
      </c>
      <c r="U88" s="283">
        <v>0</v>
      </c>
      <c r="V88" s="1235">
        <f>U88/V$68</f>
        <v>0</v>
      </c>
      <c r="W88" s="283">
        <v>0</v>
      </c>
      <c r="X88" s="1235">
        <f>W88/X$68</f>
        <v>0</v>
      </c>
      <c r="Y88" s="283">
        <v>0</v>
      </c>
      <c r="Z88" s="1966">
        <f>Y88/Z$68</f>
        <v>0</v>
      </c>
      <c r="AB88" s="1016">
        <f t="shared" si="12"/>
        <v>0</v>
      </c>
      <c r="AC88" s="863">
        <f t="shared" si="13"/>
        <v>0</v>
      </c>
      <c r="AF88" s="3" t="s">
        <v>29</v>
      </c>
    </row>
    <row r="89" spans="1:32" s="3" customFormat="1" thickBot="1" x14ac:dyDescent="0.25">
      <c r="B89" s="344" t="s">
        <v>132</v>
      </c>
      <c r="C89" s="1202">
        <v>0</v>
      </c>
      <c r="D89" s="220">
        <f t="shared" si="14"/>
        <v>0</v>
      </c>
      <c r="E89" s="228">
        <v>0</v>
      </c>
      <c r="F89" s="312">
        <f>E89/F$68</f>
        <v>0</v>
      </c>
      <c r="G89" s="375">
        <v>0</v>
      </c>
      <c r="H89" s="397">
        <f>G89/H$68</f>
        <v>0</v>
      </c>
      <c r="I89" s="284">
        <v>0</v>
      </c>
      <c r="J89" s="222">
        <f>I89/J$68</f>
        <v>0</v>
      </c>
      <c r="K89" s="813">
        <v>0</v>
      </c>
      <c r="L89" s="220">
        <f>K89/L$68</f>
        <v>0</v>
      </c>
      <c r="M89" s="813">
        <v>0</v>
      </c>
      <c r="N89" s="220">
        <f>M89/N$68</f>
        <v>0</v>
      </c>
      <c r="O89" s="1234">
        <v>0</v>
      </c>
      <c r="P89" s="220">
        <f>O89/P$68</f>
        <v>0</v>
      </c>
      <c r="Q89" s="1234">
        <v>0</v>
      </c>
      <c r="R89" s="220">
        <f>Q89/R$68</f>
        <v>0</v>
      </c>
      <c r="S89" s="1234">
        <f>0</f>
        <v>0</v>
      </c>
      <c r="T89" s="220">
        <f>S89/T$68</f>
        <v>0</v>
      </c>
      <c r="U89" s="1234">
        <v>0</v>
      </c>
      <c r="V89" s="220">
        <f>U89/V$68</f>
        <v>0</v>
      </c>
      <c r="W89" s="1234">
        <v>0</v>
      </c>
      <c r="X89" s="220">
        <f>W89/X$68</f>
        <v>0</v>
      </c>
      <c r="Y89" s="1234">
        <v>0</v>
      </c>
      <c r="Z89" s="1495">
        <f>Y89/Z$68</f>
        <v>0</v>
      </c>
      <c r="AB89" s="1016">
        <f t="shared" si="12"/>
        <v>0</v>
      </c>
      <c r="AC89" s="863">
        <f t="shared" si="13"/>
        <v>0</v>
      </c>
    </row>
    <row r="90" spans="1:32" ht="14.25" thickTop="1" thickBot="1" x14ac:dyDescent="0.25">
      <c r="A90" s="1"/>
      <c r="B90" s="956" t="s">
        <v>186</v>
      </c>
      <c r="C90" s="2052" t="s">
        <v>51</v>
      </c>
      <c r="D90" s="1993"/>
      <c r="E90" s="1992" t="s">
        <v>52</v>
      </c>
      <c r="F90" s="1993"/>
      <c r="G90" s="1989" t="s">
        <v>184</v>
      </c>
      <c r="H90" s="1990"/>
      <c r="I90" s="1989" t="s">
        <v>185</v>
      </c>
      <c r="J90" s="1990"/>
      <c r="K90" s="1989" t="s">
        <v>202</v>
      </c>
      <c r="L90" s="1990"/>
      <c r="M90" s="1991" t="s">
        <v>203</v>
      </c>
      <c r="N90" s="1979"/>
      <c r="O90" s="1970" t="s">
        <v>228</v>
      </c>
      <c r="P90" s="1979"/>
      <c r="Q90" s="1970" t="s">
        <v>238</v>
      </c>
      <c r="R90" s="1979"/>
      <c r="S90" s="1970" t="s">
        <v>273</v>
      </c>
      <c r="T90" s="1979"/>
      <c r="U90" s="1970" t="s">
        <v>275</v>
      </c>
      <c r="V90" s="1979"/>
      <c r="W90" s="1970" t="s">
        <v>281</v>
      </c>
      <c r="X90" s="1979"/>
      <c r="Y90" s="1970" t="s">
        <v>291</v>
      </c>
      <c r="Z90" s="1976"/>
      <c r="AB90" s="2003" t="s">
        <v>213</v>
      </c>
      <c r="AC90" s="2004"/>
    </row>
    <row r="91" spans="1:32" x14ac:dyDescent="0.2">
      <c r="A91" s="1"/>
      <c r="B91" s="957"/>
      <c r="C91" s="958"/>
      <c r="D91" s="959"/>
      <c r="E91" s="1273" t="s">
        <v>133</v>
      </c>
      <c r="F91" s="1180" t="s">
        <v>17</v>
      </c>
      <c r="G91" s="958" t="s">
        <v>133</v>
      </c>
      <c r="H91" s="1242" t="s">
        <v>17</v>
      </c>
      <c r="I91" s="1273" t="s">
        <v>133</v>
      </c>
      <c r="J91" s="1242" t="s">
        <v>17</v>
      </c>
      <c r="K91" s="1273" t="s">
        <v>133</v>
      </c>
      <c r="L91" s="1242" t="s">
        <v>17</v>
      </c>
      <c r="M91" s="1273" t="s">
        <v>133</v>
      </c>
      <c r="N91" s="1242" t="s">
        <v>17</v>
      </c>
      <c r="O91" s="1273" t="s">
        <v>133</v>
      </c>
      <c r="P91" s="959" t="s">
        <v>17</v>
      </c>
      <c r="Q91" s="1400" t="s">
        <v>133</v>
      </c>
      <c r="R91" s="959" t="s">
        <v>17</v>
      </c>
      <c r="S91" s="1400" t="s">
        <v>133</v>
      </c>
      <c r="T91" s="959" t="s">
        <v>17</v>
      </c>
      <c r="U91" s="1400" t="s">
        <v>133</v>
      </c>
      <c r="V91" s="959" t="s">
        <v>17</v>
      </c>
      <c r="W91" s="1400" t="s">
        <v>133</v>
      </c>
      <c r="X91" s="959" t="s">
        <v>17</v>
      </c>
      <c r="Y91" s="1400" t="s">
        <v>133</v>
      </c>
      <c r="Z91" s="954" t="s">
        <v>17</v>
      </c>
      <c r="AB91" s="953" t="s">
        <v>133</v>
      </c>
      <c r="AC91" s="954" t="s">
        <v>17</v>
      </c>
    </row>
    <row r="92" spans="1:32" x14ac:dyDescent="0.2">
      <c r="A92" s="1"/>
      <c r="B92" s="341" t="s">
        <v>187</v>
      </c>
      <c r="C92" s="960">
        <v>31</v>
      </c>
      <c r="D92" s="961">
        <v>13.1</v>
      </c>
      <c r="E92" s="960">
        <v>27</v>
      </c>
      <c r="F92" s="961">
        <v>10.75</v>
      </c>
      <c r="G92" s="960">
        <v>25</v>
      </c>
      <c r="H92" s="961">
        <v>9.75</v>
      </c>
      <c r="I92" s="960">
        <v>23</v>
      </c>
      <c r="J92" s="961">
        <v>8.75</v>
      </c>
      <c r="K92" s="960">
        <v>23</v>
      </c>
      <c r="L92" s="961">
        <v>8.5</v>
      </c>
      <c r="M92" s="960">
        <v>26</v>
      </c>
      <c r="N92" s="961">
        <v>12</v>
      </c>
      <c r="O92" s="960">
        <v>20</v>
      </c>
      <c r="P92" s="961">
        <v>8.5</v>
      </c>
      <c r="Q92" s="960">
        <v>20</v>
      </c>
      <c r="R92" s="961">
        <v>8.5</v>
      </c>
      <c r="S92" s="960">
        <v>27</v>
      </c>
      <c r="T92" s="961">
        <v>10.8</v>
      </c>
      <c r="U92" s="960">
        <v>28</v>
      </c>
      <c r="V92" s="961">
        <v>10.75</v>
      </c>
      <c r="W92" s="960">
        <v>29</v>
      </c>
      <c r="X92" s="961">
        <v>11.25</v>
      </c>
      <c r="Y92" s="960">
        <v>28</v>
      </c>
      <c r="Z92" s="1517">
        <v>10.3</v>
      </c>
      <c r="AB92" s="1115">
        <f>AVERAGE(W92,U92,Q92,S92,Y92)</f>
        <v>26.4</v>
      </c>
      <c r="AC92" s="1116">
        <f t="shared" ref="AC92:AC94" si="15">AVERAGE(X92,V92,R92,T92,Z92)</f>
        <v>10.319999999999999</v>
      </c>
    </row>
    <row r="93" spans="1:32" x14ac:dyDescent="0.2">
      <c r="A93" s="1"/>
      <c r="B93" s="341" t="s">
        <v>188</v>
      </c>
      <c r="C93" s="960">
        <v>11</v>
      </c>
      <c r="D93" s="961">
        <v>2.8</v>
      </c>
      <c r="E93" s="960">
        <v>9</v>
      </c>
      <c r="F93" s="961">
        <v>2.25</v>
      </c>
      <c r="G93" s="960">
        <v>11</v>
      </c>
      <c r="H93" s="961">
        <v>2.75</v>
      </c>
      <c r="I93" s="960">
        <v>11</v>
      </c>
      <c r="J93" s="961">
        <v>2.75</v>
      </c>
      <c r="K93" s="960">
        <v>12</v>
      </c>
      <c r="L93" s="961">
        <v>3</v>
      </c>
      <c r="M93" s="960">
        <v>14</v>
      </c>
      <c r="N93" s="961">
        <v>3.5</v>
      </c>
      <c r="O93" s="960">
        <v>12</v>
      </c>
      <c r="P93" s="961">
        <v>4.5</v>
      </c>
      <c r="Q93" s="960">
        <v>6</v>
      </c>
      <c r="R93" s="961">
        <v>1.5</v>
      </c>
      <c r="S93" s="960">
        <v>12</v>
      </c>
      <c r="T93" s="961">
        <v>3</v>
      </c>
      <c r="U93" s="960">
        <v>13</v>
      </c>
      <c r="V93" s="961">
        <v>3.25</v>
      </c>
      <c r="W93" s="960">
        <v>13</v>
      </c>
      <c r="X93" s="961">
        <v>3.25</v>
      </c>
      <c r="Y93" s="960">
        <v>15</v>
      </c>
      <c r="Z93" s="1517">
        <v>3.8</v>
      </c>
      <c r="AB93" s="1115">
        <f t="shared" ref="AB93:AB94" si="16">AVERAGE(W93,U93,Q93,S93,Y93)</f>
        <v>11.8</v>
      </c>
      <c r="AC93" s="1116">
        <f t="shared" si="15"/>
        <v>2.96</v>
      </c>
    </row>
    <row r="94" spans="1:32" ht="13.5" thickBot="1" x14ac:dyDescent="0.25">
      <c r="A94" s="1"/>
      <c r="B94" s="344" t="s">
        <v>211</v>
      </c>
      <c r="C94" s="964">
        <v>0</v>
      </c>
      <c r="D94" s="963">
        <v>0</v>
      </c>
      <c r="E94" s="964">
        <v>0</v>
      </c>
      <c r="F94" s="963">
        <v>0</v>
      </c>
      <c r="G94" s="964">
        <v>0</v>
      </c>
      <c r="H94" s="963">
        <v>0</v>
      </c>
      <c r="I94" s="964">
        <v>0</v>
      </c>
      <c r="J94" s="963">
        <v>0</v>
      </c>
      <c r="K94" s="964">
        <v>0</v>
      </c>
      <c r="L94" s="963">
        <v>0</v>
      </c>
      <c r="M94" s="964">
        <v>0</v>
      </c>
      <c r="N94" s="963">
        <v>0</v>
      </c>
      <c r="O94" s="964">
        <v>0</v>
      </c>
      <c r="P94" s="963">
        <v>0</v>
      </c>
      <c r="Q94" s="964">
        <v>0</v>
      </c>
      <c r="R94" s="963">
        <v>0</v>
      </c>
      <c r="S94" s="964">
        <v>0</v>
      </c>
      <c r="T94" s="963">
        <v>0</v>
      </c>
      <c r="U94" s="964">
        <v>0</v>
      </c>
      <c r="V94" s="963">
        <v>0</v>
      </c>
      <c r="W94" s="964">
        <v>0</v>
      </c>
      <c r="X94" s="963">
        <v>0</v>
      </c>
      <c r="Y94" s="964">
        <v>0</v>
      </c>
      <c r="Z94" s="1518">
        <v>0</v>
      </c>
      <c r="AB94" s="1115">
        <f t="shared" si="16"/>
        <v>0</v>
      </c>
      <c r="AC94" s="1116">
        <f t="shared" si="15"/>
        <v>0</v>
      </c>
    </row>
    <row r="95" spans="1:32" ht="17.25" thickTop="1" thickBot="1" x14ac:dyDescent="0.3">
      <c r="A95" s="966"/>
      <c r="B95" s="967"/>
      <c r="C95" s="2052" t="s">
        <v>51</v>
      </c>
      <c r="D95" s="1993"/>
      <c r="E95" s="1992" t="s">
        <v>52</v>
      </c>
      <c r="F95" s="1993"/>
      <c r="G95" s="1989" t="s">
        <v>184</v>
      </c>
      <c r="H95" s="1990"/>
      <c r="I95" s="1989" t="s">
        <v>185</v>
      </c>
      <c r="J95" s="1990"/>
      <c r="K95" s="1989" t="s">
        <v>202</v>
      </c>
      <c r="L95" s="1990"/>
      <c r="M95" s="1991" t="s">
        <v>203</v>
      </c>
      <c r="N95" s="1979"/>
      <c r="O95" s="1970" t="s">
        <v>254</v>
      </c>
      <c r="P95" s="1979"/>
      <c r="Q95" s="1970" t="s">
        <v>238</v>
      </c>
      <c r="R95" s="1979"/>
      <c r="S95" s="1970" t="s">
        <v>273</v>
      </c>
      <c r="T95" s="1979"/>
      <c r="U95" s="1970" t="s">
        <v>275</v>
      </c>
      <c r="V95" s="1979"/>
      <c r="W95" s="1970" t="s">
        <v>281</v>
      </c>
      <c r="X95" s="1979"/>
      <c r="Y95" s="1970" t="s">
        <v>291</v>
      </c>
      <c r="Z95" s="1976"/>
      <c r="AA95" s="968"/>
      <c r="AB95" s="1987"/>
      <c r="AC95" s="1988"/>
      <c r="AD95" s="3"/>
      <c r="AE95" s="3"/>
    </row>
    <row r="96" spans="1:32" x14ac:dyDescent="0.2">
      <c r="A96" s="3"/>
      <c r="B96" s="342" t="s">
        <v>210</v>
      </c>
      <c r="C96" s="3"/>
      <c r="D96" s="969"/>
      <c r="E96" s="970"/>
      <c r="F96" s="971"/>
      <c r="G96" s="972"/>
      <c r="H96" s="973"/>
      <c r="I96" s="974"/>
      <c r="J96" s="593"/>
      <c r="K96" s="975"/>
      <c r="L96" s="976"/>
      <c r="M96" s="975"/>
      <c r="N96" s="991"/>
      <c r="O96" s="117"/>
      <c r="P96" s="1422"/>
      <c r="Q96" s="975"/>
      <c r="R96" s="991"/>
      <c r="S96" s="975"/>
      <c r="T96" s="991"/>
      <c r="U96" s="136"/>
      <c r="V96" s="1422"/>
      <c r="W96" s="984"/>
      <c r="X96" s="991"/>
      <c r="Y96" s="984"/>
      <c r="Z96" s="977"/>
      <c r="AA96" s="28"/>
      <c r="AB96" s="28"/>
      <c r="AC96" s="28"/>
      <c r="AD96" s="3"/>
      <c r="AE96" s="3"/>
    </row>
    <row r="97" spans="1:31" x14ac:dyDescent="0.2">
      <c r="A97" s="930"/>
      <c r="B97" s="979" t="s">
        <v>192</v>
      </c>
      <c r="C97" s="2053">
        <v>3.8</v>
      </c>
      <c r="D97" s="1984"/>
      <c r="E97" s="980"/>
      <c r="F97" s="981"/>
      <c r="G97" s="982"/>
      <c r="H97" s="983"/>
      <c r="I97" s="1983">
        <v>3.67</v>
      </c>
      <c r="J97" s="1984"/>
      <c r="K97" s="984"/>
      <c r="L97" s="985"/>
      <c r="M97" s="984"/>
      <c r="N97" s="991"/>
      <c r="O97" s="136"/>
      <c r="P97" s="1422">
        <v>5.5</v>
      </c>
      <c r="Q97" s="984"/>
      <c r="R97" s="991"/>
      <c r="S97" s="984"/>
      <c r="T97" s="991"/>
      <c r="U97" s="136"/>
      <c r="V97" s="1422">
        <v>4.72</v>
      </c>
      <c r="W97" s="984"/>
      <c r="X97" s="991"/>
      <c r="Y97" s="984"/>
      <c r="Z97" s="977"/>
      <c r="AA97" s="28"/>
      <c r="AB97" s="28"/>
      <c r="AC97" s="1106"/>
      <c r="AD97" s="3"/>
      <c r="AE97" s="3"/>
    </row>
    <row r="98" spans="1:31" x14ac:dyDescent="0.2">
      <c r="A98" s="930"/>
      <c r="B98" s="986" t="s">
        <v>193</v>
      </c>
      <c r="C98" s="2053"/>
      <c r="D98" s="1984"/>
      <c r="E98" s="980"/>
      <c r="F98" s="981"/>
      <c r="G98" s="982"/>
      <c r="H98" s="983"/>
      <c r="I98" s="1983"/>
      <c r="J98" s="1984"/>
      <c r="K98" s="984"/>
      <c r="L98" s="985"/>
      <c r="M98" s="984"/>
      <c r="N98" s="991"/>
      <c r="O98" s="136"/>
      <c r="P98" s="1422"/>
      <c r="Q98" s="984"/>
      <c r="R98" s="991"/>
      <c r="S98" s="984"/>
      <c r="T98" s="991"/>
      <c r="U98" s="136"/>
      <c r="V98" s="1422"/>
      <c r="W98" s="984"/>
      <c r="X98" s="991"/>
      <c r="Y98" s="984"/>
      <c r="Z98" s="977"/>
      <c r="AA98" s="28"/>
      <c r="AB98" s="28"/>
      <c r="AC98" s="1106"/>
      <c r="AD98" s="3"/>
      <c r="AE98" s="3"/>
    </row>
    <row r="99" spans="1:31" x14ac:dyDescent="0.2">
      <c r="A99" s="930"/>
      <c r="B99" s="986" t="s">
        <v>194</v>
      </c>
      <c r="C99" s="2053">
        <v>0</v>
      </c>
      <c r="D99" s="1984"/>
      <c r="E99" s="980"/>
      <c r="F99" s="981"/>
      <c r="G99" s="982"/>
      <c r="H99" s="983"/>
      <c r="I99" s="1983">
        <v>4.5</v>
      </c>
      <c r="J99" s="1984"/>
      <c r="K99" s="984"/>
      <c r="L99" s="985"/>
      <c r="M99" s="984"/>
      <c r="N99" s="991"/>
      <c r="O99" s="136"/>
      <c r="P99" s="1422"/>
      <c r="Q99" s="984"/>
      <c r="R99" s="991"/>
      <c r="S99" s="984"/>
      <c r="T99" s="991"/>
      <c r="U99" s="136"/>
      <c r="V99" s="1422">
        <v>0</v>
      </c>
      <c r="W99" s="984"/>
      <c r="X99" s="991"/>
      <c r="Y99" s="984"/>
      <c r="Z99" s="977"/>
      <c r="AA99" s="28"/>
      <c r="AB99" s="28"/>
      <c r="AC99" s="1106"/>
      <c r="AD99" s="3"/>
      <c r="AE99" s="3"/>
    </row>
    <row r="100" spans="1:31" x14ac:dyDescent="0.2">
      <c r="A100" s="930"/>
      <c r="B100" s="979" t="s">
        <v>195</v>
      </c>
      <c r="C100" s="2053">
        <v>2.75</v>
      </c>
      <c r="D100" s="1984"/>
      <c r="E100" s="980"/>
      <c r="F100" s="981"/>
      <c r="G100" s="982"/>
      <c r="H100" s="983"/>
      <c r="I100" s="1983">
        <v>0.75</v>
      </c>
      <c r="J100" s="1984"/>
      <c r="K100" s="984"/>
      <c r="L100" s="985"/>
      <c r="M100" s="984"/>
      <c r="N100" s="991"/>
      <c r="O100" s="136"/>
      <c r="P100" s="1422">
        <v>4.5</v>
      </c>
      <c r="Q100" s="984"/>
      <c r="R100" s="991"/>
      <c r="S100" s="984"/>
      <c r="T100" s="991"/>
      <c r="U100" s="136"/>
      <c r="V100" s="1422">
        <v>3.25</v>
      </c>
      <c r="W100" s="984"/>
      <c r="X100" s="991"/>
      <c r="Y100" s="984"/>
      <c r="Z100" s="977"/>
      <c r="AA100" s="28"/>
      <c r="AB100" s="28"/>
      <c r="AC100" s="1106"/>
      <c r="AD100" s="3"/>
      <c r="AE100" s="3"/>
    </row>
    <row r="101" spans="1:31" x14ac:dyDescent="0.2">
      <c r="A101" s="930"/>
      <c r="B101" s="987" t="s">
        <v>196</v>
      </c>
      <c r="C101" s="2053">
        <v>1.08</v>
      </c>
      <c r="D101" s="1984"/>
      <c r="E101" s="980"/>
      <c r="F101" s="981"/>
      <c r="G101" s="982"/>
      <c r="H101" s="983"/>
      <c r="I101" s="1983">
        <v>0.65</v>
      </c>
      <c r="J101" s="1984"/>
      <c r="K101" s="984"/>
      <c r="L101" s="985"/>
      <c r="M101" s="984"/>
      <c r="N101" s="991"/>
      <c r="O101" s="136"/>
      <c r="P101" s="1422">
        <v>0.7</v>
      </c>
      <c r="Q101" s="984"/>
      <c r="R101" s="991"/>
      <c r="S101" s="984"/>
      <c r="T101" s="991"/>
      <c r="U101" s="136"/>
      <c r="V101" s="1422">
        <v>0</v>
      </c>
      <c r="W101" s="984"/>
      <c r="X101" s="991"/>
      <c r="Y101" s="984"/>
      <c r="Z101" s="977"/>
      <c r="AA101" s="28"/>
      <c r="AB101" s="28"/>
      <c r="AC101" s="1106"/>
      <c r="AD101" s="3"/>
      <c r="AE101" s="3"/>
    </row>
    <row r="102" spans="1:31" x14ac:dyDescent="0.2">
      <c r="A102" s="930"/>
      <c r="B102" s="987" t="s">
        <v>197</v>
      </c>
      <c r="C102" s="2053">
        <f>SUM(C97:D101)</f>
        <v>7.63</v>
      </c>
      <c r="D102" s="1984"/>
      <c r="E102" s="980"/>
      <c r="F102" s="981"/>
      <c r="G102" s="982"/>
      <c r="H102" s="983"/>
      <c r="I102" s="1983">
        <f>SUM(I97:J101)</f>
        <v>9.57</v>
      </c>
      <c r="J102" s="1984"/>
      <c r="K102" s="984"/>
      <c r="L102" s="985"/>
      <c r="M102" s="984"/>
      <c r="N102" s="991"/>
      <c r="O102" s="136"/>
      <c r="P102" s="1422">
        <f>SUM(P97:P101)</f>
        <v>10.7</v>
      </c>
      <c r="Q102" s="984"/>
      <c r="R102" s="991"/>
      <c r="S102" s="984"/>
      <c r="T102" s="991"/>
      <c r="U102" s="136"/>
      <c r="V102" s="1422">
        <f>SUM(V97:V101)</f>
        <v>7.97</v>
      </c>
      <c r="W102" s="984"/>
      <c r="X102" s="991"/>
      <c r="Y102" s="984"/>
      <c r="Z102" s="977"/>
      <c r="AA102" s="28"/>
      <c r="AB102" s="28"/>
      <c r="AC102" s="1106"/>
      <c r="AD102" s="3"/>
      <c r="AE102" s="3"/>
    </row>
    <row r="103" spans="1:31" ht="13.5" thickBot="1" x14ac:dyDescent="0.25">
      <c r="A103" s="930"/>
      <c r="B103" s="988" t="s">
        <v>204</v>
      </c>
      <c r="C103" s="2054"/>
      <c r="D103" s="2055"/>
      <c r="E103" s="989"/>
      <c r="F103" s="990"/>
      <c r="G103" s="975"/>
      <c r="H103" s="991"/>
      <c r="I103" s="2056"/>
      <c r="J103" s="2055"/>
      <c r="K103" s="984"/>
      <c r="L103" s="985"/>
      <c r="M103" s="984"/>
      <c r="N103" s="991"/>
      <c r="O103" s="136"/>
      <c r="P103" s="1422"/>
      <c r="Q103" s="984"/>
      <c r="R103" s="991"/>
      <c r="S103" s="984"/>
      <c r="T103" s="991"/>
      <c r="U103" s="136"/>
      <c r="V103" s="1422"/>
      <c r="W103" s="984"/>
      <c r="X103" s="991"/>
      <c r="Y103" s="984"/>
      <c r="Z103" s="977"/>
      <c r="AA103" s="28"/>
      <c r="AB103" s="28"/>
      <c r="AC103" s="1106"/>
      <c r="AD103" s="3"/>
      <c r="AE103" s="3"/>
    </row>
    <row r="104" spans="1:31" x14ac:dyDescent="0.2">
      <c r="A104" s="930"/>
      <c r="B104" s="979" t="s">
        <v>198</v>
      </c>
      <c r="C104" s="2057">
        <v>863</v>
      </c>
      <c r="D104" s="2044"/>
      <c r="E104" s="992"/>
      <c r="F104" s="993"/>
      <c r="G104" s="994"/>
      <c r="H104" s="995"/>
      <c r="I104" s="2043">
        <v>1212</v>
      </c>
      <c r="J104" s="2044"/>
      <c r="K104" s="984"/>
      <c r="L104" s="985"/>
      <c r="M104" s="984"/>
      <c r="N104" s="991"/>
      <c r="O104" s="136"/>
      <c r="P104" s="1462">
        <v>1475</v>
      </c>
      <c r="Q104" s="984"/>
      <c r="R104" s="991"/>
      <c r="S104" s="984"/>
      <c r="T104" s="991"/>
      <c r="U104" s="136"/>
      <c r="V104" s="1462">
        <v>1236</v>
      </c>
      <c r="W104" s="984"/>
      <c r="X104" s="991"/>
      <c r="Y104" s="984"/>
      <c r="Z104" s="977"/>
      <c r="AA104" s="28"/>
      <c r="AB104" s="28"/>
      <c r="AC104" s="1473"/>
      <c r="AD104" s="3"/>
      <c r="AE104" s="3"/>
    </row>
    <row r="105" spans="1:31" x14ac:dyDescent="0.2">
      <c r="A105" s="930"/>
      <c r="B105" s="987" t="s">
        <v>199</v>
      </c>
      <c r="C105" s="2057">
        <v>0</v>
      </c>
      <c r="D105" s="2044"/>
      <c r="E105" s="992"/>
      <c r="F105" s="993"/>
      <c r="G105" s="994"/>
      <c r="H105" s="995"/>
      <c r="I105" s="2043">
        <v>0</v>
      </c>
      <c r="J105" s="2044"/>
      <c r="K105" s="984"/>
      <c r="L105" s="985"/>
      <c r="M105" s="984"/>
      <c r="N105" s="991"/>
      <c r="O105" s="136"/>
      <c r="P105" s="1462">
        <v>0</v>
      </c>
      <c r="Q105" s="984"/>
      <c r="R105" s="991"/>
      <c r="S105" s="984"/>
      <c r="T105" s="991"/>
      <c r="U105" s="136"/>
      <c r="V105" s="1462">
        <v>0</v>
      </c>
      <c r="W105" s="984"/>
      <c r="X105" s="991"/>
      <c r="Y105" s="984"/>
      <c r="Z105" s="977"/>
      <c r="AA105" s="28"/>
      <c r="AB105" s="28"/>
      <c r="AC105" s="1473"/>
      <c r="AD105" s="3"/>
      <c r="AE105" s="3"/>
    </row>
    <row r="106" spans="1:31" x14ac:dyDescent="0.2">
      <c r="A106" s="930"/>
      <c r="B106" s="987" t="s">
        <v>200</v>
      </c>
      <c r="C106" s="2057">
        <v>365</v>
      </c>
      <c r="D106" s="2044"/>
      <c r="E106" s="992"/>
      <c r="F106" s="993"/>
      <c r="G106" s="994"/>
      <c r="H106" s="995"/>
      <c r="I106" s="2043">
        <v>68</v>
      </c>
      <c r="J106" s="2044"/>
      <c r="K106" s="984"/>
      <c r="L106" s="985"/>
      <c r="M106" s="984"/>
      <c r="N106" s="991"/>
      <c r="O106" s="136"/>
      <c r="P106" s="1462">
        <v>58</v>
      </c>
      <c r="Q106" s="984"/>
      <c r="R106" s="991"/>
      <c r="S106" s="984"/>
      <c r="T106" s="991"/>
      <c r="U106" s="136"/>
      <c r="V106" s="1462">
        <v>447</v>
      </c>
      <c r="W106" s="984"/>
      <c r="X106" s="991"/>
      <c r="Y106" s="984"/>
      <c r="Z106" s="977"/>
      <c r="AA106" s="28"/>
      <c r="AB106" s="28"/>
      <c r="AC106" s="1473"/>
      <c r="AD106" s="3"/>
      <c r="AE106" s="3"/>
    </row>
    <row r="107" spans="1:31" x14ac:dyDescent="0.2">
      <c r="A107" s="930"/>
      <c r="B107" s="987" t="s">
        <v>209</v>
      </c>
      <c r="C107" s="2057">
        <f>SUM(C104:D106)</f>
        <v>1228</v>
      </c>
      <c r="D107" s="2044"/>
      <c r="E107" s="992"/>
      <c r="F107" s="993"/>
      <c r="G107" s="994"/>
      <c r="H107" s="995"/>
      <c r="I107" s="2043">
        <f>SUM(I104:J106)</f>
        <v>1280</v>
      </c>
      <c r="J107" s="2044"/>
      <c r="K107" s="984"/>
      <c r="L107" s="985"/>
      <c r="M107" s="984"/>
      <c r="N107" s="991"/>
      <c r="O107" s="136"/>
      <c r="P107" s="1462">
        <f>SUM(P104:P106)</f>
        <v>1533</v>
      </c>
      <c r="Q107" s="984"/>
      <c r="R107" s="991"/>
      <c r="S107" s="984"/>
      <c r="T107" s="991"/>
      <c r="U107" s="136"/>
      <c r="V107" s="1462">
        <f>SUM(V104:V106)</f>
        <v>1683</v>
      </c>
      <c r="W107" s="984"/>
      <c r="X107" s="991"/>
      <c r="Y107" s="984"/>
      <c r="Z107" s="977"/>
      <c r="AA107" s="28"/>
      <c r="AB107" s="28"/>
      <c r="AC107" s="1473"/>
      <c r="AD107" s="3"/>
      <c r="AE107" s="3"/>
    </row>
    <row r="108" spans="1:31" ht="13.5" thickBot="1" x14ac:dyDescent="0.25">
      <c r="A108" s="930"/>
      <c r="B108" s="988" t="s">
        <v>205</v>
      </c>
      <c r="C108" s="2054"/>
      <c r="D108" s="2055"/>
      <c r="E108" s="989"/>
      <c r="F108" s="990"/>
      <c r="G108" s="975"/>
      <c r="H108" s="991"/>
      <c r="I108" s="2056"/>
      <c r="J108" s="2055"/>
      <c r="K108" s="984"/>
      <c r="L108" s="985"/>
      <c r="M108" s="984"/>
      <c r="N108" s="991"/>
      <c r="O108" s="136"/>
      <c r="P108" s="1422"/>
      <c r="Q108" s="984"/>
      <c r="R108" s="991"/>
      <c r="S108" s="984"/>
      <c r="T108" s="991"/>
      <c r="U108" s="136"/>
      <c r="V108" s="1422"/>
      <c r="W108" s="984"/>
      <c r="X108" s="991"/>
      <c r="Y108" s="984"/>
      <c r="Z108" s="977"/>
      <c r="AA108" s="28"/>
      <c r="AB108" s="28"/>
      <c r="AC108" s="1106"/>
      <c r="AD108" s="28"/>
      <c r="AE108" s="28"/>
    </row>
    <row r="109" spans="1:31" x14ac:dyDescent="0.2">
      <c r="A109" s="930"/>
      <c r="B109" s="979" t="s">
        <v>206</v>
      </c>
      <c r="C109" s="2058">
        <f>C104/C97</f>
        <v>227.10526315789474</v>
      </c>
      <c r="D109" s="1986"/>
      <c r="E109" s="996"/>
      <c r="F109" s="997"/>
      <c r="G109" s="998"/>
      <c r="H109" s="999"/>
      <c r="I109" s="1985">
        <f>I104/I97</f>
        <v>330.24523160762942</v>
      </c>
      <c r="J109" s="1986"/>
      <c r="K109" s="1000"/>
      <c r="L109" s="1001"/>
      <c r="M109" s="1000"/>
      <c r="N109" s="999"/>
      <c r="O109" s="494"/>
      <c r="P109" s="1402">
        <f>P104/P97</f>
        <v>268.18181818181819</v>
      </c>
      <c r="Q109" s="1000"/>
      <c r="R109" s="999"/>
      <c r="S109" s="1000"/>
      <c r="T109" s="999"/>
      <c r="U109" s="494"/>
      <c r="V109" s="1402">
        <f>V104/V97</f>
        <v>261.86440677966101</v>
      </c>
      <c r="W109" s="1000"/>
      <c r="X109" s="999"/>
      <c r="Y109" s="1000"/>
      <c r="Z109" s="1460"/>
      <c r="AA109" s="668"/>
      <c r="AB109" s="668"/>
      <c r="AC109" s="1106"/>
      <c r="AD109" s="21"/>
      <c r="AE109" s="21"/>
    </row>
    <row r="110" spans="1:31" x14ac:dyDescent="0.2">
      <c r="A110" s="930"/>
      <c r="B110" s="987" t="s">
        <v>207</v>
      </c>
      <c r="C110" s="2058">
        <v>0</v>
      </c>
      <c r="D110" s="1986"/>
      <c r="E110" s="996"/>
      <c r="F110" s="997"/>
      <c r="G110" s="998"/>
      <c r="H110" s="999"/>
      <c r="I110" s="1985">
        <f>I105/I99</f>
        <v>0</v>
      </c>
      <c r="J110" s="1986"/>
      <c r="K110" s="1000"/>
      <c r="L110" s="1001"/>
      <c r="M110" s="1000"/>
      <c r="N110" s="999"/>
      <c r="O110" s="494"/>
      <c r="P110" s="1402">
        <v>0</v>
      </c>
      <c r="Q110" s="1000"/>
      <c r="R110" s="999"/>
      <c r="S110" s="1000"/>
      <c r="T110" s="999"/>
      <c r="U110" s="494"/>
      <c r="V110" s="1402">
        <v>0</v>
      </c>
      <c r="W110" s="1000"/>
      <c r="X110" s="999"/>
      <c r="Y110" s="1000"/>
      <c r="Z110" s="1460"/>
      <c r="AA110" s="668"/>
      <c r="AB110" s="668"/>
      <c r="AC110" s="1106"/>
      <c r="AD110" s="21"/>
      <c r="AE110" s="21"/>
    </row>
    <row r="111" spans="1:31" x14ac:dyDescent="0.2">
      <c r="A111" s="930"/>
      <c r="B111" s="987" t="s">
        <v>208</v>
      </c>
      <c r="C111" s="2058">
        <f>C106/C101</f>
        <v>337.96296296296293</v>
      </c>
      <c r="D111" s="1986"/>
      <c r="E111" s="996"/>
      <c r="F111" s="997"/>
      <c r="G111" s="998"/>
      <c r="H111" s="999"/>
      <c r="I111" s="1985">
        <f>I106/I101</f>
        <v>104.61538461538461</v>
      </c>
      <c r="J111" s="1986"/>
      <c r="K111" s="1000"/>
      <c r="L111" s="1001"/>
      <c r="M111" s="1000"/>
      <c r="N111" s="999"/>
      <c r="O111" s="494"/>
      <c r="P111" s="1402">
        <f>P106/P101</f>
        <v>82.857142857142861</v>
      </c>
      <c r="Q111" s="1000"/>
      <c r="R111" s="999"/>
      <c r="S111" s="1000"/>
      <c r="T111" s="999"/>
      <c r="U111" s="494"/>
      <c r="V111" s="1402">
        <v>0</v>
      </c>
      <c r="W111" s="1000"/>
      <c r="X111" s="999"/>
      <c r="Y111" s="1000"/>
      <c r="Z111" s="1460"/>
      <c r="AA111" s="668"/>
      <c r="AB111" s="668"/>
      <c r="AC111" s="1106"/>
      <c r="AD111" s="21"/>
      <c r="AE111" s="21"/>
    </row>
    <row r="112" spans="1:31" ht="13.5" thickBot="1" x14ac:dyDescent="0.25">
      <c r="A112" s="930"/>
      <c r="B112" s="1002" t="s">
        <v>201</v>
      </c>
      <c r="C112" s="2059">
        <f>C107/C102</f>
        <v>160.94364351245085</v>
      </c>
      <c r="D112" s="2046"/>
      <c r="E112" s="1003"/>
      <c r="F112" s="1004"/>
      <c r="G112" s="1005"/>
      <c r="H112" s="1006"/>
      <c r="I112" s="2045">
        <f>I107/I102</f>
        <v>133.75130616509927</v>
      </c>
      <c r="J112" s="2046"/>
      <c r="K112" s="1005"/>
      <c r="L112" s="1006"/>
      <c r="M112" s="1005"/>
      <c r="N112" s="1006"/>
      <c r="O112" s="1233"/>
      <c r="P112" s="1423">
        <f>P107/P102</f>
        <v>143.27102803738319</v>
      </c>
      <c r="Q112" s="1005"/>
      <c r="R112" s="1006"/>
      <c r="S112" s="1005"/>
      <c r="T112" s="1006"/>
      <c r="U112" s="1233"/>
      <c r="V112" s="1423">
        <f>V107/V102</f>
        <v>211.16687578419072</v>
      </c>
      <c r="W112" s="1005"/>
      <c r="X112" s="1006"/>
      <c r="Y112" s="1005"/>
      <c r="Z112" s="1461"/>
      <c r="AA112" s="668"/>
      <c r="AB112" s="668"/>
      <c r="AC112" s="1106"/>
      <c r="AD112" s="21"/>
      <c r="AE112" s="21"/>
    </row>
    <row r="113" spans="2:29" ht="13.5" thickTop="1" x14ac:dyDescent="0.2">
      <c r="B113" s="1540" t="str">
        <f>Dean_AS!B169</f>
        <v>*Note: Beginning with the 2009 collection cycle, Instructional FTE was defined according to the national Delaware Study of Instructional Costs and Productivity</v>
      </c>
      <c r="AC113" s="91"/>
    </row>
  </sheetData>
  <mergeCells count="141">
    <mergeCell ref="AB29:AC29"/>
    <mergeCell ref="AB7:AC7"/>
    <mergeCell ref="AB18:AC18"/>
    <mergeCell ref="Q7:R7"/>
    <mergeCell ref="Q18:R18"/>
    <mergeCell ref="Q26:R26"/>
    <mergeCell ref="AB26:AC26"/>
    <mergeCell ref="O18:P18"/>
    <mergeCell ref="Q29:R29"/>
    <mergeCell ref="U7:V7"/>
    <mergeCell ref="U18:V18"/>
    <mergeCell ref="U26:V26"/>
    <mergeCell ref="U29:V29"/>
    <mergeCell ref="W7:X7"/>
    <mergeCell ref="W18:X18"/>
    <mergeCell ref="W26:X26"/>
    <mergeCell ref="W29:X29"/>
    <mergeCell ref="S29:T29"/>
    <mergeCell ref="O29:P29"/>
    <mergeCell ref="Y7:Z7"/>
    <mergeCell ref="Y18:Z18"/>
    <mergeCell ref="Y26:Z26"/>
    <mergeCell ref="Y29:Z29"/>
    <mergeCell ref="C108:D108"/>
    <mergeCell ref="I108:J108"/>
    <mergeCell ref="C105:D105"/>
    <mergeCell ref="I105:J105"/>
    <mergeCell ref="C106:D106"/>
    <mergeCell ref="I106:J106"/>
    <mergeCell ref="C111:D111"/>
    <mergeCell ref="I111:J111"/>
    <mergeCell ref="C112:D112"/>
    <mergeCell ref="I112:J112"/>
    <mergeCell ref="C109:D109"/>
    <mergeCell ref="I109:J109"/>
    <mergeCell ref="C110:D110"/>
    <mergeCell ref="I110:J110"/>
    <mergeCell ref="C103:D103"/>
    <mergeCell ref="I103:J103"/>
    <mergeCell ref="C104:D104"/>
    <mergeCell ref="I104:J104"/>
    <mergeCell ref="C101:D101"/>
    <mergeCell ref="I101:J101"/>
    <mergeCell ref="C102:D102"/>
    <mergeCell ref="I102:J102"/>
    <mergeCell ref="C107:D107"/>
    <mergeCell ref="I107:J107"/>
    <mergeCell ref="C99:D99"/>
    <mergeCell ref="I99:J99"/>
    <mergeCell ref="C100:D100"/>
    <mergeCell ref="I100:J100"/>
    <mergeCell ref="C90:D90"/>
    <mergeCell ref="C97:D97"/>
    <mergeCell ref="I97:J97"/>
    <mergeCell ref="C98:D98"/>
    <mergeCell ref="I98:J98"/>
    <mergeCell ref="E90:F90"/>
    <mergeCell ref="K95:L95"/>
    <mergeCell ref="M95:N95"/>
    <mergeCell ref="AB95:AC95"/>
    <mergeCell ref="O95:P95"/>
    <mergeCell ref="C95:D95"/>
    <mergeCell ref="E95:F95"/>
    <mergeCell ref="G95:H95"/>
    <mergeCell ref="I95:J95"/>
    <mergeCell ref="Q95:R95"/>
    <mergeCell ref="S95:T95"/>
    <mergeCell ref="U95:V95"/>
    <mergeCell ref="W95:X95"/>
    <mergeCell ref="Y95:Z95"/>
    <mergeCell ref="AB90:AC90"/>
    <mergeCell ref="AB60:AC60"/>
    <mergeCell ref="AB53:AC53"/>
    <mergeCell ref="O33:P33"/>
    <mergeCell ref="O60:P60"/>
    <mergeCell ref="O90:P90"/>
    <mergeCell ref="Q90:R90"/>
    <mergeCell ref="AB33:AC33"/>
    <mergeCell ref="S90:T90"/>
    <mergeCell ref="S60:T60"/>
    <mergeCell ref="U90:V90"/>
    <mergeCell ref="U33:V33"/>
    <mergeCell ref="U60:V60"/>
    <mergeCell ref="W90:X90"/>
    <mergeCell ref="W33:X33"/>
    <mergeCell ref="W60:X60"/>
    <mergeCell ref="S33:T33"/>
    <mergeCell ref="Q33:R33"/>
    <mergeCell ref="Q60:R60"/>
    <mergeCell ref="Y33:Z33"/>
    <mergeCell ref="Y60:Z60"/>
    <mergeCell ref="Y90:Z90"/>
    <mergeCell ref="K90:L90"/>
    <mergeCell ref="M26:N26"/>
    <mergeCell ref="G29:H29"/>
    <mergeCell ref="I29:J29"/>
    <mergeCell ref="K29:L29"/>
    <mergeCell ref="M29:N29"/>
    <mergeCell ref="I27:J27"/>
    <mergeCell ref="G28:H28"/>
    <mergeCell ref="M90:N90"/>
    <mergeCell ref="M33:N33"/>
    <mergeCell ref="G90:H90"/>
    <mergeCell ref="I90:J90"/>
    <mergeCell ref="K33:L33"/>
    <mergeCell ref="K60:L60"/>
    <mergeCell ref="M60:N60"/>
    <mergeCell ref="I28:J28"/>
    <mergeCell ref="I26:J26"/>
    <mergeCell ref="I60:J60"/>
    <mergeCell ref="I33:J33"/>
    <mergeCell ref="C28:D28"/>
    <mergeCell ref="C27:D27"/>
    <mergeCell ref="G26:H26"/>
    <mergeCell ref="G33:H33"/>
    <mergeCell ref="G60:H60"/>
    <mergeCell ref="E28:F28"/>
    <mergeCell ref="C29:D29"/>
    <mergeCell ref="E29:F29"/>
    <mergeCell ref="C33:D33"/>
    <mergeCell ref="E33:F33"/>
    <mergeCell ref="C60:D60"/>
    <mergeCell ref="E60:F60"/>
    <mergeCell ref="C18:D18"/>
    <mergeCell ref="G18:H18"/>
    <mergeCell ref="G27:H27"/>
    <mergeCell ref="E18:F18"/>
    <mergeCell ref="C26:D26"/>
    <mergeCell ref="E26:F26"/>
    <mergeCell ref="S7:T7"/>
    <mergeCell ref="S18:T18"/>
    <mergeCell ref="S26:T26"/>
    <mergeCell ref="K7:L7"/>
    <mergeCell ref="M7:N7"/>
    <mergeCell ref="K18:L18"/>
    <mergeCell ref="O7:P7"/>
    <mergeCell ref="K26:L26"/>
    <mergeCell ref="M18:N18"/>
    <mergeCell ref="O26:P26"/>
    <mergeCell ref="I18:J18"/>
    <mergeCell ref="E27:F27"/>
  </mergeCells>
  <phoneticPr fontId="3" type="noConversion"/>
  <printOptions horizontalCentered="1"/>
  <pageMargins left="0.5" right="0.5" top="0.25" bottom="0.37" header="0.5" footer="0.25"/>
  <pageSetup scale="75" orientation="landscape" r:id="rId1"/>
  <headerFooter alignWithMargins="0">
    <oddFooter>&amp;R&amp;P of &amp;N
&amp;D</oddFooter>
  </headerFooter>
  <rowBreaks count="1" manualBreakCount="1">
    <brk id="56" max="20" man="1"/>
  </rowBreaks>
  <ignoredErrors>
    <ignoredError sqref="S70:S89 M70:M8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3"/>
  <sheetViews>
    <sheetView view="pageBreakPreview" zoomScaleNormal="100" zoomScaleSheetLayoutView="100" workbookViewId="0">
      <pane xSplit="2" ySplit="1" topLeftCell="O2" activePane="bottomRight" state="frozen"/>
      <selection activeCell="AF81" sqref="AF81"/>
      <selection pane="topRight" activeCell="AF81" sqref="AF81"/>
      <selection pane="bottomLeft" activeCell="AF81" sqref="AF81"/>
      <selection pane="bottomRight" activeCell="AF81" sqref="AF81"/>
    </sheetView>
  </sheetViews>
  <sheetFormatPr defaultRowHeight="12.75" x14ac:dyDescent="0.2"/>
  <cols>
    <col min="1" max="1" width="3.7109375" customWidth="1"/>
    <col min="2" max="2" width="29.5703125" customWidth="1"/>
    <col min="3" max="3" width="7.7109375" hidden="1" customWidth="1"/>
    <col min="4" max="4" width="11.42578125" hidden="1" customWidth="1"/>
    <col min="5" max="5" width="7.7109375" hidden="1" customWidth="1"/>
    <col min="6" max="6" width="11.42578125" hidden="1" customWidth="1"/>
    <col min="7" max="7" width="7.7109375" style="115" hidden="1" customWidth="1"/>
    <col min="8" max="8" width="11.42578125" style="115" hidden="1" customWidth="1"/>
    <col min="9" max="9" width="7.7109375" style="115" hidden="1" customWidth="1"/>
    <col min="10" max="10" width="11.42578125" style="115" hidden="1" customWidth="1"/>
    <col min="11" max="11" width="7.7109375" hidden="1" customWidth="1"/>
    <col min="12" max="12" width="11.42578125" hidden="1" customWidth="1"/>
    <col min="13" max="13" width="7.7109375" hidden="1" customWidth="1"/>
    <col min="14" max="14" width="11.42578125" hidden="1" customWidth="1"/>
    <col min="15" max="15" width="7.7109375" customWidth="1"/>
    <col min="16" max="16" width="11.85546875" customWidth="1"/>
    <col min="17" max="17" width="7.7109375" customWidth="1"/>
    <col min="18" max="18" width="11.42578125" customWidth="1"/>
    <col min="19" max="19" width="7.7109375" customWidth="1"/>
    <col min="20" max="20" width="11.42578125" customWidth="1"/>
    <col min="21" max="21" width="7.7109375" customWidth="1"/>
    <col min="22" max="22" width="11.42578125" customWidth="1"/>
    <col min="23" max="23" width="7.7109375" customWidth="1"/>
    <col min="24" max="24" width="11.42578125" customWidth="1"/>
    <col min="25" max="25" width="7.7109375" customWidth="1"/>
    <col min="26" max="26" width="11.42578125" customWidth="1"/>
    <col min="27" max="27" width="2" customWidth="1"/>
    <col min="28" max="28" width="7.7109375" customWidth="1"/>
    <col min="29" max="29" width="11.42578125" customWidth="1"/>
    <col min="30" max="30" width="1.5703125" customWidth="1"/>
  </cols>
  <sheetData>
    <row r="1" spans="1:29" ht="18.75" customHeight="1" x14ac:dyDescent="0.25">
      <c r="A1" s="1183" t="str">
        <f>Dean_AS!A1</f>
        <v>Department Profile Report - FY 2015</v>
      </c>
      <c r="B1" s="1183"/>
      <c r="C1" s="1183"/>
      <c r="D1" s="1183"/>
      <c r="E1" s="1183"/>
      <c r="F1" s="1183"/>
      <c r="G1" s="1183"/>
      <c r="H1" s="1183"/>
      <c r="I1" s="1181"/>
      <c r="J1" s="1181"/>
      <c r="K1" s="1182"/>
      <c r="L1" s="1182"/>
      <c r="M1" s="1182"/>
      <c r="N1" s="1182"/>
      <c r="O1" s="1182"/>
      <c r="P1" s="1182"/>
      <c r="Q1" s="1182"/>
      <c r="R1" s="1182"/>
      <c r="S1" s="1182"/>
      <c r="T1" s="1182"/>
      <c r="U1" s="1182"/>
      <c r="V1" s="1182"/>
      <c r="W1" s="1182"/>
      <c r="X1" s="1182"/>
      <c r="Y1" s="1182"/>
      <c r="Z1" s="1182"/>
      <c r="AA1" s="1182"/>
      <c r="AB1" s="1182"/>
      <c r="AC1" s="1182"/>
    </row>
    <row r="2" spans="1:29" ht="4.5" customHeight="1" x14ac:dyDescent="0.2">
      <c r="A2" s="3"/>
      <c r="B2" s="3"/>
      <c r="C2" s="3"/>
      <c r="D2" s="3"/>
      <c r="E2" s="3"/>
      <c r="F2" s="3"/>
      <c r="G2" s="117"/>
      <c r="H2" s="117"/>
      <c r="I2" s="117"/>
      <c r="J2" s="117"/>
    </row>
    <row r="3" spans="1:29" ht="12.2" customHeight="1" x14ac:dyDescent="0.2">
      <c r="A3" s="2" t="s">
        <v>41</v>
      </c>
      <c r="B3" s="117"/>
      <c r="C3" s="3"/>
      <c r="D3" s="3"/>
      <c r="E3" s="3"/>
      <c r="F3" s="3"/>
      <c r="G3" s="117"/>
      <c r="H3" s="117"/>
      <c r="I3" s="117"/>
      <c r="J3" s="117"/>
    </row>
    <row r="4" spans="1:29" ht="4.5" customHeight="1" x14ac:dyDescent="0.2">
      <c r="A4" s="3"/>
      <c r="B4" s="3"/>
      <c r="C4" s="3"/>
      <c r="D4" s="3"/>
      <c r="E4" s="3"/>
      <c r="F4" s="3"/>
      <c r="G4" s="117"/>
      <c r="H4" s="117"/>
      <c r="I4" s="117"/>
      <c r="J4" s="117"/>
    </row>
    <row r="5" spans="1:29" ht="12.2" customHeight="1" x14ac:dyDescent="0.2">
      <c r="A5" s="2" t="s">
        <v>77</v>
      </c>
      <c r="B5" s="3"/>
      <c r="C5" s="3"/>
      <c r="D5" s="3"/>
      <c r="E5" s="3"/>
      <c r="F5" s="3"/>
      <c r="G5" s="117"/>
      <c r="H5" s="117"/>
      <c r="I5" s="117"/>
      <c r="J5" s="117"/>
      <c r="T5" s="617"/>
      <c r="V5" s="617"/>
      <c r="X5" s="617"/>
      <c r="Z5" s="617"/>
    </row>
    <row r="6" spans="1:29" ht="6.75" customHeight="1" thickBot="1" x14ac:dyDescent="0.25">
      <c r="A6" s="2"/>
      <c r="B6" s="3"/>
      <c r="C6" s="3"/>
      <c r="D6" s="3"/>
      <c r="E6" s="3"/>
      <c r="F6" s="3"/>
      <c r="G6" s="117"/>
      <c r="H6" s="117"/>
      <c r="I6" s="117"/>
      <c r="J6" s="117"/>
    </row>
    <row r="7" spans="1:29" ht="12.75" customHeight="1" thickTop="1" thickBot="1" x14ac:dyDescent="0.25">
      <c r="A7" s="3"/>
      <c r="B7" s="22"/>
      <c r="C7" s="29" t="s">
        <v>49</v>
      </c>
      <c r="D7" s="51"/>
      <c r="E7" s="29" t="s">
        <v>50</v>
      </c>
      <c r="F7" s="7"/>
      <c r="G7" s="302" t="s">
        <v>141</v>
      </c>
      <c r="H7" s="121"/>
      <c r="I7" s="120" t="s">
        <v>152</v>
      </c>
      <c r="J7" s="299"/>
      <c r="K7" s="1994" t="s">
        <v>154</v>
      </c>
      <c r="L7" s="1968"/>
      <c r="M7" s="1994" t="s">
        <v>171</v>
      </c>
      <c r="N7" s="1980"/>
      <c r="O7" s="1968" t="s">
        <v>227</v>
      </c>
      <c r="P7" s="1980"/>
      <c r="Q7" s="1968" t="s">
        <v>237</v>
      </c>
      <c r="R7" s="1980"/>
      <c r="S7" s="1968" t="s">
        <v>272</v>
      </c>
      <c r="T7" s="1980"/>
      <c r="U7" s="1968" t="s">
        <v>274</v>
      </c>
      <c r="V7" s="1980"/>
      <c r="W7" s="1968" t="s">
        <v>280</v>
      </c>
      <c r="X7" s="1980"/>
      <c r="Y7" s="1968" t="s">
        <v>290</v>
      </c>
      <c r="Z7" s="1969"/>
      <c r="AB7" s="2003" t="s">
        <v>213</v>
      </c>
      <c r="AC7" s="2004"/>
    </row>
    <row r="8" spans="1:29" ht="12.2" customHeight="1" x14ac:dyDescent="0.2">
      <c r="A8" s="3"/>
      <c r="B8" s="71"/>
      <c r="C8" s="42" t="s">
        <v>1</v>
      </c>
      <c r="D8" s="47" t="s">
        <v>2</v>
      </c>
      <c r="E8" s="42" t="s">
        <v>1</v>
      </c>
      <c r="F8" s="8" t="s">
        <v>2</v>
      </c>
      <c r="G8" s="303" t="s">
        <v>1</v>
      </c>
      <c r="H8" s="125" t="s">
        <v>2</v>
      </c>
      <c r="I8" s="124" t="s">
        <v>1</v>
      </c>
      <c r="J8" s="300" t="s">
        <v>2</v>
      </c>
      <c r="K8" s="303" t="s">
        <v>1</v>
      </c>
      <c r="L8" s="300" t="s">
        <v>2</v>
      </c>
      <c r="M8" s="303" t="s">
        <v>1</v>
      </c>
      <c r="N8" s="125" t="s">
        <v>2</v>
      </c>
      <c r="O8" s="124" t="s">
        <v>1</v>
      </c>
      <c r="P8" s="125" t="s">
        <v>2</v>
      </c>
      <c r="Q8" s="124" t="s">
        <v>1</v>
      </c>
      <c r="R8" s="125" t="s">
        <v>2</v>
      </c>
      <c r="S8" s="124" t="s">
        <v>1</v>
      </c>
      <c r="T8" s="125" t="s">
        <v>2</v>
      </c>
      <c r="U8" s="124" t="s">
        <v>1</v>
      </c>
      <c r="V8" s="125" t="s">
        <v>2</v>
      </c>
      <c r="W8" s="124" t="s">
        <v>1</v>
      </c>
      <c r="X8" s="125" t="s">
        <v>2</v>
      </c>
      <c r="Y8" s="124" t="s">
        <v>1</v>
      </c>
      <c r="Z8" s="126" t="s">
        <v>2</v>
      </c>
      <c r="AB8" s="921" t="s">
        <v>214</v>
      </c>
      <c r="AC8" s="1073" t="s">
        <v>215</v>
      </c>
    </row>
    <row r="9" spans="1:29" ht="12.2" customHeight="1" thickBot="1" x14ac:dyDescent="0.25">
      <c r="A9" s="3"/>
      <c r="B9" s="72"/>
      <c r="C9" s="46" t="s">
        <v>3</v>
      </c>
      <c r="D9" s="48" t="s">
        <v>4</v>
      </c>
      <c r="E9" s="46" t="s">
        <v>3</v>
      </c>
      <c r="F9" s="26" t="s">
        <v>4</v>
      </c>
      <c r="G9" s="304" t="s">
        <v>3</v>
      </c>
      <c r="H9" s="123" t="s">
        <v>4</v>
      </c>
      <c r="I9" s="127" t="s">
        <v>3</v>
      </c>
      <c r="J9" s="301" t="s">
        <v>4</v>
      </c>
      <c r="K9" s="304" t="s">
        <v>3</v>
      </c>
      <c r="L9" s="301" t="s">
        <v>4</v>
      </c>
      <c r="M9" s="304" t="s">
        <v>3</v>
      </c>
      <c r="N9" s="123" t="s">
        <v>4</v>
      </c>
      <c r="O9" s="127" t="s">
        <v>3</v>
      </c>
      <c r="P9" s="123" t="s">
        <v>4</v>
      </c>
      <c r="Q9" s="127" t="s">
        <v>3</v>
      </c>
      <c r="R9" s="123" t="s">
        <v>4</v>
      </c>
      <c r="S9" s="127" t="s">
        <v>3</v>
      </c>
      <c r="T9" s="123" t="s">
        <v>4</v>
      </c>
      <c r="U9" s="127" t="s">
        <v>3</v>
      </c>
      <c r="V9" s="123" t="s">
        <v>4</v>
      </c>
      <c r="W9" s="127" t="s">
        <v>3</v>
      </c>
      <c r="X9" s="123" t="s">
        <v>4</v>
      </c>
      <c r="Y9" s="127" t="s">
        <v>3</v>
      </c>
      <c r="Z9" s="128" t="s">
        <v>4</v>
      </c>
      <c r="AB9" s="923" t="s">
        <v>3</v>
      </c>
      <c r="AC9" s="1074" t="s">
        <v>4</v>
      </c>
    </row>
    <row r="10" spans="1:29" ht="12.2" customHeight="1" x14ac:dyDescent="0.2">
      <c r="A10" s="3"/>
      <c r="B10" s="73" t="s">
        <v>5</v>
      </c>
      <c r="C10" s="15"/>
      <c r="D10" s="49"/>
      <c r="E10" s="15"/>
      <c r="F10" s="13"/>
      <c r="G10" s="305"/>
      <c r="H10" s="131"/>
      <c r="I10" s="130"/>
      <c r="J10" s="150"/>
      <c r="K10" s="305"/>
      <c r="L10" s="150"/>
      <c r="M10" s="305"/>
      <c r="N10" s="131"/>
      <c r="O10" s="130"/>
      <c r="P10" s="131"/>
      <c r="Q10" s="130"/>
      <c r="R10" s="131"/>
      <c r="S10" s="130"/>
      <c r="T10" s="131"/>
      <c r="U10" s="130"/>
      <c r="V10" s="131"/>
      <c r="W10" s="130"/>
      <c r="X10" s="131"/>
      <c r="Y10" s="130"/>
      <c r="Z10" s="296"/>
      <c r="AB10" s="925"/>
      <c r="AC10" s="1075"/>
    </row>
    <row r="11" spans="1:29" ht="12.2" customHeight="1" x14ac:dyDescent="0.2">
      <c r="A11" s="3"/>
      <c r="B11" s="74" t="s">
        <v>62</v>
      </c>
      <c r="C11" s="14"/>
      <c r="D11" s="50"/>
      <c r="E11" s="14"/>
      <c r="F11" s="9"/>
      <c r="G11" s="318"/>
      <c r="H11" s="405"/>
      <c r="I11" s="404"/>
      <c r="J11" s="129"/>
      <c r="K11" s="318"/>
      <c r="L11" s="129"/>
      <c r="M11" s="318"/>
      <c r="N11" s="405"/>
      <c r="O11" s="404"/>
      <c r="P11" s="405"/>
      <c r="Q11" s="404"/>
      <c r="R11" s="405"/>
      <c r="S11" s="404"/>
      <c r="T11" s="405"/>
      <c r="U11" s="404"/>
      <c r="V11" s="405"/>
      <c r="W11" s="404"/>
      <c r="X11" s="405"/>
      <c r="Y11" s="404"/>
      <c r="Z11" s="291"/>
      <c r="AB11" s="926"/>
      <c r="AC11" s="1076"/>
    </row>
    <row r="12" spans="1:29" s="617" customFormat="1" ht="12.2" customHeight="1" x14ac:dyDescent="0.2">
      <c r="A12" s="618"/>
      <c r="B12" s="654" t="s">
        <v>221</v>
      </c>
      <c r="C12" s="693">
        <v>443</v>
      </c>
      <c r="D12" s="694">
        <f>79+2</f>
        <v>81</v>
      </c>
      <c r="E12" s="693">
        <f>414+26</f>
        <v>440</v>
      </c>
      <c r="F12" s="695">
        <v>88</v>
      </c>
      <c r="G12" s="649">
        <v>477</v>
      </c>
      <c r="H12" s="696">
        <f>85+7</f>
        <v>92</v>
      </c>
      <c r="I12" s="650">
        <v>477</v>
      </c>
      <c r="J12" s="697">
        <f>101+3</f>
        <v>104</v>
      </c>
      <c r="K12" s="649">
        <v>482</v>
      </c>
      <c r="L12" s="697">
        <f>81+8</f>
        <v>89</v>
      </c>
      <c r="M12" s="649">
        <v>477</v>
      </c>
      <c r="N12" s="696">
        <v>82</v>
      </c>
      <c r="O12" s="650">
        <v>496</v>
      </c>
      <c r="P12" s="696">
        <f>73+1</f>
        <v>74</v>
      </c>
      <c r="Q12" s="650">
        <v>474</v>
      </c>
      <c r="R12" s="696">
        <v>75</v>
      </c>
      <c r="S12" s="650">
        <v>530</v>
      </c>
      <c r="T12" s="696">
        <v>93</v>
      </c>
      <c r="U12" s="650">
        <f>615</f>
        <v>615</v>
      </c>
      <c r="V12" s="696">
        <v>92</v>
      </c>
      <c r="W12" s="650">
        <v>612</v>
      </c>
      <c r="X12" s="696">
        <v>74</v>
      </c>
      <c r="Y12" s="650">
        <v>611</v>
      </c>
      <c r="Z12" s="1669"/>
      <c r="AB12" s="926">
        <f>AVERAGE(W12,U12,Q12,S12,Y12)</f>
        <v>568.4</v>
      </c>
      <c r="AC12" s="698">
        <f>AVERAGE(X12,V12,R12,T12,P12)</f>
        <v>81.599999999999994</v>
      </c>
    </row>
    <row r="13" spans="1:29" s="617" customFormat="1" ht="12.2" customHeight="1" x14ac:dyDescent="0.2">
      <c r="A13" s="618"/>
      <c r="B13" s="669" t="s">
        <v>80</v>
      </c>
      <c r="C13" s="650">
        <v>15</v>
      </c>
      <c r="D13" s="694">
        <v>9</v>
      </c>
      <c r="E13" s="693">
        <v>28</v>
      </c>
      <c r="F13" s="695">
        <v>10</v>
      </c>
      <c r="G13" s="649">
        <v>25</v>
      </c>
      <c r="H13" s="696">
        <v>9</v>
      </c>
      <c r="I13" s="650">
        <v>25</v>
      </c>
      <c r="J13" s="697">
        <v>12</v>
      </c>
      <c r="K13" s="649">
        <v>25</v>
      </c>
      <c r="L13" s="697">
        <v>12</v>
      </c>
      <c r="M13" s="649">
        <v>32</v>
      </c>
      <c r="N13" s="696">
        <v>24</v>
      </c>
      <c r="O13" s="650">
        <v>29</v>
      </c>
      <c r="P13" s="696">
        <v>16</v>
      </c>
      <c r="Q13" s="650">
        <v>37</v>
      </c>
      <c r="R13" s="696">
        <v>30</v>
      </c>
      <c r="S13" s="650">
        <v>38</v>
      </c>
      <c r="T13" s="696">
        <v>24</v>
      </c>
      <c r="U13" s="650">
        <v>35</v>
      </c>
      <c r="V13" s="696">
        <v>42</v>
      </c>
      <c r="W13" s="650">
        <v>45</v>
      </c>
      <c r="X13" s="696">
        <v>32</v>
      </c>
      <c r="Y13" s="650">
        <v>47</v>
      </c>
      <c r="Z13" s="1669"/>
      <c r="AB13" s="926">
        <f t="shared" ref="AB13:AB15" si="0">AVERAGE(W13,U13,Q13,S13,Y13)</f>
        <v>40.4</v>
      </c>
      <c r="AC13" s="698">
        <f>AVERAGE(X13,V13,R13,T13,P13)</f>
        <v>28.8</v>
      </c>
    </row>
    <row r="14" spans="1:29" s="617" customFormat="1" ht="12.2" customHeight="1" x14ac:dyDescent="0.2">
      <c r="A14" s="618"/>
      <c r="B14" s="669" t="s">
        <v>167</v>
      </c>
      <c r="C14" s="693">
        <v>27</v>
      </c>
      <c r="D14" s="694">
        <v>8</v>
      </c>
      <c r="E14" s="693">
        <v>28</v>
      </c>
      <c r="F14" s="695">
        <v>6</v>
      </c>
      <c r="G14" s="649">
        <v>21</v>
      </c>
      <c r="H14" s="696">
        <v>12</v>
      </c>
      <c r="I14" s="650">
        <v>19</v>
      </c>
      <c r="J14" s="697">
        <f>7+1</f>
        <v>8</v>
      </c>
      <c r="K14" s="649">
        <v>18</v>
      </c>
      <c r="L14" s="697">
        <v>8</v>
      </c>
      <c r="M14" s="649">
        <v>18</v>
      </c>
      <c r="N14" s="696">
        <v>5</v>
      </c>
      <c r="O14" s="650">
        <v>20</v>
      </c>
      <c r="P14" s="696">
        <v>9</v>
      </c>
      <c r="Q14" s="650">
        <v>17</v>
      </c>
      <c r="R14" s="696">
        <v>6</v>
      </c>
      <c r="S14" s="650">
        <v>16</v>
      </c>
      <c r="T14" s="696">
        <v>7</v>
      </c>
      <c r="U14" s="650">
        <v>20</v>
      </c>
      <c r="V14" s="696">
        <v>6</v>
      </c>
      <c r="W14" s="650">
        <v>19</v>
      </c>
      <c r="X14" s="696">
        <v>6</v>
      </c>
      <c r="Y14" s="650">
        <v>24</v>
      </c>
      <c r="Z14" s="1669"/>
      <c r="AB14" s="926">
        <f t="shared" si="0"/>
        <v>19.2</v>
      </c>
      <c r="AC14" s="698">
        <f>AVERAGE(X14,V14,R14,T14,P14)</f>
        <v>6.8</v>
      </c>
    </row>
    <row r="15" spans="1:29" s="617" customFormat="1" ht="12.2" customHeight="1" x14ac:dyDescent="0.2">
      <c r="A15" s="618"/>
      <c r="B15" s="669" t="s">
        <v>6</v>
      </c>
      <c r="C15" s="693">
        <v>32</v>
      </c>
      <c r="D15" s="694">
        <v>8</v>
      </c>
      <c r="E15" s="693">
        <v>36</v>
      </c>
      <c r="F15" s="695">
        <v>1</v>
      </c>
      <c r="G15" s="649">
        <v>44</v>
      </c>
      <c r="H15" s="696">
        <v>7</v>
      </c>
      <c r="I15" s="650">
        <f>19+16</f>
        <v>35</v>
      </c>
      <c r="J15" s="697">
        <v>9</v>
      </c>
      <c r="K15" s="649">
        <v>28</v>
      </c>
      <c r="L15" s="697">
        <v>4</v>
      </c>
      <c r="M15" s="649">
        <v>28</v>
      </c>
      <c r="N15" s="696">
        <v>9</v>
      </c>
      <c r="O15" s="650">
        <v>24</v>
      </c>
      <c r="P15" s="696">
        <v>4</v>
      </c>
      <c r="Q15" s="650">
        <v>32</v>
      </c>
      <c r="R15" s="696">
        <v>5</v>
      </c>
      <c r="S15" s="650">
        <v>33</v>
      </c>
      <c r="T15" s="696">
        <v>2</v>
      </c>
      <c r="U15" s="650">
        <v>42</v>
      </c>
      <c r="V15" s="696">
        <v>5</v>
      </c>
      <c r="W15" s="650">
        <v>36</v>
      </c>
      <c r="X15" s="696">
        <v>7</v>
      </c>
      <c r="Y15" s="650">
        <v>31</v>
      </c>
      <c r="Z15" s="1669"/>
      <c r="AB15" s="926">
        <f t="shared" si="0"/>
        <v>34.799999999999997</v>
      </c>
      <c r="AC15" s="698">
        <f>AVERAGE(X15,V15,R15,T15,P15)</f>
        <v>4.5999999999999996</v>
      </c>
    </row>
    <row r="16" spans="1:29" s="617" customFormat="1" ht="12.2" customHeight="1" x14ac:dyDescent="0.2">
      <c r="A16" s="618"/>
      <c r="B16" s="1538" t="s">
        <v>63</v>
      </c>
      <c r="C16" s="693"/>
      <c r="D16" s="694"/>
      <c r="E16" s="693"/>
      <c r="F16" s="695"/>
      <c r="G16" s="649"/>
      <c r="H16" s="696"/>
      <c r="I16" s="650"/>
      <c r="J16" s="697"/>
      <c r="K16" s="649"/>
      <c r="L16" s="697"/>
      <c r="M16" s="649"/>
      <c r="N16" s="696"/>
      <c r="O16" s="650"/>
      <c r="P16" s="696"/>
      <c r="Q16" s="650"/>
      <c r="R16" s="696"/>
      <c r="S16" s="650"/>
      <c r="T16" s="696"/>
      <c r="U16" s="650"/>
      <c r="V16" s="696"/>
      <c r="W16" s="650"/>
      <c r="X16" s="696"/>
      <c r="Y16" s="650"/>
      <c r="Z16" s="1669"/>
      <c r="AB16" s="926"/>
      <c r="AC16" s="698"/>
    </row>
    <row r="17" spans="1:29" s="617" customFormat="1" ht="12.2" customHeight="1" x14ac:dyDescent="0.2">
      <c r="A17" s="618"/>
      <c r="B17" s="654" t="s">
        <v>221</v>
      </c>
      <c r="C17" s="693">
        <v>96</v>
      </c>
      <c r="D17" s="694">
        <f>22+2</f>
        <v>24</v>
      </c>
      <c r="E17" s="693">
        <f>99+5</f>
        <v>104</v>
      </c>
      <c r="F17" s="695">
        <v>12</v>
      </c>
      <c r="G17" s="649">
        <v>119</v>
      </c>
      <c r="H17" s="696">
        <v>17</v>
      </c>
      <c r="I17" s="650">
        <f>88+43</f>
        <v>131</v>
      </c>
      <c r="J17" s="697">
        <f>22+1</f>
        <v>23</v>
      </c>
      <c r="K17" s="649">
        <f>42+88</f>
        <v>130</v>
      </c>
      <c r="L17" s="697">
        <f>25+3</f>
        <v>28</v>
      </c>
      <c r="M17" s="649">
        <f>82+6</f>
        <v>88</v>
      </c>
      <c r="N17" s="696">
        <v>28</v>
      </c>
      <c r="O17" s="650">
        <v>94</v>
      </c>
      <c r="P17" s="696">
        <v>15</v>
      </c>
      <c r="Q17" s="650">
        <v>75</v>
      </c>
      <c r="R17" s="696">
        <v>13</v>
      </c>
      <c r="S17" s="650">
        <v>90</v>
      </c>
      <c r="T17" s="696">
        <v>20</v>
      </c>
      <c r="U17" s="650">
        <v>102</v>
      </c>
      <c r="V17" s="696">
        <v>21</v>
      </c>
      <c r="W17" s="650">
        <v>107</v>
      </c>
      <c r="X17" s="696">
        <v>19</v>
      </c>
      <c r="Y17" s="650">
        <v>103</v>
      </c>
      <c r="Z17" s="1669"/>
      <c r="AB17" s="926">
        <f t="shared" ref="AB17" si="1">AVERAGE(W17,U17,Q17,S17,Y17)</f>
        <v>95.4</v>
      </c>
      <c r="AC17" s="698">
        <f>AVERAGE(X17,V17,R17,T17,P17)</f>
        <v>17.600000000000001</v>
      </c>
    </row>
    <row r="18" spans="1:29" s="617" customFormat="1" ht="12.2" customHeight="1" x14ac:dyDescent="0.2">
      <c r="A18" s="618"/>
      <c r="B18" s="1538" t="s">
        <v>64</v>
      </c>
      <c r="C18" s="693"/>
      <c r="D18" s="694"/>
      <c r="E18" s="693"/>
      <c r="F18" s="695"/>
      <c r="G18" s="649"/>
      <c r="H18" s="696"/>
      <c r="I18" s="650"/>
      <c r="J18" s="697"/>
      <c r="K18" s="649"/>
      <c r="L18" s="697"/>
      <c r="M18" s="649"/>
      <c r="N18" s="696"/>
      <c r="O18" s="650"/>
      <c r="P18" s="696"/>
      <c r="Q18" s="650"/>
      <c r="R18" s="696"/>
      <c r="S18" s="650"/>
      <c r="T18" s="696"/>
      <c r="U18" s="650"/>
      <c r="V18" s="696"/>
      <c r="W18" s="650"/>
      <c r="X18" s="696"/>
      <c r="Y18" s="650"/>
      <c r="Z18" s="1669"/>
      <c r="AB18" s="926"/>
      <c r="AC18" s="698"/>
    </row>
    <row r="19" spans="1:29" s="617" customFormat="1" ht="12.2" customHeight="1" x14ac:dyDescent="0.2">
      <c r="A19" s="618"/>
      <c r="B19" s="654" t="s">
        <v>221</v>
      </c>
      <c r="C19" s="672">
        <v>69</v>
      </c>
      <c r="D19" s="700">
        <f>15+1</f>
        <v>16</v>
      </c>
      <c r="E19" s="672">
        <f>73+10</f>
        <v>83</v>
      </c>
      <c r="F19" s="701">
        <v>19</v>
      </c>
      <c r="G19" s="649">
        <v>57</v>
      </c>
      <c r="H19" s="663">
        <v>18</v>
      </c>
      <c r="I19" s="650">
        <v>51</v>
      </c>
      <c r="J19" s="665">
        <f>11+1</f>
        <v>12</v>
      </c>
      <c r="K19" s="649">
        <v>52</v>
      </c>
      <c r="L19" s="665">
        <f>12+2</f>
        <v>14</v>
      </c>
      <c r="M19" s="649">
        <f>51+5</f>
        <v>56</v>
      </c>
      <c r="N19" s="663">
        <v>11</v>
      </c>
      <c r="O19" s="650">
        <v>77</v>
      </c>
      <c r="P19" s="663">
        <f>14+1</f>
        <v>15</v>
      </c>
      <c r="Q19" s="650">
        <f>70+1</f>
        <v>71</v>
      </c>
      <c r="R19" s="663">
        <v>13</v>
      </c>
      <c r="S19" s="650">
        <v>75</v>
      </c>
      <c r="T19" s="663">
        <v>19</v>
      </c>
      <c r="U19" s="650">
        <v>84</v>
      </c>
      <c r="V19" s="663">
        <v>20</v>
      </c>
      <c r="W19" s="650">
        <v>107</v>
      </c>
      <c r="X19" s="663">
        <v>15</v>
      </c>
      <c r="Y19" s="650">
        <v>117</v>
      </c>
      <c r="Z19" s="1646"/>
      <c r="AB19" s="926">
        <f t="shared" ref="AB19:AB21" si="2">AVERAGE(W19,U19,Q19,S19,Y19)</f>
        <v>90.8</v>
      </c>
      <c r="AC19" s="698">
        <f>AVERAGE(X19,V19,R19,T19,P19)</f>
        <v>16.399999999999999</v>
      </c>
    </row>
    <row r="20" spans="1:29" s="617" customFormat="1" ht="12.2" hidden="1" customHeight="1" x14ac:dyDescent="0.2">
      <c r="A20" s="618"/>
      <c r="B20" s="669" t="s">
        <v>167</v>
      </c>
      <c r="C20" s="705">
        <v>1</v>
      </c>
      <c r="D20" s="703">
        <v>1</v>
      </c>
      <c r="E20" s="705">
        <v>0</v>
      </c>
      <c r="F20" s="704">
        <v>0</v>
      </c>
      <c r="G20" s="662">
        <v>0</v>
      </c>
      <c r="H20" s="663">
        <v>0</v>
      </c>
      <c r="I20" s="664">
        <v>0</v>
      </c>
      <c r="J20" s="665">
        <v>0</v>
      </c>
      <c r="K20" s="649">
        <v>0</v>
      </c>
      <c r="L20" s="665">
        <v>0</v>
      </c>
      <c r="M20" s="649">
        <v>0</v>
      </c>
      <c r="N20" s="663">
        <v>0</v>
      </c>
      <c r="O20" s="650"/>
      <c r="P20" s="663"/>
      <c r="Q20" s="650"/>
      <c r="R20" s="663"/>
      <c r="S20" s="650"/>
      <c r="T20" s="663"/>
      <c r="U20" s="650"/>
      <c r="V20" s="663"/>
      <c r="W20" s="650"/>
      <c r="X20" s="663"/>
      <c r="Y20" s="650"/>
      <c r="Z20" s="1646"/>
      <c r="AB20" s="926" t="e">
        <f t="shared" si="2"/>
        <v>#DIV/0!</v>
      </c>
      <c r="AC20" s="698" t="e">
        <f>AVERAGE(X20,V20,R20,T20,P20)</f>
        <v>#DIV/0!</v>
      </c>
    </row>
    <row r="21" spans="1:29" s="617" customFormat="1" ht="12.2" customHeight="1" thickBot="1" x14ac:dyDescent="0.25">
      <c r="A21" s="618"/>
      <c r="B21" s="737" t="s">
        <v>6</v>
      </c>
      <c r="C21" s="714">
        <v>4</v>
      </c>
      <c r="D21" s="712">
        <v>0</v>
      </c>
      <c r="E21" s="714">
        <v>4</v>
      </c>
      <c r="F21" s="713">
        <v>3</v>
      </c>
      <c r="G21" s="773">
        <v>4</v>
      </c>
      <c r="H21" s="778">
        <v>0</v>
      </c>
      <c r="I21" s="775">
        <v>4</v>
      </c>
      <c r="J21" s="779">
        <v>0</v>
      </c>
      <c r="K21" s="773">
        <v>7</v>
      </c>
      <c r="L21" s="779">
        <v>0</v>
      </c>
      <c r="M21" s="773">
        <v>9</v>
      </c>
      <c r="N21" s="778">
        <v>0</v>
      </c>
      <c r="O21" s="775">
        <v>8</v>
      </c>
      <c r="P21" s="778">
        <v>4</v>
      </c>
      <c r="Q21" s="775">
        <v>7</v>
      </c>
      <c r="R21" s="778">
        <v>1</v>
      </c>
      <c r="S21" s="775">
        <v>9</v>
      </c>
      <c r="T21" s="778">
        <v>0</v>
      </c>
      <c r="U21" s="775">
        <v>9</v>
      </c>
      <c r="V21" s="778">
        <v>1</v>
      </c>
      <c r="W21" s="775">
        <v>7</v>
      </c>
      <c r="X21" s="778">
        <v>3</v>
      </c>
      <c r="Y21" s="775">
        <v>5</v>
      </c>
      <c r="Z21" s="1693"/>
      <c r="AB21" s="926">
        <f t="shared" si="2"/>
        <v>7.4</v>
      </c>
      <c r="AC21" s="1537">
        <f>AVERAGE(X21,V21,R21,T21,P21)</f>
        <v>1.8</v>
      </c>
    </row>
    <row r="22" spans="1:29" ht="12.2" customHeight="1" thickTop="1" x14ac:dyDescent="0.2">
      <c r="A22" s="3"/>
      <c r="B22" s="70" t="s">
        <v>170</v>
      </c>
      <c r="C22" s="33"/>
      <c r="D22" s="34"/>
      <c r="E22" s="33"/>
      <c r="F22" s="34"/>
      <c r="G22" s="133"/>
      <c r="H22" s="135"/>
      <c r="I22" s="133"/>
      <c r="J22" s="135"/>
      <c r="K22" s="133"/>
      <c r="L22" s="135"/>
      <c r="M22" s="133"/>
      <c r="N22" s="135"/>
      <c r="O22" s="667"/>
      <c r="P22" s="135"/>
      <c r="Q22" s="667"/>
      <c r="R22" s="135"/>
      <c r="S22" s="667"/>
      <c r="T22" s="135"/>
      <c r="U22" s="667"/>
      <c r="V22" s="135"/>
      <c r="W22" s="667"/>
      <c r="X22" s="135"/>
      <c r="Y22" s="667"/>
      <c r="Z22" s="135"/>
      <c r="AB22" s="1012"/>
    </row>
    <row r="23" spans="1:29" ht="12.2" customHeight="1" x14ac:dyDescent="0.2">
      <c r="A23" s="3"/>
      <c r="B23" s="70" t="s">
        <v>47</v>
      </c>
      <c r="C23" s="33"/>
      <c r="D23" s="34"/>
      <c r="E23" s="33"/>
      <c r="F23" s="34"/>
      <c r="G23" s="133"/>
      <c r="H23" s="135"/>
      <c r="I23" s="133"/>
      <c r="J23" s="135"/>
      <c r="K23" s="133"/>
      <c r="L23" s="135"/>
      <c r="M23" s="133"/>
      <c r="N23" s="135"/>
      <c r="O23" s="133"/>
      <c r="P23" s="135"/>
      <c r="Q23" s="133"/>
      <c r="R23" s="135"/>
      <c r="S23" s="133"/>
      <c r="T23" s="135"/>
      <c r="U23" s="133"/>
      <c r="V23" s="135"/>
      <c r="W23" s="133"/>
      <c r="X23" s="135"/>
      <c r="Y23" s="133"/>
      <c r="Z23" s="135"/>
    </row>
    <row r="24" spans="1:29" ht="12.2" customHeight="1" thickBot="1" x14ac:dyDescent="0.25">
      <c r="A24" s="3"/>
      <c r="B24" s="70"/>
      <c r="C24" s="3"/>
      <c r="D24" s="3"/>
      <c r="E24" s="3"/>
      <c r="F24" s="3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</row>
    <row r="25" spans="1:29" ht="16.5" customHeight="1" thickTop="1" thickBot="1" x14ac:dyDescent="0.25">
      <c r="A25" s="3"/>
      <c r="B25" s="340"/>
      <c r="C25" s="2013" t="s">
        <v>49</v>
      </c>
      <c r="D25" s="2014"/>
      <c r="E25" s="2015" t="s">
        <v>50</v>
      </c>
      <c r="F25" s="2015"/>
      <c r="G25" s="2002" t="s">
        <v>141</v>
      </c>
      <c r="H25" s="1982"/>
      <c r="I25" s="1974" t="s">
        <v>152</v>
      </c>
      <c r="J25" s="1974"/>
      <c r="K25" s="2002" t="s">
        <v>154</v>
      </c>
      <c r="L25" s="1974"/>
      <c r="M25" s="2002" t="s">
        <v>171</v>
      </c>
      <c r="N25" s="1982"/>
      <c r="O25" s="1974" t="s">
        <v>227</v>
      </c>
      <c r="P25" s="1982"/>
      <c r="Q25" s="1974" t="s">
        <v>237</v>
      </c>
      <c r="R25" s="1982"/>
      <c r="S25" s="1974" t="s">
        <v>272</v>
      </c>
      <c r="T25" s="1982"/>
      <c r="U25" s="1974" t="s">
        <v>274</v>
      </c>
      <c r="V25" s="1982"/>
      <c r="W25" s="1974" t="s">
        <v>280</v>
      </c>
      <c r="X25" s="1982"/>
      <c r="Y25" s="1974" t="s">
        <v>290</v>
      </c>
      <c r="Z25" s="1975"/>
      <c r="AB25" s="2003" t="s">
        <v>213</v>
      </c>
      <c r="AC25" s="2004"/>
    </row>
    <row r="26" spans="1:29" ht="12.2" customHeight="1" x14ac:dyDescent="0.2">
      <c r="A26" s="3"/>
      <c r="B26" s="73" t="s">
        <v>7</v>
      </c>
      <c r="C26" s="54"/>
      <c r="D26" s="92"/>
      <c r="E26" s="30"/>
      <c r="F26" s="30"/>
      <c r="G26" s="243"/>
      <c r="H26" s="244"/>
      <c r="I26" s="138"/>
      <c r="J26" s="138"/>
      <c r="K26" s="243"/>
      <c r="L26" s="138"/>
      <c r="M26" s="243"/>
      <c r="N26" s="244"/>
      <c r="O26" s="138"/>
      <c r="P26" s="244"/>
      <c r="Q26" s="138"/>
      <c r="R26" s="244"/>
      <c r="S26" s="138"/>
      <c r="T26" s="244"/>
      <c r="U26" s="138"/>
      <c r="V26" s="244"/>
      <c r="W26" s="138"/>
      <c r="X26" s="244"/>
      <c r="Y26" s="138"/>
      <c r="Z26" s="140"/>
      <c r="AB26" s="831"/>
      <c r="AC26" s="930"/>
    </row>
    <row r="27" spans="1:29" ht="12.2" customHeight="1" x14ac:dyDescent="0.2">
      <c r="A27" s="3"/>
      <c r="B27" s="78" t="s">
        <v>8</v>
      </c>
      <c r="C27" s="184"/>
      <c r="D27" s="93"/>
      <c r="E27" s="31"/>
      <c r="F27" s="31"/>
      <c r="G27" s="239"/>
      <c r="H27" s="245"/>
      <c r="I27" s="139"/>
      <c r="J27" s="139"/>
      <c r="K27" s="239"/>
      <c r="L27" s="139"/>
      <c r="M27" s="239"/>
      <c r="N27" s="245"/>
      <c r="O27" s="139"/>
      <c r="P27" s="245"/>
      <c r="Q27" s="139"/>
      <c r="R27" s="245"/>
      <c r="S27" s="139"/>
      <c r="T27" s="245"/>
      <c r="U27" s="139"/>
      <c r="V27" s="245"/>
      <c r="W27" s="139"/>
      <c r="X27" s="245"/>
      <c r="Y27" s="139"/>
      <c r="Z27" s="141"/>
      <c r="AB27" s="831"/>
      <c r="AC27" s="930"/>
    </row>
    <row r="28" spans="1:29" ht="12.2" customHeight="1" x14ac:dyDescent="0.2">
      <c r="A28" s="3"/>
      <c r="B28" s="78" t="s">
        <v>9</v>
      </c>
      <c r="C28" s="184"/>
      <c r="D28" s="165">
        <v>8045</v>
      </c>
      <c r="E28" s="31"/>
      <c r="F28" s="171">
        <v>8256</v>
      </c>
      <c r="G28" s="239"/>
      <c r="H28" s="261">
        <v>8145</v>
      </c>
      <c r="I28" s="139"/>
      <c r="J28" s="183">
        <v>8201</v>
      </c>
      <c r="K28" s="239"/>
      <c r="L28" s="183">
        <v>7131</v>
      </c>
      <c r="M28" s="239"/>
      <c r="N28" s="261">
        <v>7213</v>
      </c>
      <c r="O28" s="139"/>
      <c r="P28" s="261">
        <v>7564</v>
      </c>
      <c r="Q28" s="139"/>
      <c r="R28" s="261">
        <v>7651</v>
      </c>
      <c r="S28" s="139"/>
      <c r="T28" s="261">
        <v>7446</v>
      </c>
      <c r="U28" s="139"/>
      <c r="V28" s="261">
        <v>7980</v>
      </c>
      <c r="W28" s="139"/>
      <c r="X28" s="261">
        <v>7616</v>
      </c>
      <c r="Y28" s="139"/>
      <c r="Z28" s="1649"/>
      <c r="AB28" s="24"/>
      <c r="AC28" s="947">
        <f>AVERAGE(X28,V28,R28,T28,P28)</f>
        <v>7651.4</v>
      </c>
    </row>
    <row r="29" spans="1:29" ht="12.2" customHeight="1" x14ac:dyDescent="0.2">
      <c r="A29" s="3"/>
      <c r="B29" s="78" t="s">
        <v>10</v>
      </c>
      <c r="C29" s="184"/>
      <c r="D29" s="165">
        <v>9753</v>
      </c>
      <c r="E29" s="31"/>
      <c r="F29" s="171">
        <v>9898</v>
      </c>
      <c r="G29" s="239"/>
      <c r="H29" s="261">
        <v>10762</v>
      </c>
      <c r="I29" s="139"/>
      <c r="J29" s="183">
        <v>10877</v>
      </c>
      <c r="K29" s="239"/>
      <c r="L29" s="183">
        <v>9583</v>
      </c>
      <c r="M29" s="239"/>
      <c r="N29" s="261">
        <v>8658</v>
      </c>
      <c r="O29" s="139"/>
      <c r="P29" s="261">
        <v>9281</v>
      </c>
      <c r="Q29" s="139"/>
      <c r="R29" s="261">
        <v>9736</v>
      </c>
      <c r="S29" s="139"/>
      <c r="T29" s="261">
        <v>10040</v>
      </c>
      <c r="U29" s="139"/>
      <c r="V29" s="261">
        <v>10458</v>
      </c>
      <c r="W29" s="139"/>
      <c r="X29" s="261">
        <v>10521</v>
      </c>
      <c r="Y29" s="139"/>
      <c r="Z29" s="1649"/>
      <c r="AB29" s="12"/>
      <c r="AC29" s="947">
        <f>AVERAGE(X29,V29,R29,T29,P29)</f>
        <v>10007.200000000001</v>
      </c>
    </row>
    <row r="30" spans="1:29" ht="12.2" customHeight="1" x14ac:dyDescent="0.2">
      <c r="A30" s="3"/>
      <c r="B30" s="78" t="s">
        <v>11</v>
      </c>
      <c r="C30" s="184"/>
      <c r="D30" s="165">
        <v>745</v>
      </c>
      <c r="E30" s="31"/>
      <c r="F30" s="171">
        <v>800</v>
      </c>
      <c r="G30" s="239"/>
      <c r="H30" s="261">
        <v>787</v>
      </c>
      <c r="I30" s="139"/>
      <c r="J30" s="183">
        <v>609</v>
      </c>
      <c r="K30" s="239"/>
      <c r="L30" s="183">
        <v>648</v>
      </c>
      <c r="M30" s="239"/>
      <c r="N30" s="261">
        <v>495</v>
      </c>
      <c r="O30" s="139"/>
      <c r="P30" s="261">
        <v>606</v>
      </c>
      <c r="Q30" s="139"/>
      <c r="R30" s="261">
        <v>576</v>
      </c>
      <c r="S30" s="139"/>
      <c r="T30" s="261">
        <v>719</v>
      </c>
      <c r="U30" s="139"/>
      <c r="V30" s="261">
        <v>628</v>
      </c>
      <c r="W30" s="139"/>
      <c r="X30" s="261">
        <v>670</v>
      </c>
      <c r="Y30" s="139"/>
      <c r="Z30" s="1649"/>
      <c r="AB30" s="12"/>
      <c r="AC30" s="947">
        <f>AVERAGE(X30,V30,R30,T30,P30)</f>
        <v>639.79999999999995</v>
      </c>
    </row>
    <row r="31" spans="1:29" ht="12.2" customHeight="1" x14ac:dyDescent="0.2">
      <c r="A31" s="3"/>
      <c r="B31" s="78" t="s">
        <v>12</v>
      </c>
      <c r="C31" s="184"/>
      <c r="D31" s="94">
        <v>384</v>
      </c>
      <c r="E31" s="31"/>
      <c r="F31" s="39">
        <v>442</v>
      </c>
      <c r="G31" s="239"/>
      <c r="H31" s="240">
        <v>523</v>
      </c>
      <c r="I31" s="139"/>
      <c r="J31" s="241">
        <v>542</v>
      </c>
      <c r="K31" s="239"/>
      <c r="L31" s="241">
        <v>444</v>
      </c>
      <c r="M31" s="239"/>
      <c r="N31" s="240">
        <v>392</v>
      </c>
      <c r="O31" s="139"/>
      <c r="P31" s="240">
        <v>351</v>
      </c>
      <c r="Q31" s="139"/>
      <c r="R31" s="240">
        <v>411</v>
      </c>
      <c r="S31" s="139"/>
      <c r="T31" s="240">
        <v>523</v>
      </c>
      <c r="U31" s="139"/>
      <c r="V31" s="240">
        <v>539</v>
      </c>
      <c r="W31" s="139" t="s">
        <v>29</v>
      </c>
      <c r="X31" s="240">
        <v>492</v>
      </c>
      <c r="Y31" s="139" t="s">
        <v>29</v>
      </c>
      <c r="Z31" s="1650"/>
      <c r="AB31" s="12"/>
      <c r="AC31" s="947">
        <f>AVERAGE(X31,V31,R31,T31,P31)</f>
        <v>463.2</v>
      </c>
    </row>
    <row r="32" spans="1:29" ht="12.2" customHeight="1" thickBot="1" x14ac:dyDescent="0.25">
      <c r="A32" s="3"/>
      <c r="B32" s="79" t="s">
        <v>13</v>
      </c>
      <c r="C32" s="185"/>
      <c r="D32" s="186">
        <f>SUM(D28:D31)</f>
        <v>18927</v>
      </c>
      <c r="E32" s="90"/>
      <c r="F32" s="58">
        <f>SUM(F28:F31)</f>
        <v>19396</v>
      </c>
      <c r="G32" s="246"/>
      <c r="H32" s="247">
        <f>SUM(H28:H31)</f>
        <v>20217</v>
      </c>
      <c r="I32" s="164"/>
      <c r="J32" s="242">
        <f>SUM(J28:J31)</f>
        <v>20229</v>
      </c>
      <c r="K32" s="246"/>
      <c r="L32" s="242">
        <f>SUM(L28:L31)</f>
        <v>17806</v>
      </c>
      <c r="M32" s="246"/>
      <c r="N32" s="247">
        <f>SUM(N28:N31)</f>
        <v>16758</v>
      </c>
      <c r="O32" s="164"/>
      <c r="P32" s="247">
        <f>SUM(P28:P31)</f>
        <v>17802</v>
      </c>
      <c r="Q32" s="164"/>
      <c r="R32" s="247">
        <f>SUM(R28:R31)</f>
        <v>18374</v>
      </c>
      <c r="S32" s="164"/>
      <c r="T32" s="247">
        <f>SUM(T28:T31)</f>
        <v>18728</v>
      </c>
      <c r="U32" s="164"/>
      <c r="V32" s="247">
        <f>SUM(V28:V31)</f>
        <v>19605</v>
      </c>
      <c r="W32" s="164"/>
      <c r="X32" s="247">
        <f>SUM(X28:X31)</f>
        <v>19299</v>
      </c>
      <c r="Y32" s="164"/>
      <c r="Z32" s="1692"/>
      <c r="AA32" s="1031"/>
      <c r="AB32" s="946"/>
      <c r="AC32" s="1008">
        <f>AVERAGE(X32,V32,R32,T32,P32)</f>
        <v>18761.599999999999</v>
      </c>
    </row>
    <row r="33" spans="1:32" ht="12" customHeight="1" thickTop="1" thickBot="1" x14ac:dyDescent="0.25">
      <c r="A33" s="930"/>
      <c r="B33" s="931" t="s">
        <v>212</v>
      </c>
      <c r="C33" s="1992" t="s">
        <v>51</v>
      </c>
      <c r="D33" s="1997"/>
      <c r="E33" s="1992" t="s">
        <v>52</v>
      </c>
      <c r="F33" s="1997"/>
      <c r="G33" s="1989" t="s">
        <v>184</v>
      </c>
      <c r="H33" s="1981"/>
      <c r="I33" s="1989" t="s">
        <v>185</v>
      </c>
      <c r="J33" s="2005"/>
      <c r="K33" s="1989" t="s">
        <v>202</v>
      </c>
      <c r="L33" s="2005"/>
      <c r="M33" s="1991" t="s">
        <v>203</v>
      </c>
      <c r="N33" s="1981"/>
      <c r="O33" s="1970" t="s">
        <v>228</v>
      </c>
      <c r="P33" s="1981"/>
      <c r="Q33" s="1970" t="s">
        <v>238</v>
      </c>
      <c r="R33" s="1981"/>
      <c r="S33" s="1970" t="s">
        <v>273</v>
      </c>
      <c r="T33" s="1981"/>
      <c r="U33" s="1970" t="s">
        <v>275</v>
      </c>
      <c r="V33" s="1981"/>
      <c r="W33" s="1970" t="s">
        <v>281</v>
      </c>
      <c r="X33" s="1981"/>
      <c r="Y33" s="1970" t="s">
        <v>291</v>
      </c>
      <c r="Z33" s="1971"/>
      <c r="AA33" s="932"/>
      <c r="AB33" s="2009"/>
      <c r="AC33" s="2010"/>
      <c r="AD33" s="293"/>
      <c r="AE33" s="293"/>
      <c r="AF33" s="21"/>
    </row>
    <row r="34" spans="1:32" ht="12" customHeight="1" x14ac:dyDescent="0.2">
      <c r="A34" s="930"/>
      <c r="B34" s="933" t="s">
        <v>189</v>
      </c>
      <c r="C34" s="2016">
        <v>0.218</v>
      </c>
      <c r="D34" s="2017"/>
      <c r="E34" s="1995">
        <v>0.29699999999999999</v>
      </c>
      <c r="F34" s="1996"/>
      <c r="G34" s="1995">
        <v>0.307</v>
      </c>
      <c r="H34" s="1996"/>
      <c r="I34" s="1995">
        <v>0.29399999999999998</v>
      </c>
      <c r="J34" s="2006"/>
      <c r="K34" s="934"/>
      <c r="L34" s="935">
        <v>0.318</v>
      </c>
      <c r="M34" s="936"/>
      <c r="N34" s="1178">
        <v>0.28699999999999998</v>
      </c>
      <c r="O34" s="1176"/>
      <c r="P34" s="1178">
        <v>0.33500000000000002</v>
      </c>
      <c r="Q34" s="1271"/>
      <c r="R34" s="1178">
        <v>0.311</v>
      </c>
      <c r="S34" s="1271"/>
      <c r="T34" s="1178">
        <v>0.33600000000000002</v>
      </c>
      <c r="U34" s="1271"/>
      <c r="V34" s="1178">
        <v>0.36399999999999999</v>
      </c>
      <c r="W34" s="1271"/>
      <c r="X34" s="1178">
        <v>0.39200000000000002</v>
      </c>
      <c r="Y34" s="1271"/>
      <c r="Z34" s="1479">
        <v>0.375</v>
      </c>
      <c r="AA34" s="937"/>
      <c r="AB34" s="938"/>
      <c r="AC34" s="1048">
        <v>0.35499999999999998</v>
      </c>
      <c r="AD34" s="293"/>
      <c r="AE34" s="293"/>
      <c r="AF34" s="21"/>
    </row>
    <row r="35" spans="1:32" ht="12" customHeight="1" x14ac:dyDescent="0.2">
      <c r="A35" s="930"/>
      <c r="B35" s="940" t="s">
        <v>190</v>
      </c>
      <c r="C35" s="2018">
        <v>3.5000000000000003E-2</v>
      </c>
      <c r="D35" s="2019"/>
      <c r="E35" s="2000">
        <v>4.5999999999999999E-2</v>
      </c>
      <c r="F35" s="2001"/>
      <c r="G35" s="2000">
        <v>4.2999999999999997E-2</v>
      </c>
      <c r="H35" s="2001"/>
      <c r="I35" s="2000">
        <v>0.04</v>
      </c>
      <c r="J35" s="2011"/>
      <c r="K35" s="941"/>
      <c r="L35" s="942">
        <v>3.5000000000000003E-2</v>
      </c>
      <c r="M35" s="941"/>
      <c r="N35" s="1179">
        <v>4.2999999999999997E-2</v>
      </c>
      <c r="O35" s="1177"/>
      <c r="P35" s="1179">
        <v>0.04</v>
      </c>
      <c r="Q35" s="1272"/>
      <c r="R35" s="1179">
        <v>4.2999999999999997E-2</v>
      </c>
      <c r="S35" s="1272"/>
      <c r="T35" s="1179">
        <v>4.2000000000000003E-2</v>
      </c>
      <c r="U35" s="1272"/>
      <c r="V35" s="1179">
        <v>5.2999999999999999E-2</v>
      </c>
      <c r="W35" s="1272"/>
      <c r="X35" s="1179">
        <v>4.3999999999999997E-2</v>
      </c>
      <c r="Y35" s="1272"/>
      <c r="Z35" s="1480">
        <v>4.5999999999999999E-2</v>
      </c>
      <c r="AA35" s="937"/>
      <c r="AB35" s="938"/>
      <c r="AC35" s="1237">
        <f t="shared" ref="AC35" si="3">AVERAGE(X35,V35,R35,T35,Z35)</f>
        <v>4.5600000000000009E-2</v>
      </c>
      <c r="AD35" s="293"/>
      <c r="AE35" s="293"/>
      <c r="AF35" s="21"/>
    </row>
    <row r="36" spans="1:32" ht="12" customHeight="1" thickBot="1" x14ac:dyDescent="0.25">
      <c r="A36" s="3"/>
      <c r="B36" s="943" t="s">
        <v>191</v>
      </c>
      <c r="C36" s="1998">
        <f>1-C34-C35</f>
        <v>0.747</v>
      </c>
      <c r="D36" s="1999"/>
      <c r="E36" s="1998">
        <f>1-E34-E35</f>
        <v>0.65700000000000003</v>
      </c>
      <c r="F36" s="1999"/>
      <c r="G36" s="1998">
        <f>1-G34-G35</f>
        <v>0.65</v>
      </c>
      <c r="H36" s="1999"/>
      <c r="I36" s="1998">
        <f>1-I34-I35</f>
        <v>0.66599999999999993</v>
      </c>
      <c r="J36" s="1999"/>
      <c r="K36" s="1998">
        <f>1-L34-L35</f>
        <v>0.64699999999999991</v>
      </c>
      <c r="L36" s="1999"/>
      <c r="M36" s="1998">
        <f>1-N34-N35</f>
        <v>0.67</v>
      </c>
      <c r="N36" s="1999"/>
      <c r="O36" s="2012">
        <f>1-P34-P35</f>
        <v>0.625</v>
      </c>
      <c r="P36" s="1999"/>
      <c r="Q36" s="1972">
        <f>1-R34-R35</f>
        <v>0.64600000000000002</v>
      </c>
      <c r="R36" s="1973"/>
      <c r="S36" s="1972">
        <f>1-T34-T35</f>
        <v>0.62199999999999989</v>
      </c>
      <c r="T36" s="1973"/>
      <c r="U36" s="1972">
        <f>1-V34-V35</f>
        <v>0.58299999999999996</v>
      </c>
      <c r="V36" s="1973"/>
      <c r="W36" s="1972">
        <f>1-X34-X35</f>
        <v>0.56399999999999995</v>
      </c>
      <c r="X36" s="1973"/>
      <c r="Y36" s="1972">
        <f>1-Z34-Z35</f>
        <v>0.57899999999999996</v>
      </c>
      <c r="Z36" s="1973"/>
      <c r="AA36" s="937"/>
      <c r="AB36" s="2007">
        <f>1-AC34-AC35</f>
        <v>0.59940000000000004</v>
      </c>
      <c r="AC36" s="2008"/>
      <c r="AD36" s="1050"/>
      <c r="AE36" s="293"/>
      <c r="AF36" s="21"/>
    </row>
    <row r="37" spans="1:32" s="3" customFormat="1" thickTop="1" x14ac:dyDescent="0.2">
      <c r="B37" s="109"/>
      <c r="C37" s="110"/>
      <c r="D37" s="111"/>
      <c r="E37" s="110"/>
      <c r="F37" s="111"/>
      <c r="G37" s="146"/>
      <c r="H37" s="147"/>
      <c r="I37" s="146"/>
      <c r="J37" s="147"/>
      <c r="K37" s="146"/>
      <c r="L37" s="147"/>
      <c r="M37" s="146"/>
      <c r="N37" s="147"/>
      <c r="O37" s="146"/>
      <c r="P37" s="147"/>
      <c r="Q37" s="146"/>
      <c r="R37" s="147"/>
      <c r="S37" s="146"/>
      <c r="T37" s="147"/>
      <c r="U37" s="146"/>
      <c r="V37" s="147"/>
      <c r="W37" s="146"/>
      <c r="X37" s="147"/>
      <c r="Y37" s="146"/>
      <c r="Z37" s="147"/>
      <c r="AC37" s="578"/>
    </row>
    <row r="38" spans="1:32" s="3" customFormat="1" x14ac:dyDescent="0.2">
      <c r="A38" s="112" t="s">
        <v>68</v>
      </c>
      <c r="B38" s="96"/>
      <c r="C38" s="28"/>
      <c r="D38" s="28"/>
      <c r="E38" s="28"/>
      <c r="F38" s="28"/>
      <c r="G38" s="136"/>
      <c r="H38" s="136"/>
      <c r="I38" s="136"/>
      <c r="J38" s="136"/>
      <c r="K38" s="136"/>
      <c r="L38" s="136"/>
      <c r="M38" s="136"/>
      <c r="N38" s="136" t="s">
        <v>29</v>
      </c>
      <c r="O38" s="136"/>
      <c r="P38" s="136" t="s">
        <v>29</v>
      </c>
      <c r="Q38" s="136"/>
      <c r="R38" s="136" t="s">
        <v>29</v>
      </c>
      <c r="S38" s="136"/>
      <c r="T38" s="136" t="s">
        <v>29</v>
      </c>
      <c r="U38" s="136"/>
      <c r="V38" s="136" t="s">
        <v>29</v>
      </c>
      <c r="W38" s="136"/>
      <c r="X38" s="136" t="s">
        <v>29</v>
      </c>
      <c r="Y38" s="136"/>
      <c r="Z38" s="136" t="s">
        <v>29</v>
      </c>
    </row>
    <row r="39" spans="1:32" s="3" customFormat="1" ht="13.5" thickBot="1" x14ac:dyDescent="0.25">
      <c r="A39" s="112"/>
      <c r="B39" s="96"/>
      <c r="C39" s="28"/>
      <c r="D39" s="28"/>
      <c r="E39" s="28"/>
      <c r="F39" s="28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609"/>
      <c r="U39" s="136"/>
      <c r="V39" s="1609"/>
      <c r="W39" s="136"/>
      <c r="X39" s="1609"/>
      <c r="Y39" s="136"/>
      <c r="Z39" s="1609"/>
    </row>
    <row r="40" spans="1:32" s="3" customFormat="1" ht="14.25" thickTop="1" thickBot="1" x14ac:dyDescent="0.25">
      <c r="A40" s="2"/>
      <c r="B40" s="357" t="s">
        <v>69</v>
      </c>
      <c r="C40" s="2013" t="s">
        <v>49</v>
      </c>
      <c r="D40" s="2014"/>
      <c r="E40" s="2013" t="s">
        <v>50</v>
      </c>
      <c r="F40" s="2015"/>
      <c r="G40" s="2002" t="s">
        <v>141</v>
      </c>
      <c r="H40" s="1974"/>
      <c r="I40" s="2002" t="s">
        <v>152</v>
      </c>
      <c r="J40" s="1974"/>
      <c r="K40" s="2002" t="s">
        <v>154</v>
      </c>
      <c r="L40" s="1974"/>
      <c r="M40" s="2002" t="s">
        <v>171</v>
      </c>
      <c r="N40" s="1982"/>
      <c r="O40" s="1974" t="s">
        <v>227</v>
      </c>
      <c r="P40" s="1982"/>
      <c r="Q40" s="1974" t="s">
        <v>237</v>
      </c>
      <c r="R40" s="1982"/>
      <c r="S40" s="1974" t="s">
        <v>272</v>
      </c>
      <c r="T40" s="1982"/>
      <c r="U40" s="1974" t="s">
        <v>274</v>
      </c>
      <c r="V40" s="1982"/>
      <c r="W40" s="1974" t="s">
        <v>280</v>
      </c>
      <c r="X40" s="1982"/>
      <c r="Y40" s="1974" t="s">
        <v>290</v>
      </c>
      <c r="Z40" s="1975"/>
      <c r="AB40" s="2003" t="s">
        <v>213</v>
      </c>
      <c r="AC40" s="2004"/>
    </row>
    <row r="41" spans="1:32" s="3" customFormat="1" x14ac:dyDescent="0.2">
      <c r="A41" s="2"/>
      <c r="B41" s="330" t="s">
        <v>70</v>
      </c>
      <c r="C41" s="184"/>
      <c r="D41" s="93"/>
      <c r="E41" s="31"/>
      <c r="F41" s="31"/>
      <c r="G41" s="239"/>
      <c r="H41" s="248"/>
      <c r="I41" s="139"/>
      <c r="J41" s="139"/>
      <c r="K41" s="239"/>
      <c r="L41" s="139"/>
      <c r="M41" s="239"/>
      <c r="N41" s="245"/>
      <c r="O41" s="139"/>
      <c r="P41" s="245"/>
      <c r="Q41" s="139"/>
      <c r="R41" s="245"/>
      <c r="S41" s="139"/>
      <c r="T41" s="245"/>
      <c r="U41" s="139"/>
      <c r="V41" s="245"/>
      <c r="W41" s="139"/>
      <c r="X41" s="245"/>
      <c r="Y41" s="139"/>
      <c r="Z41" s="141"/>
      <c r="AB41" s="831"/>
      <c r="AC41" s="930"/>
    </row>
    <row r="42" spans="1:32" s="3" customFormat="1" x14ac:dyDescent="0.2">
      <c r="A42" s="2"/>
      <c r="B42" s="331" t="s">
        <v>71</v>
      </c>
      <c r="C42" s="54"/>
      <c r="D42" s="188">
        <f>3098147+276988</f>
        <v>3375135</v>
      </c>
      <c r="E42" s="30"/>
      <c r="F42" s="205">
        <f>3219713+291666</f>
        <v>3511379</v>
      </c>
      <c r="G42" s="243"/>
      <c r="H42" s="416">
        <f>3374257+298190</f>
        <v>3672447</v>
      </c>
      <c r="I42" s="138"/>
      <c r="J42" s="451">
        <f>3604740+307529</f>
        <v>3912269</v>
      </c>
      <c r="K42" s="243"/>
      <c r="L42" s="451">
        <f>3933845+322155</f>
        <v>4256000</v>
      </c>
      <c r="M42" s="243"/>
      <c r="N42" s="416">
        <f>4400995+330773</f>
        <v>4731768</v>
      </c>
      <c r="O42" s="138"/>
      <c r="P42" s="416">
        <f>4464558+335581</f>
        <v>4800139</v>
      </c>
      <c r="Q42" s="138"/>
      <c r="R42" s="416">
        <f>4780341+328583</f>
        <v>5108924</v>
      </c>
      <c r="S42" s="138"/>
      <c r="T42" s="416">
        <f>4934742+294148</f>
        <v>5228890</v>
      </c>
      <c r="U42" s="138"/>
      <c r="V42" s="416">
        <f>5061970+303610</f>
        <v>5365580</v>
      </c>
      <c r="W42" s="138"/>
      <c r="X42" s="416">
        <f>5246460+304916</f>
        <v>5551376</v>
      </c>
      <c r="Y42" s="138"/>
      <c r="Z42" s="294">
        <v>5885615</v>
      </c>
      <c r="AB42" s="24"/>
      <c r="AC42" s="947">
        <f>AVERAGE(X42,V42,R42,T42,Z42)</f>
        <v>5428077</v>
      </c>
    </row>
    <row r="43" spans="1:32" s="3" customFormat="1" x14ac:dyDescent="0.2">
      <c r="A43" s="2"/>
      <c r="B43" s="331" t="s">
        <v>247</v>
      </c>
      <c r="C43" s="54"/>
      <c r="D43" s="188"/>
      <c r="E43" s="30"/>
      <c r="F43" s="205"/>
      <c r="G43" s="243"/>
      <c r="H43" s="1439"/>
      <c r="I43" s="138"/>
      <c r="J43" s="451">
        <v>603478</v>
      </c>
      <c r="K43" s="243"/>
      <c r="L43" s="451">
        <v>608047</v>
      </c>
      <c r="M43" s="243"/>
      <c r="N43" s="416">
        <v>485293</v>
      </c>
      <c r="O43" s="138"/>
      <c r="P43" s="416">
        <v>485005</v>
      </c>
      <c r="Q43" s="138"/>
      <c r="R43" s="416">
        <v>470447</v>
      </c>
      <c r="S43" s="138"/>
      <c r="T43" s="416">
        <v>469191</v>
      </c>
      <c r="U43" s="138"/>
      <c r="V43" s="416">
        <f>469744</f>
        <v>469744</v>
      </c>
      <c r="W43" s="138"/>
      <c r="X43" s="416">
        <f>450800</f>
        <v>450800</v>
      </c>
      <c r="Y43" s="138"/>
      <c r="Z43" s="294">
        <v>450427</v>
      </c>
      <c r="AB43" s="24"/>
      <c r="AC43" s="947">
        <f t="shared" ref="AC43:AC45" si="4">AVERAGE(X43,V43,R43,T43,Z43)</f>
        <v>462121.8</v>
      </c>
    </row>
    <row r="44" spans="1:32" s="3" customFormat="1" ht="36" x14ac:dyDescent="0.2">
      <c r="A44" s="2"/>
      <c r="B44" s="332" t="s">
        <v>83</v>
      </c>
      <c r="C44" s="184"/>
      <c r="D44" s="189">
        <f>142896+7867352</f>
        <v>8010248</v>
      </c>
      <c r="E44" s="31"/>
      <c r="F44" s="206">
        <f>150556+5635679</f>
        <v>5786235</v>
      </c>
      <c r="G44" s="239"/>
      <c r="H44" s="369">
        <v>5835823</v>
      </c>
      <c r="I44" s="139"/>
      <c r="J44" s="347">
        <v>5406490</v>
      </c>
      <c r="K44" s="239"/>
      <c r="L44" s="347">
        <v>5357548</v>
      </c>
      <c r="M44" s="239"/>
      <c r="N44" s="369">
        <v>5457167</v>
      </c>
      <c r="O44" s="139"/>
      <c r="P44" s="369">
        <v>5467305</v>
      </c>
      <c r="Q44" s="139"/>
      <c r="R44" s="369">
        <v>5409677</v>
      </c>
      <c r="S44" s="139"/>
      <c r="T44" s="369">
        <v>5387482</v>
      </c>
      <c r="U44" s="139"/>
      <c r="V44" s="369">
        <f>5498983</f>
        <v>5498983</v>
      </c>
      <c r="W44" s="139"/>
      <c r="X44" s="369">
        <f>5569693+41033</f>
        <v>5610726</v>
      </c>
      <c r="Y44" s="139"/>
      <c r="Z44" s="282">
        <v>5648933</v>
      </c>
      <c r="AB44" s="12"/>
      <c r="AC44" s="947">
        <f t="shared" si="4"/>
        <v>5511160.2000000002</v>
      </c>
    </row>
    <row r="45" spans="1:32" s="3" customFormat="1" x14ac:dyDescent="0.2">
      <c r="A45" s="2"/>
      <c r="B45" s="333" t="s">
        <v>72</v>
      </c>
      <c r="C45" s="187"/>
      <c r="D45" s="190">
        <f>SUM(D42:D44)</f>
        <v>11385383</v>
      </c>
      <c r="E45" s="90"/>
      <c r="F45" s="207">
        <f>SUM(F42:F44)</f>
        <v>9297614</v>
      </c>
      <c r="G45" s="262"/>
      <c r="H45" s="263">
        <f>SUM(H42:H44)</f>
        <v>9508270</v>
      </c>
      <c r="I45" s="250"/>
      <c r="J45" s="249">
        <f>SUM(J42:J44)</f>
        <v>9922237</v>
      </c>
      <c r="K45" s="262"/>
      <c r="L45" s="249">
        <f>SUM(L42:L44)</f>
        <v>10221595</v>
      </c>
      <c r="M45" s="262"/>
      <c r="N45" s="263">
        <f>SUM(N42:N44)</f>
        <v>10674228</v>
      </c>
      <c r="O45" s="250"/>
      <c r="P45" s="263">
        <f>SUM(P42:P44)</f>
        <v>10752449</v>
      </c>
      <c r="Q45" s="250"/>
      <c r="R45" s="263">
        <f>SUM(R42:R44)</f>
        <v>10989048</v>
      </c>
      <c r="S45" s="250"/>
      <c r="T45" s="263">
        <f>SUM(T42:T44)</f>
        <v>11085563</v>
      </c>
      <c r="U45" s="250"/>
      <c r="V45" s="263">
        <f>SUM(V42:V44)</f>
        <v>11334307</v>
      </c>
      <c r="W45" s="250"/>
      <c r="X45" s="263">
        <f>SUM(X42:X44)</f>
        <v>11612902</v>
      </c>
      <c r="Y45" s="250"/>
      <c r="Z45" s="149">
        <f>SUM(Z42:Z44)</f>
        <v>11984975</v>
      </c>
      <c r="AB45" s="12"/>
      <c r="AC45" s="1008">
        <f t="shared" si="4"/>
        <v>11401359</v>
      </c>
    </row>
    <row r="46" spans="1:32" s="3" customFormat="1" x14ac:dyDescent="0.2">
      <c r="A46" s="2"/>
      <c r="B46" s="330" t="s">
        <v>73</v>
      </c>
      <c r="C46" s="184"/>
      <c r="D46" s="189"/>
      <c r="E46" s="31"/>
      <c r="F46" s="206"/>
      <c r="G46" s="239"/>
      <c r="H46" s="369"/>
      <c r="I46" s="139"/>
      <c r="J46" s="347"/>
      <c r="K46" s="239"/>
      <c r="L46" s="347"/>
      <c r="M46" s="239"/>
      <c r="N46" s="369"/>
      <c r="O46" s="139"/>
      <c r="P46" s="369"/>
      <c r="Q46" s="139"/>
      <c r="R46" s="369"/>
      <c r="S46" s="139"/>
      <c r="T46" s="369"/>
      <c r="U46" s="139"/>
      <c r="V46" s="369"/>
      <c r="W46" s="139"/>
      <c r="X46" s="369"/>
      <c r="Y46" s="139"/>
      <c r="Z46" s="282"/>
      <c r="AB46" s="12"/>
      <c r="AC46" s="947"/>
    </row>
    <row r="47" spans="1:32" s="3" customFormat="1" x14ac:dyDescent="0.2">
      <c r="A47" s="2"/>
      <c r="B47" s="331" t="s">
        <v>71</v>
      </c>
      <c r="C47" s="184"/>
      <c r="D47" s="189">
        <v>1049475</v>
      </c>
      <c r="E47" s="31"/>
      <c r="F47" s="206">
        <v>1097329</v>
      </c>
      <c r="G47" s="239"/>
      <c r="H47" s="369">
        <v>1134429</v>
      </c>
      <c r="I47" s="139"/>
      <c r="J47" s="347">
        <v>1182897</v>
      </c>
      <c r="K47" s="239"/>
      <c r="L47" s="347">
        <v>1237410</v>
      </c>
      <c r="M47" s="239"/>
      <c r="N47" s="369">
        <v>1287538</v>
      </c>
      <c r="O47" s="139"/>
      <c r="P47" s="369">
        <v>1190271</v>
      </c>
      <c r="Q47" s="139"/>
      <c r="R47" s="369">
        <v>1206835</v>
      </c>
      <c r="S47" s="139"/>
      <c r="T47" s="369">
        <v>1217130</v>
      </c>
      <c r="U47" s="139"/>
      <c r="V47" s="369">
        <f>1252518</f>
        <v>1252518</v>
      </c>
      <c r="W47" s="139"/>
      <c r="X47" s="369">
        <f>1278390</f>
        <v>1278390</v>
      </c>
      <c r="Y47" s="139"/>
      <c r="Z47" s="282">
        <v>1314656</v>
      </c>
      <c r="AB47" s="12"/>
      <c r="AC47" s="947">
        <f t="shared" ref="AC47:AC51" si="5">AVERAGE(X47,V47,R47,T47,Z47)</f>
        <v>1253905.8</v>
      </c>
    </row>
    <row r="48" spans="1:32" s="3" customFormat="1" x14ac:dyDescent="0.2">
      <c r="A48" s="2"/>
      <c r="B48" s="331" t="s">
        <v>247</v>
      </c>
      <c r="C48" s="184"/>
      <c r="D48" s="189"/>
      <c r="E48" s="31"/>
      <c r="F48" s="206"/>
      <c r="G48" s="239"/>
      <c r="H48" s="1440"/>
      <c r="I48" s="139"/>
      <c r="J48" s="1443">
        <v>1025902</v>
      </c>
      <c r="K48" s="239"/>
      <c r="L48" s="1443">
        <v>1026850</v>
      </c>
      <c r="M48" s="239"/>
      <c r="N48" s="1444">
        <v>727839</v>
      </c>
      <c r="O48" s="139"/>
      <c r="P48" s="1444">
        <v>727857</v>
      </c>
      <c r="Q48" s="139"/>
      <c r="R48" s="369">
        <v>728129</v>
      </c>
      <c r="S48" s="139"/>
      <c r="T48" s="369">
        <v>730456</v>
      </c>
      <c r="U48" s="139"/>
      <c r="V48" s="369">
        <f>700000</f>
        <v>700000</v>
      </c>
      <c r="W48" s="139"/>
      <c r="X48" s="369">
        <f>700000</f>
        <v>700000</v>
      </c>
      <c r="Y48" s="139"/>
      <c r="Z48" s="282">
        <v>700000</v>
      </c>
      <c r="AB48" s="12"/>
      <c r="AC48" s="947">
        <f t="shared" si="5"/>
        <v>711717</v>
      </c>
    </row>
    <row r="49" spans="1:29" s="3" customFormat="1" ht="36" x14ac:dyDescent="0.2">
      <c r="A49" s="2"/>
      <c r="B49" s="332" t="s">
        <v>83</v>
      </c>
      <c r="C49" s="239"/>
      <c r="D49" s="369">
        <v>2284582</v>
      </c>
      <c r="E49" s="139"/>
      <c r="F49" s="347">
        <v>4222565</v>
      </c>
      <c r="G49" s="239"/>
      <c r="H49" s="369">
        <v>4225011</v>
      </c>
      <c r="I49" s="139"/>
      <c r="J49" s="1442">
        <v>3201255</v>
      </c>
      <c r="K49" s="243"/>
      <c r="L49" s="1442">
        <v>3202557</v>
      </c>
      <c r="M49" s="243"/>
      <c r="N49" s="1444">
        <v>3099164</v>
      </c>
      <c r="O49" s="138"/>
      <c r="P49" s="1444">
        <v>3097514</v>
      </c>
      <c r="Q49" s="139"/>
      <c r="R49" s="369">
        <v>3100605</v>
      </c>
      <c r="S49" s="139"/>
      <c r="T49" s="369">
        <v>3099806</v>
      </c>
      <c r="U49" s="139"/>
      <c r="V49" s="369">
        <f>3099159</f>
        <v>3099159</v>
      </c>
      <c r="W49" s="139"/>
      <c r="X49" s="369">
        <f>3094587</f>
        <v>3094587</v>
      </c>
      <c r="Y49" s="139"/>
      <c r="Z49" s="282">
        <v>3093101</v>
      </c>
      <c r="AB49" s="12"/>
      <c r="AC49" s="947">
        <f t="shared" si="5"/>
        <v>3097451.6</v>
      </c>
    </row>
    <row r="50" spans="1:29" s="3" customFormat="1" x14ac:dyDescent="0.2">
      <c r="A50" s="2"/>
      <c r="B50" s="333" t="s">
        <v>74</v>
      </c>
      <c r="C50" s="262"/>
      <c r="D50" s="263">
        <f>SUM(D47:D49)</f>
        <v>3334057</v>
      </c>
      <c r="E50" s="250"/>
      <c r="F50" s="249">
        <f>SUM(F47:F49)</f>
        <v>5319894</v>
      </c>
      <c r="G50" s="262"/>
      <c r="H50" s="263">
        <f>SUM(H47:H49)</f>
        <v>5359440</v>
      </c>
      <c r="I50" s="250"/>
      <c r="J50" s="249">
        <f>SUM(J47:J49)</f>
        <v>5410054</v>
      </c>
      <c r="K50" s="262"/>
      <c r="L50" s="249">
        <f>SUM(L47:L49)</f>
        <v>5466817</v>
      </c>
      <c r="M50" s="262"/>
      <c r="N50" s="263">
        <f>SUM(N47:N49)</f>
        <v>5114541</v>
      </c>
      <c r="O50" s="250"/>
      <c r="P50" s="263">
        <f>SUM(P47:P49)</f>
        <v>5015642</v>
      </c>
      <c r="Q50" s="250"/>
      <c r="R50" s="263">
        <f>SUM(R47:R49)</f>
        <v>5035569</v>
      </c>
      <c r="S50" s="250"/>
      <c r="T50" s="263">
        <f>SUM(T47:T49)</f>
        <v>5047392</v>
      </c>
      <c r="U50" s="250"/>
      <c r="V50" s="263">
        <f>SUM(V47:V49)</f>
        <v>5051677</v>
      </c>
      <c r="W50" s="250"/>
      <c r="X50" s="263">
        <f>SUM(X47:X49)</f>
        <v>5072977</v>
      </c>
      <c r="Y50" s="250"/>
      <c r="Z50" s="149">
        <f>SUM(Z47:Z49)</f>
        <v>5107757</v>
      </c>
      <c r="AB50" s="12"/>
      <c r="AC50" s="1008">
        <f t="shared" si="5"/>
        <v>5063074.4000000004</v>
      </c>
    </row>
    <row r="51" spans="1:29" s="3" customFormat="1" ht="13.5" thickBot="1" x14ac:dyDescent="0.25">
      <c r="A51" s="2"/>
      <c r="B51" s="1493" t="s">
        <v>175</v>
      </c>
      <c r="C51" s="239"/>
      <c r="D51" s="263">
        <f>SUM(D45,D50)</f>
        <v>14719440</v>
      </c>
      <c r="E51" s="139"/>
      <c r="F51" s="249">
        <f>SUM(F45,F50)</f>
        <v>14617508</v>
      </c>
      <c r="G51" s="239"/>
      <c r="H51" s="263">
        <f>SUM(H45,H50)</f>
        <v>14867710</v>
      </c>
      <c r="I51" s="139"/>
      <c r="J51" s="249">
        <f>SUM(J45,J50)</f>
        <v>15332291</v>
      </c>
      <c r="K51" s="239"/>
      <c r="L51" s="249">
        <f>SUM(L45,L50)</f>
        <v>15688412</v>
      </c>
      <c r="M51" s="239"/>
      <c r="N51" s="263">
        <f>SUM(N45,N50)</f>
        <v>15788769</v>
      </c>
      <c r="O51" s="139"/>
      <c r="P51" s="263">
        <f>SUM(P45,P50)</f>
        <v>15768091</v>
      </c>
      <c r="Q51" s="139"/>
      <c r="R51" s="263">
        <f>SUM(R45,R50)</f>
        <v>16024617</v>
      </c>
      <c r="S51" s="139"/>
      <c r="T51" s="263">
        <f>SUM(T45,T50)</f>
        <v>16132955</v>
      </c>
      <c r="U51" s="139"/>
      <c r="V51" s="263">
        <f>SUM(V45,V50)</f>
        <v>16385984</v>
      </c>
      <c r="W51" s="139"/>
      <c r="X51" s="605">
        <f>SUM(X45,X50)</f>
        <v>16685879</v>
      </c>
      <c r="Y51" s="139"/>
      <c r="Z51" s="149">
        <f>SUM(Z45,Z50)</f>
        <v>17092732</v>
      </c>
      <c r="AB51" s="948"/>
      <c r="AC51" s="1008">
        <f t="shared" si="5"/>
        <v>16464433.4</v>
      </c>
    </row>
    <row r="52" spans="1:29" s="3" customFormat="1" ht="12" x14ac:dyDescent="0.2">
      <c r="B52" s="81" t="s">
        <v>259</v>
      </c>
      <c r="C52" s="265"/>
      <c r="D52" s="248"/>
      <c r="E52" s="151"/>
      <c r="F52" s="151"/>
      <c r="G52" s="265"/>
      <c r="H52" s="248"/>
      <c r="I52" s="151"/>
      <c r="J52" s="151"/>
      <c r="K52" s="265"/>
      <c r="L52" s="151"/>
      <c r="M52" s="265"/>
      <c r="N52" s="248"/>
      <c r="O52" s="151"/>
      <c r="P52" s="248"/>
      <c r="Q52" s="151"/>
      <c r="R52" s="248"/>
      <c r="S52" s="151"/>
      <c r="T52" s="248"/>
      <c r="U52" s="151"/>
      <c r="V52" s="248"/>
      <c r="W52" s="151"/>
      <c r="X52" s="248"/>
      <c r="Y52" s="151"/>
      <c r="Z52" s="152"/>
      <c r="AB52" s="831"/>
      <c r="AC52" s="978"/>
    </row>
    <row r="53" spans="1:29" ht="12.2" customHeight="1" x14ac:dyDescent="0.2">
      <c r="A53" s="3"/>
      <c r="B53" s="78" t="s">
        <v>14</v>
      </c>
      <c r="C53" s="266"/>
      <c r="D53" s="460">
        <f>3098324+101509</f>
        <v>3199833</v>
      </c>
      <c r="E53" s="153"/>
      <c r="F53" s="458">
        <v>3645258</v>
      </c>
      <c r="G53" s="432"/>
      <c r="H53" s="433">
        <v>4016738.28</v>
      </c>
      <c r="I53" s="463"/>
      <c r="J53" s="458">
        <v>4203163.29</v>
      </c>
      <c r="K53" s="266"/>
      <c r="L53" s="823">
        <f>1133635+1245202</f>
        <v>2378837</v>
      </c>
      <c r="M53" s="266"/>
      <c r="N53" s="1140">
        <v>4988695</v>
      </c>
      <c r="O53" s="153"/>
      <c r="P53" s="1140">
        <v>4770889</v>
      </c>
      <c r="Q53" s="525"/>
      <c r="R53" s="1140">
        <v>4851686</v>
      </c>
      <c r="S53" s="525"/>
      <c r="T53" s="1140">
        <v>6064074</v>
      </c>
      <c r="U53" s="525"/>
      <c r="V53" s="1140">
        <v>6385284</v>
      </c>
      <c r="W53" s="525"/>
      <c r="X53" s="1140">
        <v>6727956.0599999996</v>
      </c>
      <c r="Y53" s="525"/>
      <c r="Z53" s="1568"/>
      <c r="AB53" s="24"/>
      <c r="AC53" s="949">
        <f>AVERAGE(X53,V53,R53,T53,P53)</f>
        <v>5759977.8119999999</v>
      </c>
    </row>
    <row r="54" spans="1:29" ht="12.2" customHeight="1" x14ac:dyDescent="0.2">
      <c r="A54" s="3"/>
      <c r="B54" s="1340" t="s">
        <v>15</v>
      </c>
      <c r="C54" s="309"/>
      <c r="D54" s="466">
        <f>1069476+739053+18698</f>
        <v>1827227</v>
      </c>
      <c r="E54" s="415"/>
      <c r="F54" s="487">
        <f>1793959+265095+42762</f>
        <v>2101816</v>
      </c>
      <c r="G54" s="488"/>
      <c r="H54" s="489">
        <f>2469279+1138</f>
        <v>2470417</v>
      </c>
      <c r="I54" s="465"/>
      <c r="J54" s="487">
        <v>3026272</v>
      </c>
      <c r="K54" s="309"/>
      <c r="L54" s="825">
        <f>15239+113587+547909+586673+3964446</f>
        <v>5227854</v>
      </c>
      <c r="M54" s="309"/>
      <c r="N54" s="1140">
        <f>1298521+522137+1120980+504038+90665+16944</f>
        <v>3553285</v>
      </c>
      <c r="O54" s="415"/>
      <c r="P54" s="1266">
        <f>1153053+1178753+372767+526392</f>
        <v>3230965</v>
      </c>
      <c r="Q54" s="828"/>
      <c r="R54" s="1266">
        <f>2208048.15+703561.28</f>
        <v>2911609.4299999997</v>
      </c>
      <c r="S54" s="828"/>
      <c r="T54" s="1266">
        <f>727224.32+1195128.26+646507+346664.63</f>
        <v>2915524.21</v>
      </c>
      <c r="U54" s="828"/>
      <c r="V54" s="1266">
        <f>2202833</f>
        <v>2202833</v>
      </c>
      <c r="W54" s="828"/>
      <c r="X54" s="1266">
        <v>2183803.2000000002</v>
      </c>
      <c r="Y54" s="828"/>
      <c r="Z54" s="1576"/>
      <c r="AB54" s="63"/>
      <c r="AC54" s="949">
        <f>AVERAGE(X54,V54,R54,T54,P54)</f>
        <v>2688946.9679999999</v>
      </c>
    </row>
    <row r="55" spans="1:29" ht="12.2" customHeight="1" thickBot="1" x14ac:dyDescent="0.25">
      <c r="A55" s="3"/>
      <c r="B55" s="1539"/>
      <c r="C55" s="268"/>
      <c r="D55" s="467"/>
      <c r="E55" s="154"/>
      <c r="F55" s="399"/>
      <c r="G55" s="268"/>
      <c r="H55" s="428"/>
      <c r="I55" s="154"/>
      <c r="J55" s="399"/>
      <c r="K55" s="268"/>
      <c r="L55" s="399"/>
      <c r="M55" s="268"/>
      <c r="N55" s="1336"/>
      <c r="O55" s="154"/>
      <c r="P55" s="428"/>
      <c r="Q55" s="154"/>
      <c r="R55" s="428"/>
      <c r="S55" s="154"/>
      <c r="T55" s="428"/>
      <c r="U55" s="154"/>
      <c r="V55" s="428"/>
      <c r="W55" s="154"/>
      <c r="X55" s="428"/>
      <c r="Y55" s="154"/>
      <c r="Z55" s="155"/>
      <c r="AB55" s="948"/>
      <c r="AC55" s="949"/>
    </row>
    <row r="56" spans="1:29" ht="12.2" customHeight="1" x14ac:dyDescent="0.2">
      <c r="A56" s="3"/>
      <c r="B56" s="77"/>
      <c r="C56" s="308" t="s">
        <v>133</v>
      </c>
      <c r="D56" s="417" t="s">
        <v>139</v>
      </c>
      <c r="E56" s="414" t="s">
        <v>133</v>
      </c>
      <c r="F56" s="352" t="s">
        <v>139</v>
      </c>
      <c r="G56" s="308" t="s">
        <v>133</v>
      </c>
      <c r="H56" s="417" t="s">
        <v>139</v>
      </c>
      <c r="I56" s="414" t="s">
        <v>133</v>
      </c>
      <c r="J56" s="352" t="s">
        <v>139</v>
      </c>
      <c r="K56" s="308" t="s">
        <v>133</v>
      </c>
      <c r="L56" s="352" t="s">
        <v>139</v>
      </c>
      <c r="M56" s="308" t="s">
        <v>133</v>
      </c>
      <c r="N56" s="417" t="s">
        <v>139</v>
      </c>
      <c r="O56" s="414" t="s">
        <v>133</v>
      </c>
      <c r="P56" s="417" t="s">
        <v>139</v>
      </c>
      <c r="Q56" s="414" t="s">
        <v>133</v>
      </c>
      <c r="R56" s="417" t="s">
        <v>139</v>
      </c>
      <c r="S56" s="414" t="s">
        <v>133</v>
      </c>
      <c r="T56" s="417" t="s">
        <v>139</v>
      </c>
      <c r="U56" s="414" t="s">
        <v>133</v>
      </c>
      <c r="V56" s="417" t="s">
        <v>139</v>
      </c>
      <c r="W56" s="414" t="s">
        <v>133</v>
      </c>
      <c r="X56" s="417" t="s">
        <v>139</v>
      </c>
      <c r="Y56" s="414" t="s">
        <v>133</v>
      </c>
      <c r="Z56" s="295" t="s">
        <v>139</v>
      </c>
      <c r="AB56" s="950" t="s">
        <v>133</v>
      </c>
      <c r="AC56" s="295" t="s">
        <v>139</v>
      </c>
    </row>
    <row r="57" spans="1:29" s="3" customFormat="1" ht="11.45" customHeight="1" x14ac:dyDescent="0.2">
      <c r="B57" s="80" t="s">
        <v>67</v>
      </c>
      <c r="C57" s="476">
        <v>104</v>
      </c>
      <c r="D57" s="510">
        <v>14779555</v>
      </c>
      <c r="E57" s="473">
        <v>116</v>
      </c>
      <c r="F57" s="525">
        <v>15050023</v>
      </c>
      <c r="G57" s="476">
        <v>110</v>
      </c>
      <c r="H57" s="439">
        <v>12890065</v>
      </c>
      <c r="I57" s="477">
        <v>91</v>
      </c>
      <c r="J57" s="252">
        <v>14398888</v>
      </c>
      <c r="K57" s="476">
        <v>98</v>
      </c>
      <c r="L57" s="525">
        <v>11334150</v>
      </c>
      <c r="M57" s="476">
        <v>94</v>
      </c>
      <c r="N57" s="439">
        <v>17421613</v>
      </c>
      <c r="O57" s="477">
        <v>90</v>
      </c>
      <c r="P57" s="439">
        <v>14852235</v>
      </c>
      <c r="Q57" s="477">
        <v>91</v>
      </c>
      <c r="R57" s="439">
        <v>13652321</v>
      </c>
      <c r="S57" s="477">
        <v>90</v>
      </c>
      <c r="T57" s="439">
        <v>14288775</v>
      </c>
      <c r="U57" s="477">
        <v>93</v>
      </c>
      <c r="V57" s="439">
        <v>14138253</v>
      </c>
      <c r="W57" s="477">
        <v>79</v>
      </c>
      <c r="X57" s="439">
        <f>10542596</f>
        <v>10542596</v>
      </c>
      <c r="Y57" s="1782"/>
      <c r="Z57" s="1783"/>
      <c r="AA57" s="955"/>
      <c r="AB57" s="108">
        <f>AVERAGE(W57,U57,Q57,S57,O57)</f>
        <v>88.6</v>
      </c>
      <c r="AC57" s="949">
        <f>AVERAGE(X57,V57,R57,T57,P57)</f>
        <v>13494836</v>
      </c>
    </row>
    <row r="58" spans="1:29" s="3" customFormat="1" ht="11.45" customHeight="1" x14ac:dyDescent="0.2">
      <c r="B58" s="80"/>
      <c r="C58" s="551"/>
      <c r="D58" s="468"/>
      <c r="E58" s="914"/>
      <c r="F58" s="452"/>
      <c r="G58" s="551"/>
      <c r="H58" s="527"/>
      <c r="I58" s="255"/>
      <c r="J58" s="528"/>
      <c r="K58" s="551"/>
      <c r="L58" s="452"/>
      <c r="M58" s="551"/>
      <c r="N58" s="527"/>
      <c r="O58" s="255"/>
      <c r="P58" s="418"/>
      <c r="Q58" s="255"/>
      <c r="R58" s="418"/>
      <c r="S58" s="255"/>
      <c r="T58" s="418"/>
      <c r="U58" s="255"/>
      <c r="V58" s="418"/>
      <c r="W58" s="255"/>
      <c r="X58" s="418"/>
      <c r="Y58" s="1784"/>
      <c r="Z58" s="1785"/>
      <c r="AA58" s="955"/>
      <c r="AB58" s="1013"/>
      <c r="AC58" s="949"/>
    </row>
    <row r="59" spans="1:29" s="3" customFormat="1" thickBot="1" x14ac:dyDescent="0.25">
      <c r="B59" s="167" t="s">
        <v>16</v>
      </c>
      <c r="C59" s="913">
        <v>70</v>
      </c>
      <c r="D59" s="208">
        <v>10168211</v>
      </c>
      <c r="E59" s="839">
        <v>64</v>
      </c>
      <c r="F59" s="69">
        <v>9986549.6300000008</v>
      </c>
      <c r="G59" s="552">
        <v>98</v>
      </c>
      <c r="H59" s="509">
        <v>14683975</v>
      </c>
      <c r="I59" s="550">
        <v>60</v>
      </c>
      <c r="J59" s="253">
        <v>7252836</v>
      </c>
      <c r="K59" s="552">
        <v>61</v>
      </c>
      <c r="L59" s="526">
        <v>10827536</v>
      </c>
      <c r="M59" s="552">
        <v>52</v>
      </c>
      <c r="N59" s="509">
        <v>7271896</v>
      </c>
      <c r="O59" s="1491">
        <v>57</v>
      </c>
      <c r="P59" s="442">
        <v>8171385</v>
      </c>
      <c r="Q59" s="1491">
        <v>53</v>
      </c>
      <c r="R59" s="442">
        <v>8471140</v>
      </c>
      <c r="S59" s="1491">
        <v>60</v>
      </c>
      <c r="T59" s="442">
        <v>10262919</v>
      </c>
      <c r="U59" s="1491">
        <v>48</v>
      </c>
      <c r="V59" s="442">
        <v>7793383</v>
      </c>
      <c r="W59" s="1491">
        <v>57</v>
      </c>
      <c r="X59" s="442">
        <v>8162164</v>
      </c>
      <c r="Y59" s="1786"/>
      <c r="Z59" s="1781"/>
      <c r="AA59" s="955"/>
      <c r="AB59" s="839">
        <f>AVERAGE(W59,U59,Q59,S59,O59)</f>
        <v>55</v>
      </c>
      <c r="AC59" s="1009">
        <f>AVERAGE(X59,V59,R59,T59,P59)</f>
        <v>8572198.1999999993</v>
      </c>
    </row>
    <row r="60" spans="1:29" s="3" customFormat="1" thickTop="1" x14ac:dyDescent="0.2">
      <c r="B60" s="81" t="s">
        <v>84</v>
      </c>
      <c r="C60" s="199"/>
      <c r="D60" s="209"/>
      <c r="E60" s="45"/>
      <c r="F60" s="323"/>
      <c r="G60" s="269"/>
      <c r="H60" s="490"/>
      <c r="I60" s="491"/>
      <c r="J60" s="492"/>
      <c r="K60" s="269"/>
      <c r="L60" s="307"/>
      <c r="M60" s="269"/>
      <c r="N60" s="419"/>
      <c r="O60" s="156"/>
      <c r="P60" s="419"/>
      <c r="Q60" s="156"/>
      <c r="R60" s="419"/>
      <c r="S60" s="156"/>
      <c r="T60" s="419"/>
      <c r="U60" s="156"/>
      <c r="V60" s="419"/>
      <c r="W60" s="156"/>
      <c r="X60" s="419"/>
      <c r="Y60" s="156"/>
      <c r="Z60" s="158"/>
      <c r="AA60" s="955"/>
      <c r="AB60" s="1987"/>
      <c r="AC60" s="2049"/>
    </row>
    <row r="61" spans="1:29" s="3" customFormat="1" ht="12" x14ac:dyDescent="0.2">
      <c r="B61" s="337" t="s">
        <v>35</v>
      </c>
      <c r="C61" s="201"/>
      <c r="D61" s="210"/>
      <c r="E61" s="97"/>
      <c r="F61" s="34"/>
      <c r="G61" s="271"/>
      <c r="H61" s="493"/>
      <c r="I61" s="494"/>
      <c r="J61" s="495"/>
      <c r="K61" s="271"/>
      <c r="L61" s="135"/>
      <c r="M61" s="271"/>
      <c r="N61" s="420"/>
      <c r="O61" s="157"/>
      <c r="P61" s="420"/>
      <c r="Q61" s="157"/>
      <c r="R61" s="420"/>
      <c r="S61" s="157"/>
      <c r="T61" s="420"/>
      <c r="U61" s="157"/>
      <c r="V61" s="420"/>
      <c r="W61" s="157"/>
      <c r="X61" s="420"/>
      <c r="Y61" s="157"/>
      <c r="Z61" s="287"/>
      <c r="AA61" s="955"/>
      <c r="AB61" s="720"/>
      <c r="AC61" s="1011"/>
    </row>
    <row r="62" spans="1:29" s="3" customFormat="1" ht="12" x14ac:dyDescent="0.2">
      <c r="B62" s="338" t="s">
        <v>85</v>
      </c>
      <c r="C62" s="202"/>
      <c r="D62" s="232">
        <v>535100</v>
      </c>
      <c r="E62" s="35"/>
      <c r="F62" s="501">
        <f>841155+249137</f>
        <v>1090292</v>
      </c>
      <c r="G62" s="496"/>
      <c r="H62" s="498">
        <f>132594+726815</f>
        <v>859409</v>
      </c>
      <c r="I62" s="497"/>
      <c r="J62" s="543">
        <f>83125+391617.11</f>
        <v>474742.11</v>
      </c>
      <c r="K62" s="272"/>
      <c r="L62" s="508">
        <f>163383.06+582981.68</f>
        <v>746364.74</v>
      </c>
      <c r="M62" s="272"/>
      <c r="N62" s="548">
        <f>65822+243923</f>
        <v>309745</v>
      </c>
      <c r="O62" s="254"/>
      <c r="P62" s="548">
        <f>67672+282966</f>
        <v>350638</v>
      </c>
      <c r="Q62" s="254"/>
      <c r="R62" s="548">
        <f>73499+352415</f>
        <v>425914</v>
      </c>
      <c r="S62" s="254"/>
      <c r="T62" s="548">
        <f>116266.26+389873.19</f>
        <v>506139.45</v>
      </c>
      <c r="U62" s="254"/>
      <c r="V62" s="548">
        <f>129207.76+627868.98</f>
        <v>757076.74</v>
      </c>
      <c r="W62" s="254"/>
      <c r="X62" s="548">
        <f>254617.05+942960.84</f>
        <v>1197577.8899999999</v>
      </c>
      <c r="Y62" s="254"/>
      <c r="Z62" s="1581"/>
      <c r="AA62" s="955"/>
      <c r="AB62" s="1013"/>
      <c r="AC62" s="949">
        <f t="shared" ref="AC62:AC63" si="6">AVERAGE(X62,V62,R62,T62,P62)</f>
        <v>647469.21600000001</v>
      </c>
    </row>
    <row r="63" spans="1:29" s="3" customFormat="1" thickBot="1" x14ac:dyDescent="0.25">
      <c r="B63" s="361" t="s">
        <v>86</v>
      </c>
      <c r="C63" s="204"/>
      <c r="D63" s="211">
        <v>500000</v>
      </c>
      <c r="E63" s="37"/>
      <c r="F63" s="499">
        <v>1128649.8799999999</v>
      </c>
      <c r="G63" s="500"/>
      <c r="H63" s="499">
        <v>1252041.49</v>
      </c>
      <c r="I63" s="500"/>
      <c r="J63" s="544">
        <v>1452303.66</v>
      </c>
      <c r="K63" s="274"/>
      <c r="L63" s="536">
        <v>1448954.19</v>
      </c>
      <c r="M63" s="274"/>
      <c r="N63" s="1236">
        <f>1083763.8+775392.8</f>
        <v>1859156.6</v>
      </c>
      <c r="O63" s="260"/>
      <c r="P63" s="1236">
        <f>1130390+830932</f>
        <v>1961322</v>
      </c>
      <c r="Q63" s="260"/>
      <c r="R63" s="1236">
        <f>1301389+951328</f>
        <v>2252717</v>
      </c>
      <c r="S63" s="260"/>
      <c r="T63" s="1236">
        <v>2094941.2</v>
      </c>
      <c r="U63" s="260"/>
      <c r="V63" s="1236">
        <f>1242623.26+987988.86</f>
        <v>2230612.12</v>
      </c>
      <c r="W63" s="260"/>
      <c r="X63" s="1236">
        <f>1427005.46+1121023.8</f>
        <v>2548029.2599999998</v>
      </c>
      <c r="Y63" s="260"/>
      <c r="Z63" s="1582"/>
      <c r="AB63" s="1015"/>
      <c r="AC63" s="1024">
        <f t="shared" si="6"/>
        <v>2217524.3160000001</v>
      </c>
    </row>
    <row r="64" spans="1:29" ht="12.2" customHeight="1" thickTop="1" x14ac:dyDescent="0.2">
      <c r="A64" s="3"/>
      <c r="B64" s="96"/>
      <c r="C64" s="97"/>
      <c r="D64" s="98"/>
      <c r="E64" s="97"/>
      <c r="F64" s="34"/>
      <c r="G64" s="157"/>
      <c r="H64" s="135"/>
      <c r="I64" s="157"/>
      <c r="J64" s="429"/>
      <c r="K64" s="157"/>
      <c r="L64" s="429"/>
      <c r="M64" s="157"/>
      <c r="N64" s="429"/>
      <c r="O64" s="157"/>
      <c r="P64" s="429"/>
      <c r="Q64" s="157"/>
      <c r="R64" s="429"/>
      <c r="S64" s="157"/>
      <c r="T64" s="429"/>
      <c r="U64" s="157"/>
      <c r="V64" s="429"/>
      <c r="W64" s="157"/>
      <c r="X64" s="429"/>
      <c r="Y64" s="157"/>
      <c r="Z64" s="429"/>
    </row>
    <row r="65" spans="1:29" ht="12.2" customHeight="1" x14ac:dyDescent="0.2">
      <c r="A65" s="2" t="s">
        <v>76</v>
      </c>
      <c r="B65" s="96"/>
      <c r="C65" s="97"/>
      <c r="D65" s="98"/>
      <c r="E65" s="97"/>
      <c r="F65" s="34"/>
      <c r="G65" s="157"/>
      <c r="H65" s="135"/>
      <c r="I65" s="157"/>
      <c r="J65" s="135"/>
      <c r="K65" s="157"/>
      <c r="L65" s="135"/>
      <c r="M65" s="157"/>
      <c r="N65" s="135"/>
      <c r="O65" s="157"/>
      <c r="P65" s="135"/>
      <c r="Q65" s="157"/>
      <c r="R65" s="135"/>
      <c r="S65" s="157"/>
      <c r="T65" s="135"/>
      <c r="U65" s="157"/>
      <c r="V65" s="135"/>
      <c r="W65" s="157"/>
      <c r="X65" s="135"/>
      <c r="Y65" s="157"/>
      <c r="Z65" s="135"/>
    </row>
    <row r="66" spans="1:29" ht="12.2" customHeight="1" thickBot="1" x14ac:dyDescent="0.25">
      <c r="A66" s="3"/>
      <c r="B66" s="96"/>
      <c r="C66" s="97"/>
      <c r="D66" s="98"/>
      <c r="E66" s="97"/>
      <c r="F66" s="34"/>
      <c r="G66" s="157"/>
      <c r="H66" s="135"/>
      <c r="I66" s="157"/>
      <c r="J66" s="135"/>
      <c r="K66" s="157"/>
      <c r="L66" s="135"/>
      <c r="M66" s="157"/>
      <c r="N66" s="135"/>
      <c r="O66" s="157"/>
      <c r="P66" s="135"/>
      <c r="Q66" s="157"/>
      <c r="R66" s="135"/>
      <c r="S66" s="157"/>
      <c r="T66" s="135"/>
      <c r="U66" s="157"/>
      <c r="V66" s="135"/>
      <c r="W66" s="157"/>
      <c r="X66" s="135"/>
      <c r="Y66" s="157"/>
      <c r="Z66" s="135"/>
    </row>
    <row r="67" spans="1:29" s="3" customFormat="1" ht="14.25" customHeight="1" thickTop="1" thickBot="1" x14ac:dyDescent="0.25">
      <c r="B67" s="340"/>
      <c r="C67" s="2013" t="s">
        <v>49</v>
      </c>
      <c r="D67" s="2014"/>
      <c r="E67" s="2015" t="s">
        <v>50</v>
      </c>
      <c r="F67" s="2015"/>
      <c r="G67" s="2002" t="s">
        <v>141</v>
      </c>
      <c r="H67" s="1982"/>
      <c r="I67" s="1974" t="s">
        <v>152</v>
      </c>
      <c r="J67" s="1974"/>
      <c r="K67" s="2002" t="s">
        <v>154</v>
      </c>
      <c r="L67" s="1974"/>
      <c r="M67" s="2002" t="s">
        <v>171</v>
      </c>
      <c r="N67" s="1982"/>
      <c r="O67" s="1974" t="s">
        <v>227</v>
      </c>
      <c r="P67" s="1982"/>
      <c r="Q67" s="1974" t="s">
        <v>237</v>
      </c>
      <c r="R67" s="1982"/>
      <c r="S67" s="1974" t="s">
        <v>272</v>
      </c>
      <c r="T67" s="1982"/>
      <c r="U67" s="1974" t="s">
        <v>274</v>
      </c>
      <c r="V67" s="1982"/>
      <c r="W67" s="1974" t="s">
        <v>280</v>
      </c>
      <c r="X67" s="1982"/>
      <c r="Y67" s="1974" t="s">
        <v>290</v>
      </c>
      <c r="Z67" s="1975"/>
      <c r="AB67" s="2003" t="s">
        <v>213</v>
      </c>
      <c r="AC67" s="2004"/>
    </row>
    <row r="68" spans="1:29" s="3" customFormat="1" ht="12" x14ac:dyDescent="0.2">
      <c r="B68" s="73" t="s">
        <v>53</v>
      </c>
      <c r="C68" s="54"/>
      <c r="D68" s="92"/>
      <c r="E68" s="30"/>
      <c r="F68" s="30"/>
      <c r="G68" s="243"/>
      <c r="H68" s="244"/>
      <c r="I68" s="138"/>
      <c r="J68" s="138"/>
      <c r="K68" s="243"/>
      <c r="L68" s="138"/>
      <c r="M68" s="243"/>
      <c r="N68" s="244"/>
      <c r="O68" s="138"/>
      <c r="P68" s="244"/>
      <c r="Q68" s="138"/>
      <c r="R68" s="244"/>
      <c r="S68" s="138"/>
      <c r="T68" s="244"/>
      <c r="U68" s="138"/>
      <c r="V68" s="244"/>
      <c r="W68" s="138"/>
      <c r="X68" s="244"/>
      <c r="Y68" s="138"/>
      <c r="Z68" s="140"/>
      <c r="AB68" s="831"/>
      <c r="AC68" s="930"/>
    </row>
    <row r="69" spans="1:29" s="3" customFormat="1" ht="12" x14ac:dyDescent="0.2">
      <c r="B69" s="74" t="s">
        <v>54</v>
      </c>
      <c r="C69" s="184"/>
      <c r="D69" s="165"/>
      <c r="E69" s="31"/>
      <c r="F69" s="171"/>
      <c r="G69" s="239"/>
      <c r="H69" s="261"/>
      <c r="I69" s="139"/>
      <c r="J69" s="183"/>
      <c r="K69" s="239"/>
      <c r="L69" s="183"/>
      <c r="M69" s="239"/>
      <c r="N69" s="261"/>
      <c r="O69" s="139"/>
      <c r="P69" s="261"/>
      <c r="Q69" s="139"/>
      <c r="R69" s="261"/>
      <c r="S69" s="139"/>
      <c r="T69" s="261"/>
      <c r="U69" s="139"/>
      <c r="V69" s="261"/>
      <c r="W69" s="139"/>
      <c r="X69" s="261"/>
      <c r="Y69" s="139"/>
      <c r="Z69" s="142"/>
      <c r="AB69" s="24"/>
      <c r="AC69" s="579"/>
    </row>
    <row r="70" spans="1:29" s="3" customFormat="1" ht="12" x14ac:dyDescent="0.2">
      <c r="B70" s="75" t="s">
        <v>55</v>
      </c>
      <c r="C70" s="184"/>
      <c r="D70" s="165">
        <v>37</v>
      </c>
      <c r="E70" s="31"/>
      <c r="F70" s="171">
        <v>36</v>
      </c>
      <c r="G70" s="239"/>
      <c r="H70" s="261">
        <v>39</v>
      </c>
      <c r="I70" s="139"/>
      <c r="J70" s="183">
        <v>40</v>
      </c>
      <c r="K70" s="239"/>
      <c r="L70" s="183">
        <v>43</v>
      </c>
      <c r="M70" s="239"/>
      <c r="N70" s="261">
        <v>43</v>
      </c>
      <c r="O70" s="139"/>
      <c r="P70" s="261">
        <v>41</v>
      </c>
      <c r="Q70" s="139"/>
      <c r="R70" s="261">
        <v>43</v>
      </c>
      <c r="S70" s="139"/>
      <c r="T70" s="261">
        <v>46</v>
      </c>
      <c r="U70" s="139"/>
      <c r="V70" s="261">
        <v>41</v>
      </c>
      <c r="W70" s="139"/>
      <c r="X70" s="261">
        <v>43</v>
      </c>
      <c r="Y70" s="139"/>
      <c r="Z70" s="142">
        <v>44</v>
      </c>
      <c r="AB70" s="12"/>
      <c r="AC70" s="1113">
        <f>AVERAGE(X70,V70,R70,T70,Z70)</f>
        <v>43.4</v>
      </c>
    </row>
    <row r="71" spans="1:29" s="3" customFormat="1" ht="12" x14ac:dyDescent="0.2">
      <c r="B71" s="75" t="s">
        <v>181</v>
      </c>
      <c r="C71" s="184"/>
      <c r="D71" s="165">
        <v>9</v>
      </c>
      <c r="E71" s="31"/>
      <c r="F71" s="171">
        <v>8</v>
      </c>
      <c r="G71" s="239"/>
      <c r="H71" s="261">
        <v>9</v>
      </c>
      <c r="I71" s="139"/>
      <c r="J71" s="183">
        <v>7</v>
      </c>
      <c r="K71" s="239"/>
      <c r="L71" s="183">
        <v>8</v>
      </c>
      <c r="M71" s="239"/>
      <c r="N71" s="261">
        <v>4</v>
      </c>
      <c r="O71" s="139"/>
      <c r="P71" s="261">
        <v>5</v>
      </c>
      <c r="Q71" s="139"/>
      <c r="R71" s="261">
        <v>4</v>
      </c>
      <c r="S71" s="139"/>
      <c r="T71" s="261">
        <v>5</v>
      </c>
      <c r="U71" s="139"/>
      <c r="V71" s="261">
        <v>6</v>
      </c>
      <c r="W71" s="139"/>
      <c r="X71" s="261">
        <v>4</v>
      </c>
      <c r="Y71" s="139"/>
      <c r="Z71" s="142">
        <v>3</v>
      </c>
      <c r="AB71" s="12"/>
      <c r="AC71" s="1113">
        <f t="shared" ref="AC71:AC75" si="7">AVERAGE(X71,V71,R71,T71,Z71)</f>
        <v>4.4000000000000004</v>
      </c>
    </row>
    <row r="72" spans="1:29" s="3" customFormat="1" ht="12" x14ac:dyDescent="0.2">
      <c r="B72" s="74" t="s">
        <v>57</v>
      </c>
      <c r="C72" s="184"/>
      <c r="D72" s="94"/>
      <c r="E72" s="31"/>
      <c r="F72" s="39"/>
      <c r="G72" s="239"/>
      <c r="H72" s="240"/>
      <c r="I72" s="139"/>
      <c r="J72" s="241"/>
      <c r="K72" s="239"/>
      <c r="L72" s="241"/>
      <c r="M72" s="239"/>
      <c r="N72" s="240"/>
      <c r="O72" s="139"/>
      <c r="P72" s="240"/>
      <c r="Q72" s="139"/>
      <c r="R72" s="240"/>
      <c r="S72" s="139"/>
      <c r="T72" s="240"/>
      <c r="U72" s="139"/>
      <c r="V72" s="240"/>
      <c r="W72" s="139"/>
      <c r="X72" s="240"/>
      <c r="Y72" s="139"/>
      <c r="Z72" s="143"/>
      <c r="AB72" s="12"/>
      <c r="AC72" s="1113"/>
    </row>
    <row r="73" spans="1:29" s="3" customFormat="1" ht="12" x14ac:dyDescent="0.2">
      <c r="B73" s="75" t="s">
        <v>55</v>
      </c>
      <c r="C73" s="184"/>
      <c r="D73" s="94">
        <v>5</v>
      </c>
      <c r="E73" s="31"/>
      <c r="F73" s="39">
        <v>7</v>
      </c>
      <c r="G73" s="239"/>
      <c r="H73" s="240">
        <v>7</v>
      </c>
      <c r="I73" s="139"/>
      <c r="J73" s="241">
        <v>7</v>
      </c>
      <c r="K73" s="239"/>
      <c r="L73" s="241">
        <v>7</v>
      </c>
      <c r="M73" s="239"/>
      <c r="N73" s="240">
        <v>8</v>
      </c>
      <c r="O73" s="139"/>
      <c r="P73" s="240">
        <v>7</v>
      </c>
      <c r="Q73" s="139"/>
      <c r="R73" s="240">
        <v>5</v>
      </c>
      <c r="S73" s="139"/>
      <c r="T73" s="240">
        <v>5</v>
      </c>
      <c r="U73" s="139"/>
      <c r="V73" s="240">
        <v>8</v>
      </c>
      <c r="W73" s="139"/>
      <c r="X73" s="240">
        <v>7</v>
      </c>
      <c r="Y73" s="139"/>
      <c r="Z73" s="143">
        <v>7</v>
      </c>
      <c r="AB73" s="12"/>
      <c r="AC73" s="1113">
        <f t="shared" si="7"/>
        <v>6.4</v>
      </c>
    </row>
    <row r="74" spans="1:29" s="3" customFormat="1" ht="12" x14ac:dyDescent="0.2">
      <c r="B74" s="341" t="s">
        <v>181</v>
      </c>
      <c r="C74" s="184"/>
      <c r="D74" s="94">
        <v>3</v>
      </c>
      <c r="E74" s="31"/>
      <c r="F74" s="39">
        <v>2</v>
      </c>
      <c r="G74" s="239"/>
      <c r="H74" s="240">
        <v>2</v>
      </c>
      <c r="I74" s="139"/>
      <c r="J74" s="241">
        <v>2</v>
      </c>
      <c r="K74" s="239"/>
      <c r="L74" s="241">
        <v>2</v>
      </c>
      <c r="M74" s="239"/>
      <c r="N74" s="240">
        <v>1</v>
      </c>
      <c r="O74" s="139"/>
      <c r="P74" s="240">
        <v>1</v>
      </c>
      <c r="Q74" s="139"/>
      <c r="R74" s="240">
        <v>3</v>
      </c>
      <c r="S74" s="139"/>
      <c r="T74" s="240">
        <v>3</v>
      </c>
      <c r="U74" s="139"/>
      <c r="V74" s="240">
        <v>3</v>
      </c>
      <c r="W74" s="139"/>
      <c r="X74" s="240">
        <v>2</v>
      </c>
      <c r="Y74" s="139"/>
      <c r="Z74" s="143">
        <v>2</v>
      </c>
      <c r="AB74" s="12"/>
      <c r="AC74" s="1113">
        <f t="shared" si="7"/>
        <v>2.6</v>
      </c>
    </row>
    <row r="75" spans="1:29" s="3" customFormat="1" thickBot="1" x14ac:dyDescent="0.25">
      <c r="B75" s="79" t="s">
        <v>13</v>
      </c>
      <c r="C75" s="233"/>
      <c r="D75" s="234">
        <f>SUM(D70:D74)</f>
        <v>54</v>
      </c>
      <c r="E75" s="107"/>
      <c r="F75" s="234">
        <f>SUM(F70:F74)</f>
        <v>53</v>
      </c>
      <c r="G75" s="297"/>
      <c r="H75" s="427">
        <v>57</v>
      </c>
      <c r="I75" s="426"/>
      <c r="J75" s="454">
        <f>SUM(J70:J74)</f>
        <v>56</v>
      </c>
      <c r="K75" s="297"/>
      <c r="L75" s="454">
        <f>SUM(L70:L74)</f>
        <v>60</v>
      </c>
      <c r="M75" s="297"/>
      <c r="N75" s="427">
        <f>SUM(N70:N74)</f>
        <v>56</v>
      </c>
      <c r="O75" s="426"/>
      <c r="P75" s="427">
        <f>SUM(P70:P74)</f>
        <v>54</v>
      </c>
      <c r="Q75" s="426"/>
      <c r="R75" s="427">
        <f>SUM(R70:R74)</f>
        <v>55</v>
      </c>
      <c r="S75" s="426"/>
      <c r="T75" s="427">
        <f>SUM(T70:T74)</f>
        <v>59</v>
      </c>
      <c r="U75" s="426"/>
      <c r="V75" s="427">
        <f>SUM(V70:V74)</f>
        <v>58</v>
      </c>
      <c r="W75" s="426"/>
      <c r="X75" s="427">
        <f>SUM(X70:X74)</f>
        <v>56</v>
      </c>
      <c r="Y75" s="426"/>
      <c r="Z75" s="374">
        <f>SUM(Z70:Z74)</f>
        <v>56</v>
      </c>
      <c r="AB75" s="831"/>
      <c r="AC75" s="1114">
        <f t="shared" si="7"/>
        <v>56.8</v>
      </c>
    </row>
    <row r="76" spans="1:29" s="3" customFormat="1" thickTop="1" x14ac:dyDescent="0.2">
      <c r="B76" s="342" t="s">
        <v>135</v>
      </c>
      <c r="C76" s="55"/>
      <c r="D76" s="56"/>
      <c r="E76" s="43" t="s">
        <v>133</v>
      </c>
      <c r="F76" s="41" t="s">
        <v>134</v>
      </c>
      <c r="G76" s="317" t="s">
        <v>133</v>
      </c>
      <c r="H76" s="412" t="s">
        <v>134</v>
      </c>
      <c r="I76" s="411" t="s">
        <v>133</v>
      </c>
      <c r="J76" s="449" t="s">
        <v>134</v>
      </c>
      <c r="K76" s="317" t="s">
        <v>133</v>
      </c>
      <c r="L76" s="449" t="s">
        <v>134</v>
      </c>
      <c r="M76" s="317" t="s">
        <v>133</v>
      </c>
      <c r="N76" s="441" t="s">
        <v>134</v>
      </c>
      <c r="O76" s="411" t="s">
        <v>133</v>
      </c>
      <c r="P76" s="412" t="s">
        <v>134</v>
      </c>
      <c r="Q76" s="411" t="s">
        <v>133</v>
      </c>
      <c r="R76" s="412" t="s">
        <v>134</v>
      </c>
      <c r="S76" s="411" t="s">
        <v>133</v>
      </c>
      <c r="T76" s="412" t="s">
        <v>134</v>
      </c>
      <c r="U76" s="411" t="s">
        <v>133</v>
      </c>
      <c r="V76" s="412" t="s">
        <v>134</v>
      </c>
      <c r="W76" s="411" t="s">
        <v>133</v>
      </c>
      <c r="X76" s="412" t="s">
        <v>134</v>
      </c>
      <c r="Y76" s="411" t="s">
        <v>133</v>
      </c>
      <c r="Z76" s="289" t="s">
        <v>134</v>
      </c>
      <c r="AB76" s="952" t="s">
        <v>133</v>
      </c>
      <c r="AC76" s="862" t="s">
        <v>134</v>
      </c>
    </row>
    <row r="77" spans="1:29" s="3" customFormat="1" ht="12" x14ac:dyDescent="0.2">
      <c r="B77" s="75" t="s">
        <v>87</v>
      </c>
      <c r="C77" s="215">
        <v>43</v>
      </c>
      <c r="D77" s="216">
        <f>C77/D$75</f>
        <v>0.79629629629629628</v>
      </c>
      <c r="E77" s="319">
        <f>34+10</f>
        <v>44</v>
      </c>
      <c r="F77" s="216">
        <f t="shared" ref="F77:H84" si="8">E77/F$75</f>
        <v>0.83018867924528306</v>
      </c>
      <c r="G77" s="215">
        <v>46</v>
      </c>
      <c r="H77" s="216">
        <f t="shared" si="8"/>
        <v>0.80701754385964908</v>
      </c>
      <c r="I77" s="173">
        <f>12+33</f>
        <v>45</v>
      </c>
      <c r="J77" s="221">
        <f t="shared" ref="J77:L84" si="9">I77/J$75</f>
        <v>0.8035714285714286</v>
      </c>
      <c r="K77" s="215">
        <f>35+3+2+8</f>
        <v>48</v>
      </c>
      <c r="L77" s="221">
        <f t="shared" si="9"/>
        <v>0.8</v>
      </c>
      <c r="M77" s="215">
        <f>5+38+4</f>
        <v>47</v>
      </c>
      <c r="N77" s="216">
        <f t="shared" ref="N77:P84" si="10">M77/N$75</f>
        <v>0.8392857142857143</v>
      </c>
      <c r="O77" s="173">
        <v>45</v>
      </c>
      <c r="P77" s="216">
        <f t="shared" si="10"/>
        <v>0.83333333333333337</v>
      </c>
      <c r="Q77" s="173">
        <v>42</v>
      </c>
      <c r="R77" s="216">
        <f t="shared" ref="R77:T84" si="11">Q77/R$75</f>
        <v>0.76363636363636367</v>
      </c>
      <c r="S77" s="173">
        <f>6+40</f>
        <v>46</v>
      </c>
      <c r="T77" s="216">
        <f t="shared" si="11"/>
        <v>0.77966101694915257</v>
      </c>
      <c r="U77" s="173">
        <f>6+38</f>
        <v>44</v>
      </c>
      <c r="V77" s="216">
        <f t="shared" ref="V77:V84" si="12">U77/V$75</f>
        <v>0.75862068965517238</v>
      </c>
      <c r="W77" s="173">
        <f>5+36</f>
        <v>41</v>
      </c>
      <c r="X77" s="216">
        <f t="shared" ref="X77:Z84" si="13">W77/X$75</f>
        <v>0.7321428571428571</v>
      </c>
      <c r="Y77" s="173">
        <v>43</v>
      </c>
      <c r="Z77" s="1494">
        <f t="shared" si="13"/>
        <v>0.7678571428571429</v>
      </c>
      <c r="AA77" s="955"/>
      <c r="AB77" s="1016">
        <f t="shared" ref="AB77:AB96" si="14">AVERAGE(W77,U77,Q77,S77,Y77)</f>
        <v>43.2</v>
      </c>
      <c r="AC77" s="863">
        <f t="shared" ref="AC77:AC96" si="15">AVERAGE(X77,V77,R77,T77,Z77)</f>
        <v>0.7603836140481377</v>
      </c>
    </row>
    <row r="78" spans="1:29" s="3" customFormat="1" ht="12" x14ac:dyDescent="0.2">
      <c r="B78" s="85" t="s">
        <v>88</v>
      </c>
      <c r="C78" s="215">
        <v>0</v>
      </c>
      <c r="D78" s="216">
        <f t="shared" ref="D78:D96" si="16">C78/$D$75</f>
        <v>0</v>
      </c>
      <c r="E78" s="319">
        <v>0</v>
      </c>
      <c r="F78" s="216">
        <f t="shared" si="8"/>
        <v>0</v>
      </c>
      <c r="G78" s="215">
        <v>0</v>
      </c>
      <c r="H78" s="216">
        <f t="shared" si="8"/>
        <v>0</v>
      </c>
      <c r="I78" s="173">
        <v>0</v>
      </c>
      <c r="J78" s="221">
        <f t="shared" si="9"/>
        <v>0</v>
      </c>
      <c r="K78" s="215">
        <v>0</v>
      </c>
      <c r="L78" s="221">
        <f t="shared" si="9"/>
        <v>0</v>
      </c>
      <c r="M78" s="215">
        <v>0</v>
      </c>
      <c r="N78" s="216">
        <f t="shared" si="10"/>
        <v>0</v>
      </c>
      <c r="O78" s="173">
        <v>0</v>
      </c>
      <c r="P78" s="216">
        <f t="shared" si="10"/>
        <v>0</v>
      </c>
      <c r="Q78" s="173">
        <v>0</v>
      </c>
      <c r="R78" s="216">
        <f t="shared" si="11"/>
        <v>0</v>
      </c>
      <c r="S78" s="173">
        <f>0</f>
        <v>0</v>
      </c>
      <c r="T78" s="216">
        <f t="shared" si="11"/>
        <v>0</v>
      </c>
      <c r="U78" s="173">
        <v>0</v>
      </c>
      <c r="V78" s="216">
        <f t="shared" si="12"/>
        <v>0</v>
      </c>
      <c r="W78" s="173">
        <v>0</v>
      </c>
      <c r="X78" s="216">
        <f t="shared" si="13"/>
        <v>0</v>
      </c>
      <c r="Y78" s="173">
        <v>0</v>
      </c>
      <c r="Z78" s="1494">
        <f t="shared" si="13"/>
        <v>0</v>
      </c>
      <c r="AA78" s="955"/>
      <c r="AB78" s="1016">
        <f t="shared" si="14"/>
        <v>0</v>
      </c>
      <c r="AC78" s="863">
        <f t="shared" si="15"/>
        <v>0</v>
      </c>
    </row>
    <row r="79" spans="1:29" s="3" customFormat="1" ht="12" x14ac:dyDescent="0.2">
      <c r="B79" s="85" t="s">
        <v>89</v>
      </c>
      <c r="C79" s="215">
        <v>2</v>
      </c>
      <c r="D79" s="216">
        <f t="shared" si="16"/>
        <v>3.7037037037037035E-2</v>
      </c>
      <c r="E79" s="319">
        <v>1</v>
      </c>
      <c r="F79" s="216">
        <f t="shared" si="8"/>
        <v>1.8867924528301886E-2</v>
      </c>
      <c r="G79" s="215">
        <v>2</v>
      </c>
      <c r="H79" s="216">
        <f t="shared" si="8"/>
        <v>3.5087719298245612E-2</v>
      </c>
      <c r="I79" s="173">
        <v>2</v>
      </c>
      <c r="J79" s="221">
        <f t="shared" si="9"/>
        <v>3.5714285714285712E-2</v>
      </c>
      <c r="K79" s="215">
        <f>2</f>
        <v>2</v>
      </c>
      <c r="L79" s="221">
        <f t="shared" si="9"/>
        <v>3.3333333333333333E-2</v>
      </c>
      <c r="M79" s="215">
        <f>1+1</f>
        <v>2</v>
      </c>
      <c r="N79" s="216">
        <f t="shared" si="10"/>
        <v>3.5714285714285712E-2</v>
      </c>
      <c r="O79" s="173">
        <v>2</v>
      </c>
      <c r="P79" s="216">
        <f t="shared" si="10"/>
        <v>3.7037037037037035E-2</v>
      </c>
      <c r="Q79" s="173">
        <v>3</v>
      </c>
      <c r="R79" s="216">
        <f t="shared" si="11"/>
        <v>5.4545454545454543E-2</v>
      </c>
      <c r="S79" s="173">
        <f>0+2</f>
        <v>2</v>
      </c>
      <c r="T79" s="216">
        <f t="shared" si="11"/>
        <v>3.3898305084745763E-2</v>
      </c>
      <c r="U79" s="173">
        <v>2</v>
      </c>
      <c r="V79" s="216">
        <f t="shared" si="12"/>
        <v>3.4482758620689655E-2</v>
      </c>
      <c r="W79" s="173">
        <v>2</v>
      </c>
      <c r="X79" s="216">
        <f t="shared" si="13"/>
        <v>3.5714285714285712E-2</v>
      </c>
      <c r="Y79" s="173">
        <v>3</v>
      </c>
      <c r="Z79" s="1494">
        <f t="shared" si="13"/>
        <v>5.3571428571428568E-2</v>
      </c>
      <c r="AA79" s="955"/>
      <c r="AB79" s="1016">
        <f t="shared" si="14"/>
        <v>2.4</v>
      </c>
      <c r="AC79" s="863">
        <f t="shared" si="15"/>
        <v>4.2442446507320847E-2</v>
      </c>
    </row>
    <row r="80" spans="1:29" s="3" customFormat="1" ht="12" x14ac:dyDescent="0.2">
      <c r="B80" s="85" t="s">
        <v>90</v>
      </c>
      <c r="C80" s="215">
        <v>0</v>
      </c>
      <c r="D80" s="216">
        <f t="shared" si="16"/>
        <v>0</v>
      </c>
      <c r="E80" s="319">
        <v>0</v>
      </c>
      <c r="F80" s="216">
        <f t="shared" si="8"/>
        <v>0</v>
      </c>
      <c r="G80" s="215">
        <v>0</v>
      </c>
      <c r="H80" s="216">
        <f t="shared" si="8"/>
        <v>0</v>
      </c>
      <c r="I80" s="173">
        <v>0</v>
      </c>
      <c r="J80" s="221">
        <f t="shared" si="9"/>
        <v>0</v>
      </c>
      <c r="K80" s="215">
        <v>0</v>
      </c>
      <c r="L80" s="221">
        <f t="shared" si="9"/>
        <v>0</v>
      </c>
      <c r="M80" s="215">
        <v>0</v>
      </c>
      <c r="N80" s="216">
        <f t="shared" si="10"/>
        <v>0</v>
      </c>
      <c r="O80" s="173">
        <v>0</v>
      </c>
      <c r="P80" s="216">
        <f t="shared" si="10"/>
        <v>0</v>
      </c>
      <c r="Q80" s="173">
        <v>0</v>
      </c>
      <c r="R80" s="216">
        <f t="shared" si="11"/>
        <v>0</v>
      </c>
      <c r="S80" s="173">
        <f>0</f>
        <v>0</v>
      </c>
      <c r="T80" s="216">
        <f t="shared" si="11"/>
        <v>0</v>
      </c>
      <c r="U80" s="173">
        <v>0</v>
      </c>
      <c r="V80" s="216">
        <f t="shared" si="12"/>
        <v>0</v>
      </c>
      <c r="W80" s="173">
        <v>0</v>
      </c>
      <c r="X80" s="216">
        <f t="shared" si="13"/>
        <v>0</v>
      </c>
      <c r="Y80" s="173">
        <v>0</v>
      </c>
      <c r="Z80" s="1494">
        <f t="shared" si="13"/>
        <v>0</v>
      </c>
      <c r="AA80" s="955"/>
      <c r="AB80" s="1016">
        <f t="shared" si="14"/>
        <v>0</v>
      </c>
      <c r="AC80" s="863">
        <f t="shared" si="15"/>
        <v>0</v>
      </c>
    </row>
    <row r="81" spans="2:29" s="3" customFormat="1" ht="12" x14ac:dyDescent="0.2">
      <c r="B81" s="85" t="s">
        <v>91</v>
      </c>
      <c r="C81" s="215">
        <v>4</v>
      </c>
      <c r="D81" s="216">
        <f t="shared" si="16"/>
        <v>7.407407407407407E-2</v>
      </c>
      <c r="E81" s="319">
        <v>4</v>
      </c>
      <c r="F81" s="216">
        <f t="shared" si="8"/>
        <v>7.5471698113207544E-2</v>
      </c>
      <c r="G81" s="215">
        <v>7</v>
      </c>
      <c r="H81" s="216">
        <f t="shared" si="8"/>
        <v>0.12280701754385964</v>
      </c>
      <c r="I81" s="173">
        <v>5</v>
      </c>
      <c r="J81" s="221">
        <f t="shared" si="9"/>
        <v>8.9285714285714288E-2</v>
      </c>
      <c r="K81" s="215">
        <f>3+1</f>
        <v>4</v>
      </c>
      <c r="L81" s="221">
        <f t="shared" si="9"/>
        <v>6.6666666666666666E-2</v>
      </c>
      <c r="M81" s="215">
        <f>3+2</f>
        <v>5</v>
      </c>
      <c r="N81" s="216">
        <f t="shared" si="10"/>
        <v>8.9285714285714288E-2</v>
      </c>
      <c r="O81" s="173">
        <v>5</v>
      </c>
      <c r="P81" s="216">
        <f t="shared" si="10"/>
        <v>9.2592592592592587E-2</v>
      </c>
      <c r="Q81" s="173">
        <v>8</v>
      </c>
      <c r="R81" s="216">
        <f t="shared" si="11"/>
        <v>0.14545454545454545</v>
      </c>
      <c r="S81" s="173">
        <f>0+7</f>
        <v>7</v>
      </c>
      <c r="T81" s="216">
        <f t="shared" si="11"/>
        <v>0.11864406779661017</v>
      </c>
      <c r="U81" s="173">
        <f>1+6</f>
        <v>7</v>
      </c>
      <c r="V81" s="216">
        <f t="shared" si="12"/>
        <v>0.1206896551724138</v>
      </c>
      <c r="W81" s="173">
        <v>8</v>
      </c>
      <c r="X81" s="216">
        <f t="shared" si="13"/>
        <v>0.14285714285714285</v>
      </c>
      <c r="Y81" s="173">
        <v>7</v>
      </c>
      <c r="Z81" s="1494">
        <f t="shared" si="13"/>
        <v>0.125</v>
      </c>
      <c r="AA81" s="955"/>
      <c r="AB81" s="1016">
        <f t="shared" si="14"/>
        <v>7.4</v>
      </c>
      <c r="AC81" s="863">
        <f t="shared" si="15"/>
        <v>0.13052908225614246</v>
      </c>
    </row>
    <row r="82" spans="2:29" s="3" customFormat="1" ht="12" x14ac:dyDescent="0.2">
      <c r="B82" s="85" t="s">
        <v>92</v>
      </c>
      <c r="C82" s="215">
        <v>5</v>
      </c>
      <c r="D82" s="216">
        <f t="shared" si="16"/>
        <v>9.2592592592592587E-2</v>
      </c>
      <c r="E82" s="319">
        <v>4</v>
      </c>
      <c r="F82" s="216">
        <f t="shared" si="8"/>
        <v>7.5471698113207544E-2</v>
      </c>
      <c r="G82" s="215">
        <v>2</v>
      </c>
      <c r="H82" s="216">
        <f t="shared" si="8"/>
        <v>3.5087719298245612E-2</v>
      </c>
      <c r="I82" s="173">
        <v>4</v>
      </c>
      <c r="J82" s="221">
        <f t="shared" si="9"/>
        <v>7.1428571428571425E-2</v>
      </c>
      <c r="K82" s="215">
        <f>3+3</f>
        <v>6</v>
      </c>
      <c r="L82" s="221">
        <f t="shared" si="9"/>
        <v>0.1</v>
      </c>
      <c r="M82" s="215">
        <f>1+1</f>
        <v>2</v>
      </c>
      <c r="N82" s="216">
        <f t="shared" si="10"/>
        <v>3.5714285714285712E-2</v>
      </c>
      <c r="O82" s="173">
        <v>2</v>
      </c>
      <c r="P82" s="216">
        <f t="shared" si="10"/>
        <v>3.7037037037037035E-2</v>
      </c>
      <c r="Q82" s="173">
        <v>1</v>
      </c>
      <c r="R82" s="216">
        <f t="shared" si="11"/>
        <v>1.8181818181818181E-2</v>
      </c>
      <c r="S82" s="173">
        <f>1+1</f>
        <v>2</v>
      </c>
      <c r="T82" s="216">
        <f t="shared" si="11"/>
        <v>3.3898305084745763E-2</v>
      </c>
      <c r="U82" s="173">
        <v>3</v>
      </c>
      <c r="V82" s="216">
        <f t="shared" si="12"/>
        <v>5.1724137931034482E-2</v>
      </c>
      <c r="W82" s="173">
        <v>3</v>
      </c>
      <c r="X82" s="216">
        <f t="shared" si="13"/>
        <v>5.3571428571428568E-2</v>
      </c>
      <c r="Y82" s="173">
        <v>1</v>
      </c>
      <c r="Z82" s="1494">
        <f t="shared" si="13"/>
        <v>1.7857142857142856E-2</v>
      </c>
      <c r="AA82" s="955"/>
      <c r="AB82" s="1016">
        <f t="shared" si="14"/>
        <v>2</v>
      </c>
      <c r="AC82" s="863">
        <f t="shared" si="15"/>
        <v>3.5046566525233969E-2</v>
      </c>
    </row>
    <row r="83" spans="2:29" s="3" customFormat="1" ht="12" x14ac:dyDescent="0.2">
      <c r="B83" s="85" t="s">
        <v>256</v>
      </c>
      <c r="C83" s="217"/>
      <c r="D83" s="216"/>
      <c r="E83" s="346"/>
      <c r="F83" s="216"/>
      <c r="G83" s="1501"/>
      <c r="H83" s="1502"/>
      <c r="I83" s="1429"/>
      <c r="J83" s="1503"/>
      <c r="K83" s="1501"/>
      <c r="L83" s="1503"/>
      <c r="M83" s="1501"/>
      <c r="N83" s="1502"/>
      <c r="O83" s="1429"/>
      <c r="P83" s="1502"/>
      <c r="Q83" s="174">
        <v>0</v>
      </c>
      <c r="R83" s="216">
        <f t="shared" si="11"/>
        <v>0</v>
      </c>
      <c r="S83" s="174">
        <f>0</f>
        <v>0</v>
      </c>
      <c r="T83" s="216">
        <f t="shared" si="11"/>
        <v>0</v>
      </c>
      <c r="U83" s="174">
        <v>0</v>
      </c>
      <c r="V83" s="216">
        <f t="shared" si="12"/>
        <v>0</v>
      </c>
      <c r="W83" s="174">
        <v>0</v>
      </c>
      <c r="X83" s="216">
        <f t="shared" si="13"/>
        <v>0</v>
      </c>
      <c r="Y83" s="174">
        <v>0</v>
      </c>
      <c r="Z83" s="1494">
        <f t="shared" si="13"/>
        <v>0</v>
      </c>
      <c r="AA83" s="955"/>
      <c r="AB83" s="1016">
        <f t="shared" si="14"/>
        <v>0</v>
      </c>
      <c r="AC83" s="863">
        <f t="shared" si="15"/>
        <v>0</v>
      </c>
    </row>
    <row r="84" spans="2:29" s="3" customFormat="1" ht="12" x14ac:dyDescent="0.2">
      <c r="B84" s="85" t="s">
        <v>93</v>
      </c>
      <c r="C84" s="217">
        <v>0</v>
      </c>
      <c r="D84" s="216">
        <f t="shared" si="16"/>
        <v>0</v>
      </c>
      <c r="E84" s="346">
        <v>0</v>
      </c>
      <c r="F84" s="216">
        <f t="shared" si="8"/>
        <v>0</v>
      </c>
      <c r="G84" s="217">
        <v>0</v>
      </c>
      <c r="H84" s="216">
        <f t="shared" si="8"/>
        <v>0</v>
      </c>
      <c r="I84" s="174">
        <v>0</v>
      </c>
      <c r="J84" s="221">
        <f t="shared" si="9"/>
        <v>0</v>
      </c>
      <c r="K84" s="217">
        <v>0</v>
      </c>
      <c r="L84" s="221">
        <f t="shared" si="9"/>
        <v>0</v>
      </c>
      <c r="M84" s="217">
        <v>0</v>
      </c>
      <c r="N84" s="216">
        <f t="shared" si="10"/>
        <v>0</v>
      </c>
      <c r="O84" s="174">
        <v>0</v>
      </c>
      <c r="P84" s="216">
        <f t="shared" si="10"/>
        <v>0</v>
      </c>
      <c r="Q84" s="174">
        <v>1</v>
      </c>
      <c r="R84" s="216">
        <f t="shared" si="11"/>
        <v>1.8181818181818181E-2</v>
      </c>
      <c r="S84" s="174">
        <f>1+1</f>
        <v>2</v>
      </c>
      <c r="T84" s="216">
        <f t="shared" si="11"/>
        <v>3.3898305084745763E-2</v>
      </c>
      <c r="U84" s="174">
        <v>2</v>
      </c>
      <c r="V84" s="216">
        <f t="shared" si="12"/>
        <v>3.4482758620689655E-2</v>
      </c>
      <c r="W84" s="174">
        <v>2</v>
      </c>
      <c r="X84" s="216">
        <f t="shared" si="13"/>
        <v>3.5714285714285712E-2</v>
      </c>
      <c r="Y84" s="174">
        <v>2</v>
      </c>
      <c r="Z84" s="1494">
        <f t="shared" si="13"/>
        <v>3.5714285714285712E-2</v>
      </c>
      <c r="AA84" s="955"/>
      <c r="AB84" s="1016">
        <f t="shared" si="14"/>
        <v>1.8</v>
      </c>
      <c r="AC84" s="863">
        <f t="shared" si="15"/>
        <v>3.159829066316501E-2</v>
      </c>
    </row>
    <row r="85" spans="2:29" s="3" customFormat="1" ht="12" x14ac:dyDescent="0.2">
      <c r="B85" s="343" t="s">
        <v>136</v>
      </c>
      <c r="C85" s="218"/>
      <c r="D85" s="216"/>
      <c r="E85" s="326"/>
      <c r="F85" s="394"/>
      <c r="G85" s="326"/>
      <c r="H85" s="394"/>
      <c r="I85" s="226"/>
      <c r="J85" s="310"/>
      <c r="K85" s="326"/>
      <c r="L85" s="310"/>
      <c r="M85" s="326"/>
      <c r="N85" s="394"/>
      <c r="O85" s="226"/>
      <c r="P85" s="394"/>
      <c r="Q85" s="226"/>
      <c r="R85" s="394"/>
      <c r="S85" s="226"/>
      <c r="T85" s="394"/>
      <c r="U85" s="226"/>
      <c r="V85" s="394"/>
      <c r="W85" s="226"/>
      <c r="X85" s="394"/>
      <c r="Y85" s="226"/>
      <c r="Z85" s="1500"/>
      <c r="AA85" s="955"/>
      <c r="AB85" s="1016"/>
      <c r="AC85" s="863"/>
    </row>
    <row r="86" spans="2:29" s="3" customFormat="1" ht="12" x14ac:dyDescent="0.2">
      <c r="B86" s="75" t="s">
        <v>124</v>
      </c>
      <c r="C86" s="229">
        <v>34</v>
      </c>
      <c r="D86" s="216">
        <f t="shared" si="16"/>
        <v>0.62962962962962965</v>
      </c>
      <c r="E86" s="224">
        <f>29+8</f>
        <v>37</v>
      </c>
      <c r="F86" s="395">
        <f>E86/F$75</f>
        <v>0.69811320754716977</v>
      </c>
      <c r="G86" s="229">
        <v>36</v>
      </c>
      <c r="H86" s="395">
        <f>G86/H$75</f>
        <v>0.63157894736842102</v>
      </c>
      <c r="I86" s="183">
        <v>37</v>
      </c>
      <c r="J86" s="221">
        <f>I86/J$75</f>
        <v>0.6607142857142857</v>
      </c>
      <c r="K86" s="229">
        <v>41</v>
      </c>
      <c r="L86" s="221">
        <f>K86/L$75</f>
        <v>0.68333333333333335</v>
      </c>
      <c r="M86" s="229">
        <f>2+31+5</f>
        <v>38</v>
      </c>
      <c r="N86" s="216">
        <f>M86/N$75</f>
        <v>0.6785714285714286</v>
      </c>
      <c r="O86" s="183">
        <v>7</v>
      </c>
      <c r="P86" s="216">
        <f>O86/P$75</f>
        <v>0.12962962962962962</v>
      </c>
      <c r="Q86" s="183">
        <v>34</v>
      </c>
      <c r="R86" s="216">
        <f>Q86/R$75</f>
        <v>0.61818181818181817</v>
      </c>
      <c r="S86" s="183">
        <f>4+34</f>
        <v>38</v>
      </c>
      <c r="T86" s="216">
        <f>S86/T$75</f>
        <v>0.64406779661016944</v>
      </c>
      <c r="U86" s="183">
        <f>6+32</f>
        <v>38</v>
      </c>
      <c r="V86" s="216">
        <f>U86/V$75</f>
        <v>0.65517241379310343</v>
      </c>
      <c r="W86" s="183">
        <f>4+33</f>
        <v>37</v>
      </c>
      <c r="X86" s="216">
        <f>W86/X$75</f>
        <v>0.6607142857142857</v>
      </c>
      <c r="Y86" s="183">
        <v>36</v>
      </c>
      <c r="Z86" s="1494">
        <f>Y86/Z$75</f>
        <v>0.6428571428571429</v>
      </c>
      <c r="AA86" s="955"/>
      <c r="AB86" s="1016">
        <f t="shared" si="14"/>
        <v>36.6</v>
      </c>
      <c r="AC86" s="863">
        <f t="shared" si="15"/>
        <v>0.64419869143130393</v>
      </c>
    </row>
    <row r="87" spans="2:29" s="3" customFormat="1" ht="12" x14ac:dyDescent="0.2">
      <c r="B87" s="75" t="s">
        <v>125</v>
      </c>
      <c r="C87" s="230">
        <v>20</v>
      </c>
      <c r="D87" s="216">
        <f t="shared" si="16"/>
        <v>0.37037037037037035</v>
      </c>
      <c r="E87" s="224">
        <f>14+2</f>
        <v>16</v>
      </c>
      <c r="F87" s="395">
        <f>E87/F$75</f>
        <v>0.30188679245283018</v>
      </c>
      <c r="G87" s="230">
        <v>21</v>
      </c>
      <c r="H87" s="395">
        <f>G87/H$75</f>
        <v>0.36842105263157893</v>
      </c>
      <c r="I87" s="283">
        <v>19</v>
      </c>
      <c r="J87" s="221">
        <f>I87/J$75</f>
        <v>0.3392857142857143</v>
      </c>
      <c r="K87" s="230">
        <v>19</v>
      </c>
      <c r="L87" s="221">
        <f>K87/L$75</f>
        <v>0.31666666666666665</v>
      </c>
      <c r="M87" s="230">
        <f>3+12+3</f>
        <v>18</v>
      </c>
      <c r="N87" s="216">
        <f>M87/N$75</f>
        <v>0.32142857142857145</v>
      </c>
      <c r="O87" s="283">
        <v>6</v>
      </c>
      <c r="P87" s="216">
        <f>O87/P$75</f>
        <v>0.1111111111111111</v>
      </c>
      <c r="Q87" s="283">
        <v>21</v>
      </c>
      <c r="R87" s="216">
        <f>Q87/R$75</f>
        <v>0.38181818181818183</v>
      </c>
      <c r="S87" s="283">
        <f>4+17</f>
        <v>21</v>
      </c>
      <c r="T87" s="216">
        <f>S87/T$75</f>
        <v>0.3559322033898305</v>
      </c>
      <c r="U87" s="283">
        <f>3+17</f>
        <v>20</v>
      </c>
      <c r="V87" s="216">
        <f>U87/V$75</f>
        <v>0.34482758620689657</v>
      </c>
      <c r="W87" s="283">
        <f>2+17</f>
        <v>19</v>
      </c>
      <c r="X87" s="216">
        <f>W87/X$75</f>
        <v>0.3392857142857143</v>
      </c>
      <c r="Y87" s="283">
        <v>20</v>
      </c>
      <c r="Z87" s="1494">
        <f>Y87/Z$75</f>
        <v>0.35714285714285715</v>
      </c>
      <c r="AA87" s="955"/>
      <c r="AB87" s="1016">
        <f t="shared" si="14"/>
        <v>20.2</v>
      </c>
      <c r="AC87" s="863">
        <f t="shared" si="15"/>
        <v>0.35580130856869607</v>
      </c>
    </row>
    <row r="88" spans="2:29" s="3" customFormat="1" ht="12" x14ac:dyDescent="0.2">
      <c r="B88" s="343" t="s">
        <v>137</v>
      </c>
      <c r="C88" s="219"/>
      <c r="D88" s="216"/>
      <c r="E88" s="396"/>
      <c r="F88" s="395"/>
      <c r="G88" s="315"/>
      <c r="H88" s="395"/>
      <c r="I88" s="285"/>
      <c r="J88" s="221"/>
      <c r="K88" s="315"/>
      <c r="L88" s="221"/>
      <c r="M88" s="315"/>
      <c r="N88" s="216"/>
      <c r="O88" s="285"/>
      <c r="P88" s="216"/>
      <c r="Q88" s="285"/>
      <c r="R88" s="216"/>
      <c r="S88" s="285"/>
      <c r="T88" s="216"/>
      <c r="U88" s="285"/>
      <c r="V88" s="216"/>
      <c r="W88" s="285"/>
      <c r="X88" s="216"/>
      <c r="Y88" s="285"/>
      <c r="Z88" s="1494"/>
      <c r="AA88" s="955"/>
      <c r="AB88" s="1016"/>
      <c r="AC88" s="863"/>
    </row>
    <row r="89" spans="2:29" s="3" customFormat="1" ht="12" x14ac:dyDescent="0.2">
      <c r="B89" s="75" t="s">
        <v>126</v>
      </c>
      <c r="C89" s="224">
        <v>24</v>
      </c>
      <c r="D89" s="216">
        <f t="shared" si="16"/>
        <v>0.44444444444444442</v>
      </c>
      <c r="E89" s="224">
        <v>23</v>
      </c>
      <c r="F89" s="395">
        <f>E89/F$75</f>
        <v>0.43396226415094341</v>
      </c>
      <c r="G89" s="230">
        <v>24</v>
      </c>
      <c r="H89" s="395">
        <f>G89/H$75</f>
        <v>0.42105263157894735</v>
      </c>
      <c r="I89" s="283">
        <v>27</v>
      </c>
      <c r="J89" s="221">
        <f>I89/J$75</f>
        <v>0.48214285714285715</v>
      </c>
      <c r="K89" s="230">
        <v>28</v>
      </c>
      <c r="L89" s="221">
        <f>K89/L$75</f>
        <v>0.46666666666666667</v>
      </c>
      <c r="M89" s="230">
        <f>26+3</f>
        <v>29</v>
      </c>
      <c r="N89" s="216">
        <f>M89/N$75</f>
        <v>0.5178571428571429</v>
      </c>
      <c r="O89" s="283">
        <v>27</v>
      </c>
      <c r="P89" s="216">
        <f>O89/P$75</f>
        <v>0.5</v>
      </c>
      <c r="Q89" s="283">
        <v>28</v>
      </c>
      <c r="R89" s="216">
        <f>Q89/R$75</f>
        <v>0.50909090909090904</v>
      </c>
      <c r="S89" s="283">
        <f>0+28</f>
        <v>28</v>
      </c>
      <c r="T89" s="216">
        <f>S89/T$75</f>
        <v>0.47457627118644069</v>
      </c>
      <c r="U89" s="283">
        <f>1+28</f>
        <v>29</v>
      </c>
      <c r="V89" s="216">
        <f>U89/V$75</f>
        <v>0.5</v>
      </c>
      <c r="W89" s="283">
        <f>1+28</f>
        <v>29</v>
      </c>
      <c r="X89" s="216">
        <f>W89/X$75</f>
        <v>0.5178571428571429</v>
      </c>
      <c r="Y89" s="283">
        <v>26</v>
      </c>
      <c r="Z89" s="1494">
        <f>Y89/Z$75</f>
        <v>0.4642857142857143</v>
      </c>
      <c r="AA89" s="955"/>
      <c r="AB89" s="1016">
        <f t="shared" si="14"/>
        <v>28</v>
      </c>
      <c r="AC89" s="863">
        <f t="shared" si="15"/>
        <v>0.49316200748404138</v>
      </c>
    </row>
    <row r="90" spans="2:29" s="3" customFormat="1" ht="12" x14ac:dyDescent="0.2">
      <c r="B90" s="75" t="s">
        <v>127</v>
      </c>
      <c r="C90" s="224">
        <v>14</v>
      </c>
      <c r="D90" s="216">
        <f t="shared" si="16"/>
        <v>0.25925925925925924</v>
      </c>
      <c r="E90" s="224">
        <v>13</v>
      </c>
      <c r="F90" s="395">
        <f>E90/F$75</f>
        <v>0.24528301886792453</v>
      </c>
      <c r="G90" s="230">
        <v>14</v>
      </c>
      <c r="H90" s="395">
        <f>G90/H$75</f>
        <v>0.24561403508771928</v>
      </c>
      <c r="I90" s="283">
        <v>11</v>
      </c>
      <c r="J90" s="221">
        <f>I90/J$75</f>
        <v>0.19642857142857142</v>
      </c>
      <c r="K90" s="230">
        <v>12</v>
      </c>
      <c r="L90" s="221">
        <f>K90/L$75</f>
        <v>0.2</v>
      </c>
      <c r="M90" s="230">
        <v>11</v>
      </c>
      <c r="N90" s="216">
        <f>M90/N$75</f>
        <v>0.19642857142857142</v>
      </c>
      <c r="O90" s="283">
        <v>11</v>
      </c>
      <c r="P90" s="216">
        <f>O90/P$75</f>
        <v>0.20370370370370369</v>
      </c>
      <c r="Q90" s="283">
        <v>10</v>
      </c>
      <c r="R90" s="216">
        <f>Q90/R$75</f>
        <v>0.18181818181818182</v>
      </c>
      <c r="S90" s="283">
        <f>0+13</f>
        <v>13</v>
      </c>
      <c r="T90" s="216">
        <f>S90/T$75</f>
        <v>0.22033898305084745</v>
      </c>
      <c r="U90" s="283">
        <v>11</v>
      </c>
      <c r="V90" s="216">
        <f>U90/V$75</f>
        <v>0.18965517241379309</v>
      </c>
      <c r="W90" s="283">
        <v>11</v>
      </c>
      <c r="X90" s="216">
        <f>W90/X$75</f>
        <v>0.19642857142857142</v>
      </c>
      <c r="Y90" s="283">
        <v>15</v>
      </c>
      <c r="Z90" s="1494">
        <f>Y90/Z$75</f>
        <v>0.26785714285714285</v>
      </c>
      <c r="AA90" s="955"/>
      <c r="AB90" s="1016">
        <f t="shared" si="14"/>
        <v>12</v>
      </c>
      <c r="AC90" s="863">
        <f t="shared" si="15"/>
        <v>0.21121961031370734</v>
      </c>
    </row>
    <row r="91" spans="2:29" s="3" customFormat="1" ht="12" x14ac:dyDescent="0.2">
      <c r="B91" s="75" t="s">
        <v>128</v>
      </c>
      <c r="C91" s="224">
        <v>16</v>
      </c>
      <c r="D91" s="216">
        <f t="shared" si="16"/>
        <v>0.29629629629629628</v>
      </c>
      <c r="E91" s="224">
        <f>7+10</f>
        <v>17</v>
      </c>
      <c r="F91" s="395">
        <f>E91/F$75</f>
        <v>0.32075471698113206</v>
      </c>
      <c r="G91" s="230">
        <v>19</v>
      </c>
      <c r="H91" s="395">
        <f>G91/H$75</f>
        <v>0.33333333333333331</v>
      </c>
      <c r="I91" s="283">
        <v>18</v>
      </c>
      <c r="J91" s="221">
        <f>I91/J$75</f>
        <v>0.32142857142857145</v>
      </c>
      <c r="K91" s="230">
        <v>20</v>
      </c>
      <c r="L91" s="221">
        <f>K91/L$75</f>
        <v>0.33333333333333331</v>
      </c>
      <c r="M91" s="230">
        <f>5+6+5</f>
        <v>16</v>
      </c>
      <c r="N91" s="216">
        <f>M91/N$75</f>
        <v>0.2857142857142857</v>
      </c>
      <c r="O91" s="283">
        <v>16</v>
      </c>
      <c r="P91" s="216">
        <f>O91/P$75</f>
        <v>0.29629629629629628</v>
      </c>
      <c r="Q91" s="283">
        <v>17</v>
      </c>
      <c r="R91" s="216">
        <f>Q91/R$75</f>
        <v>0.30909090909090908</v>
      </c>
      <c r="S91" s="283">
        <f>8+10</f>
        <v>18</v>
      </c>
      <c r="T91" s="216">
        <f>S91/T$75</f>
        <v>0.30508474576271188</v>
      </c>
      <c r="U91" s="283">
        <v>18</v>
      </c>
      <c r="V91" s="216">
        <f>U91/V$75</f>
        <v>0.31034482758620691</v>
      </c>
      <c r="W91" s="283">
        <f>5+11</f>
        <v>16</v>
      </c>
      <c r="X91" s="216">
        <f>W91/X$75</f>
        <v>0.2857142857142857</v>
      </c>
      <c r="Y91" s="283">
        <v>15</v>
      </c>
      <c r="Z91" s="1494">
        <f>Y91/Z$75</f>
        <v>0.26785714285714285</v>
      </c>
      <c r="AA91" s="955"/>
      <c r="AB91" s="1016">
        <f t="shared" si="14"/>
        <v>16.8</v>
      </c>
      <c r="AC91" s="863">
        <f t="shared" si="15"/>
        <v>0.29561838220225128</v>
      </c>
    </row>
    <row r="92" spans="2:29" s="3" customFormat="1" ht="12" x14ac:dyDescent="0.2">
      <c r="B92" s="343" t="s">
        <v>138</v>
      </c>
      <c r="C92" s="219"/>
      <c r="D92" s="216"/>
      <c r="E92" s="396"/>
      <c r="F92" s="395"/>
      <c r="G92" s="315"/>
      <c r="H92" s="395"/>
      <c r="I92" s="285"/>
      <c r="J92" s="221"/>
      <c r="K92" s="315"/>
      <c r="L92" s="221"/>
      <c r="M92" s="315"/>
      <c r="N92" s="216"/>
      <c r="O92" s="285"/>
      <c r="P92" s="216"/>
      <c r="Q92" s="285"/>
      <c r="R92" s="216"/>
      <c r="S92" s="285"/>
      <c r="T92" s="216"/>
      <c r="U92" s="285"/>
      <c r="V92" s="216"/>
      <c r="W92" s="285"/>
      <c r="X92" s="216"/>
      <c r="Y92" s="285"/>
      <c r="Z92" s="1494"/>
      <c r="AB92" s="1016"/>
      <c r="AC92" s="863"/>
    </row>
    <row r="93" spans="2:29" s="3" customFormat="1" ht="12" x14ac:dyDescent="0.2">
      <c r="B93" s="75" t="s">
        <v>129</v>
      </c>
      <c r="C93" s="224">
        <v>49</v>
      </c>
      <c r="D93" s="216">
        <f t="shared" si="16"/>
        <v>0.90740740740740744</v>
      </c>
      <c r="E93" s="224">
        <f>42+6</f>
        <v>48</v>
      </c>
      <c r="F93" s="395">
        <f>E93/F$75</f>
        <v>0.90566037735849059</v>
      </c>
      <c r="G93" s="230">
        <v>52</v>
      </c>
      <c r="H93" s="395">
        <f>G93/H$75</f>
        <v>0.91228070175438591</v>
      </c>
      <c r="I93" s="283">
        <v>52</v>
      </c>
      <c r="J93" s="221">
        <f>I93/J$75</f>
        <v>0.9285714285714286</v>
      </c>
      <c r="K93" s="230">
        <v>58</v>
      </c>
      <c r="L93" s="221">
        <f>K93/L$75</f>
        <v>0.96666666666666667</v>
      </c>
      <c r="M93" s="230">
        <f>3+40+8</f>
        <v>51</v>
      </c>
      <c r="N93" s="216">
        <f>M93/N$75</f>
        <v>0.9107142857142857</v>
      </c>
      <c r="O93" s="283">
        <v>49</v>
      </c>
      <c r="P93" s="216">
        <f>O93/P$75</f>
        <v>0.90740740740740744</v>
      </c>
      <c r="Q93" s="283">
        <v>51</v>
      </c>
      <c r="R93" s="216">
        <f>Q93/R$75</f>
        <v>0.92727272727272725</v>
      </c>
      <c r="S93" s="283">
        <f>6+49</f>
        <v>55</v>
      </c>
      <c r="T93" s="216">
        <f>S93/T$75</f>
        <v>0.93220338983050843</v>
      </c>
      <c r="U93" s="283">
        <f>7+47</f>
        <v>54</v>
      </c>
      <c r="V93" s="216">
        <f>U93/V$75</f>
        <v>0.93103448275862066</v>
      </c>
      <c r="W93" s="283">
        <f>4+49</f>
        <v>53</v>
      </c>
      <c r="X93" s="216">
        <f>W93/X$75</f>
        <v>0.9464285714285714</v>
      </c>
      <c r="Y93" s="283">
        <v>52</v>
      </c>
      <c r="Z93" s="1494">
        <f>Y93/Z$75</f>
        <v>0.9285714285714286</v>
      </c>
      <c r="AB93" s="1016">
        <f t="shared" si="14"/>
        <v>53</v>
      </c>
      <c r="AC93" s="863">
        <f t="shared" si="15"/>
        <v>0.93310211997237125</v>
      </c>
    </row>
    <row r="94" spans="2:29" s="3" customFormat="1" ht="12" x14ac:dyDescent="0.2">
      <c r="B94" s="75" t="s">
        <v>130</v>
      </c>
      <c r="C94" s="224">
        <v>5</v>
      </c>
      <c r="D94" s="216">
        <f t="shared" si="16"/>
        <v>9.2592592592592587E-2</v>
      </c>
      <c r="E94" s="224">
        <f>1+4</f>
        <v>5</v>
      </c>
      <c r="F94" s="395">
        <f>E94/F$75</f>
        <v>9.4339622641509441E-2</v>
      </c>
      <c r="G94" s="230">
        <v>5</v>
      </c>
      <c r="H94" s="395">
        <f>G94/H$75</f>
        <v>8.771929824561403E-2</v>
      </c>
      <c r="I94" s="283">
        <v>4</v>
      </c>
      <c r="J94" s="221">
        <f>I94/J$75</f>
        <v>7.1428571428571425E-2</v>
      </c>
      <c r="K94" s="230">
        <v>2</v>
      </c>
      <c r="L94" s="221">
        <f>K94/L$75</f>
        <v>3.3333333333333333E-2</v>
      </c>
      <c r="M94" s="230">
        <f>2+3</f>
        <v>5</v>
      </c>
      <c r="N94" s="216">
        <f>M94/N$75</f>
        <v>8.9285714285714288E-2</v>
      </c>
      <c r="O94" s="283">
        <v>5</v>
      </c>
      <c r="P94" s="216">
        <f>O94/P$75</f>
        <v>9.2592592592592587E-2</v>
      </c>
      <c r="Q94" s="283">
        <v>4</v>
      </c>
      <c r="R94" s="216">
        <f>Q94/R$75</f>
        <v>7.2727272727272724E-2</v>
      </c>
      <c r="S94" s="283">
        <f>2+2</f>
        <v>4</v>
      </c>
      <c r="T94" s="216">
        <f>S94/T$75</f>
        <v>6.7796610169491525E-2</v>
      </c>
      <c r="U94" s="283">
        <f>2+2</f>
        <v>4</v>
      </c>
      <c r="V94" s="216">
        <f>U94/V$75</f>
        <v>6.8965517241379309E-2</v>
      </c>
      <c r="W94" s="283">
        <f>2+1</f>
        <v>3</v>
      </c>
      <c r="X94" s="216">
        <f>W94/X$75</f>
        <v>5.3571428571428568E-2</v>
      </c>
      <c r="Y94" s="283">
        <v>4</v>
      </c>
      <c r="Z94" s="1494">
        <f>Y94/Z$75</f>
        <v>7.1428571428571425E-2</v>
      </c>
      <c r="AB94" s="1016">
        <f t="shared" si="14"/>
        <v>3.8</v>
      </c>
      <c r="AC94" s="863">
        <f t="shared" si="15"/>
        <v>6.6897880027628712E-2</v>
      </c>
    </row>
    <row r="95" spans="2:29" s="3" customFormat="1" ht="12" x14ac:dyDescent="0.2">
      <c r="B95" s="75" t="s">
        <v>131</v>
      </c>
      <c r="C95" s="224">
        <v>0</v>
      </c>
      <c r="D95" s="216">
        <f t="shared" si="16"/>
        <v>0</v>
      </c>
      <c r="E95" s="224">
        <v>0</v>
      </c>
      <c r="F95" s="395">
        <f>E95/F$75</f>
        <v>0</v>
      </c>
      <c r="G95" s="230">
        <v>0</v>
      </c>
      <c r="H95" s="395">
        <f>G95/H$75</f>
        <v>0</v>
      </c>
      <c r="I95" s="283">
        <v>0</v>
      </c>
      <c r="J95" s="221">
        <f>I95/J$75</f>
        <v>0</v>
      </c>
      <c r="K95" s="230">
        <v>0</v>
      </c>
      <c r="L95" s="221">
        <f>K95/L$75</f>
        <v>0</v>
      </c>
      <c r="M95" s="230">
        <v>0</v>
      </c>
      <c r="N95" s="216">
        <f>M95/N$75</f>
        <v>0</v>
      </c>
      <c r="O95" s="283">
        <v>0</v>
      </c>
      <c r="P95" s="216">
        <f>O95/P$75</f>
        <v>0</v>
      </c>
      <c r="Q95" s="283">
        <v>0</v>
      </c>
      <c r="R95" s="216">
        <f>Q95/R$75</f>
        <v>0</v>
      </c>
      <c r="S95" s="283">
        <v>0</v>
      </c>
      <c r="T95" s="216">
        <f>S95/T$75</f>
        <v>0</v>
      </c>
      <c r="U95" s="283">
        <v>0</v>
      </c>
      <c r="V95" s="216">
        <f>U95/V$75</f>
        <v>0</v>
      </c>
      <c r="W95" s="283">
        <v>0</v>
      </c>
      <c r="X95" s="216">
        <f>W95/X$75</f>
        <v>0</v>
      </c>
      <c r="Y95" s="283">
        <v>0</v>
      </c>
      <c r="Z95" s="1494">
        <f>Y95/Z$75</f>
        <v>0</v>
      </c>
      <c r="AB95" s="1016">
        <f t="shared" si="14"/>
        <v>0</v>
      </c>
      <c r="AC95" s="863">
        <f t="shared" si="15"/>
        <v>0</v>
      </c>
    </row>
    <row r="96" spans="2:29" s="3" customFormat="1" thickBot="1" x14ac:dyDescent="0.25">
      <c r="B96" s="344" t="s">
        <v>132</v>
      </c>
      <c r="C96" s="61">
        <v>0</v>
      </c>
      <c r="D96" s="220">
        <f t="shared" si="16"/>
        <v>0</v>
      </c>
      <c r="E96" s="225">
        <v>0</v>
      </c>
      <c r="F96" s="397">
        <f>E96/F$75</f>
        <v>0</v>
      </c>
      <c r="G96" s="375">
        <v>0</v>
      </c>
      <c r="H96" s="397">
        <f>G96/H$75</f>
        <v>0</v>
      </c>
      <c r="I96" s="284">
        <v>0</v>
      </c>
      <c r="J96" s="222">
        <f>I96/J$75</f>
        <v>0</v>
      </c>
      <c r="K96" s="375">
        <v>0</v>
      </c>
      <c r="L96" s="222">
        <f>K96/L$75</f>
        <v>0</v>
      </c>
      <c r="M96" s="375">
        <v>0</v>
      </c>
      <c r="N96" s="220">
        <f>M96/N$75</f>
        <v>0</v>
      </c>
      <c r="O96" s="284">
        <v>0</v>
      </c>
      <c r="P96" s="220">
        <f>O96/P$75</f>
        <v>0</v>
      </c>
      <c r="Q96" s="284">
        <v>0</v>
      </c>
      <c r="R96" s="220">
        <f>Q96/R$75</f>
        <v>0</v>
      </c>
      <c r="S96" s="284">
        <v>0</v>
      </c>
      <c r="T96" s="220">
        <f>S96/T$75</f>
        <v>0</v>
      </c>
      <c r="U96" s="284">
        <v>0</v>
      </c>
      <c r="V96" s="220">
        <f>U96/V$75</f>
        <v>0</v>
      </c>
      <c r="W96" s="284">
        <v>0</v>
      </c>
      <c r="X96" s="220">
        <f>W96/X$75</f>
        <v>0</v>
      </c>
      <c r="Y96" s="284">
        <v>0</v>
      </c>
      <c r="Z96" s="1495">
        <f>Y96/Z$75</f>
        <v>0</v>
      </c>
      <c r="AB96" s="1016">
        <f t="shared" si="14"/>
        <v>0</v>
      </c>
      <c r="AC96" s="863">
        <f t="shared" si="15"/>
        <v>0</v>
      </c>
    </row>
    <row r="97" spans="1:31" ht="14.25" thickTop="1" thickBot="1" x14ac:dyDescent="0.25">
      <c r="A97" s="1"/>
      <c r="B97" s="956" t="s">
        <v>186</v>
      </c>
      <c r="C97" s="1992" t="s">
        <v>51</v>
      </c>
      <c r="D97" s="1993"/>
      <c r="E97" s="1992" t="s">
        <v>52</v>
      </c>
      <c r="F97" s="1993"/>
      <c r="G97" s="1989" t="s">
        <v>184</v>
      </c>
      <c r="H97" s="1990"/>
      <c r="I97" s="1989" t="s">
        <v>185</v>
      </c>
      <c r="J97" s="1990"/>
      <c r="K97" s="1989" t="s">
        <v>202</v>
      </c>
      <c r="L97" s="1990"/>
      <c r="M97" s="1991" t="s">
        <v>203</v>
      </c>
      <c r="N97" s="1979"/>
      <c r="O97" s="1970" t="s">
        <v>228</v>
      </c>
      <c r="P97" s="1979"/>
      <c r="Q97" s="1970" t="s">
        <v>238</v>
      </c>
      <c r="R97" s="1979"/>
      <c r="S97" s="1970" t="s">
        <v>273</v>
      </c>
      <c r="T97" s="1979"/>
      <c r="U97" s="1970" t="s">
        <v>275</v>
      </c>
      <c r="V97" s="1979"/>
      <c r="W97" s="1970" t="s">
        <v>281</v>
      </c>
      <c r="X97" s="1979"/>
      <c r="Y97" s="1970" t="s">
        <v>291</v>
      </c>
      <c r="Z97" s="1976"/>
      <c r="AB97" s="2003" t="s">
        <v>213</v>
      </c>
      <c r="AC97" s="2004"/>
    </row>
    <row r="98" spans="1:31" x14ac:dyDescent="0.2">
      <c r="A98" s="1"/>
      <c r="B98" s="957"/>
      <c r="C98" s="958"/>
      <c r="D98" s="959"/>
      <c r="E98" s="1273" t="s">
        <v>133</v>
      </c>
      <c r="F98" s="1180" t="s">
        <v>17</v>
      </c>
      <c r="G98" s="958" t="s">
        <v>133</v>
      </c>
      <c r="H98" s="1242" t="s">
        <v>17</v>
      </c>
      <c r="I98" s="1273" t="s">
        <v>133</v>
      </c>
      <c r="J98" s="1242" t="s">
        <v>17</v>
      </c>
      <c r="K98" s="1273" t="s">
        <v>133</v>
      </c>
      <c r="L98" s="1242" t="s">
        <v>17</v>
      </c>
      <c r="M98" s="1273" t="s">
        <v>133</v>
      </c>
      <c r="N98" s="1242" t="s">
        <v>17</v>
      </c>
      <c r="O98" s="1273" t="s">
        <v>133</v>
      </c>
      <c r="P98" s="959" t="s">
        <v>17</v>
      </c>
      <c r="Q98" s="1400" t="s">
        <v>133</v>
      </c>
      <c r="R98" s="959" t="s">
        <v>17</v>
      </c>
      <c r="S98" s="1400" t="s">
        <v>133</v>
      </c>
      <c r="T98" s="959" t="s">
        <v>17</v>
      </c>
      <c r="U98" s="1787" t="s">
        <v>133</v>
      </c>
      <c r="V98" s="959" t="s">
        <v>17</v>
      </c>
      <c r="W98" s="1787" t="s">
        <v>133</v>
      </c>
      <c r="X98" s="959" t="s">
        <v>17</v>
      </c>
      <c r="Y98" s="1787" t="s">
        <v>133</v>
      </c>
      <c r="Z98" s="954" t="s">
        <v>17</v>
      </c>
      <c r="AB98" s="953" t="s">
        <v>133</v>
      </c>
      <c r="AC98" s="954" t="s">
        <v>17</v>
      </c>
      <c r="AE98" t="s">
        <v>29</v>
      </c>
    </row>
    <row r="99" spans="1:31" x14ac:dyDescent="0.2">
      <c r="A99" s="1"/>
      <c r="B99" s="341" t="s">
        <v>187</v>
      </c>
      <c r="C99" s="960">
        <v>27</v>
      </c>
      <c r="D99" s="961">
        <v>13.6</v>
      </c>
      <c r="E99" s="960">
        <v>42</v>
      </c>
      <c r="F99" s="961">
        <v>20.9</v>
      </c>
      <c r="G99" s="960">
        <v>44</v>
      </c>
      <c r="H99" s="961">
        <v>22</v>
      </c>
      <c r="I99" s="960">
        <v>38</v>
      </c>
      <c r="J99" s="961">
        <v>19</v>
      </c>
      <c r="K99" s="960">
        <v>26</v>
      </c>
      <c r="L99" s="961">
        <v>13</v>
      </c>
      <c r="M99" s="960">
        <v>26</v>
      </c>
      <c r="N99" s="961">
        <v>13</v>
      </c>
      <c r="O99" s="960">
        <f>18+2</f>
        <v>20</v>
      </c>
      <c r="P99" s="961">
        <f>9+1</f>
        <v>10</v>
      </c>
      <c r="Q99" s="960">
        <v>30</v>
      </c>
      <c r="R99" s="961">
        <v>14.9</v>
      </c>
      <c r="S99" s="960">
        <v>32</v>
      </c>
      <c r="T99" s="961">
        <v>16</v>
      </c>
      <c r="U99" s="960">
        <v>41</v>
      </c>
      <c r="V99" s="961">
        <v>20.5</v>
      </c>
      <c r="W99" s="960">
        <v>34</v>
      </c>
      <c r="X99" s="961">
        <v>17</v>
      </c>
      <c r="Y99" s="960">
        <v>26</v>
      </c>
      <c r="Z99" s="1517">
        <v>13</v>
      </c>
      <c r="AB99" s="1115">
        <f t="shared" ref="AB99:AB101" si="17">AVERAGE(W99,U99,Q99,S99,Y99)</f>
        <v>32.6</v>
      </c>
      <c r="AC99" s="1116">
        <f t="shared" ref="AC99:AC101" si="18">AVERAGE(X99,V99,R99,T99,Z99)</f>
        <v>16.28</v>
      </c>
    </row>
    <row r="100" spans="1:31" x14ac:dyDescent="0.2">
      <c r="A100" s="1"/>
      <c r="B100" s="341" t="s">
        <v>188</v>
      </c>
      <c r="C100" s="960">
        <v>27</v>
      </c>
      <c r="D100" s="961">
        <v>13.9</v>
      </c>
      <c r="E100" s="960">
        <v>24</v>
      </c>
      <c r="F100" s="961">
        <v>11.9</v>
      </c>
      <c r="G100" s="960">
        <v>24</v>
      </c>
      <c r="H100" s="961">
        <v>11.7</v>
      </c>
      <c r="I100" s="960">
        <v>21</v>
      </c>
      <c r="J100" s="961">
        <v>10.199999999999999</v>
      </c>
      <c r="K100" s="960">
        <v>28</v>
      </c>
      <c r="L100" s="961">
        <v>14</v>
      </c>
      <c r="M100" s="960">
        <v>28</v>
      </c>
      <c r="N100" s="961">
        <v>14</v>
      </c>
      <c r="O100" s="960">
        <v>30</v>
      </c>
      <c r="P100" s="961">
        <v>14.5</v>
      </c>
      <c r="Q100" s="960">
        <v>21</v>
      </c>
      <c r="R100" s="961">
        <v>10.5</v>
      </c>
      <c r="S100" s="960">
        <v>23</v>
      </c>
      <c r="T100" s="961">
        <v>11.5</v>
      </c>
      <c r="U100" s="960">
        <v>26</v>
      </c>
      <c r="V100" s="961">
        <v>13</v>
      </c>
      <c r="W100" s="960">
        <v>21</v>
      </c>
      <c r="X100" s="961">
        <v>10.5</v>
      </c>
      <c r="Y100" s="960">
        <v>27</v>
      </c>
      <c r="Z100" s="1517">
        <v>13.5</v>
      </c>
      <c r="AB100" s="1115">
        <f t="shared" si="17"/>
        <v>23.6</v>
      </c>
      <c r="AC100" s="1116">
        <f t="shared" si="18"/>
        <v>11.8</v>
      </c>
    </row>
    <row r="101" spans="1:31" ht="13.5" thickBot="1" x14ac:dyDescent="0.25">
      <c r="A101" s="1"/>
      <c r="B101" s="344" t="s">
        <v>211</v>
      </c>
      <c r="C101" s="962">
        <v>0</v>
      </c>
      <c r="D101" s="963">
        <v>0</v>
      </c>
      <c r="E101" s="964">
        <v>1</v>
      </c>
      <c r="F101" s="963">
        <v>0.4</v>
      </c>
      <c r="G101" s="964">
        <v>0</v>
      </c>
      <c r="H101" s="963">
        <v>0</v>
      </c>
      <c r="I101" s="964">
        <v>0</v>
      </c>
      <c r="J101" s="963">
        <v>0</v>
      </c>
      <c r="K101" s="964">
        <v>0</v>
      </c>
      <c r="L101" s="963">
        <v>0</v>
      </c>
      <c r="M101" s="964">
        <v>0</v>
      </c>
      <c r="N101" s="963">
        <v>0</v>
      </c>
      <c r="O101" s="964">
        <v>0</v>
      </c>
      <c r="P101" s="963">
        <v>0</v>
      </c>
      <c r="Q101" s="964">
        <v>0</v>
      </c>
      <c r="R101" s="963">
        <v>0</v>
      </c>
      <c r="S101" s="964">
        <v>0</v>
      </c>
      <c r="T101" s="963">
        <v>0</v>
      </c>
      <c r="U101" s="964">
        <v>0</v>
      </c>
      <c r="V101" s="963">
        <v>0</v>
      </c>
      <c r="W101" s="964">
        <v>0</v>
      </c>
      <c r="X101" s="963">
        <v>0</v>
      </c>
      <c r="Y101" s="964">
        <v>0</v>
      </c>
      <c r="Z101" s="1518">
        <v>0</v>
      </c>
      <c r="AB101" s="1115">
        <f t="shared" si="17"/>
        <v>0</v>
      </c>
      <c r="AC101" s="1116">
        <f t="shared" si="18"/>
        <v>0</v>
      </c>
    </row>
    <row r="102" spans="1:31" ht="17.25" thickTop="1" thickBot="1" x14ac:dyDescent="0.3">
      <c r="A102" s="966"/>
      <c r="B102" s="967"/>
      <c r="C102" s="1992" t="s">
        <v>51</v>
      </c>
      <c r="D102" s="1993"/>
      <c r="E102" s="1992" t="s">
        <v>52</v>
      </c>
      <c r="F102" s="1993"/>
      <c r="G102" s="1989" t="s">
        <v>184</v>
      </c>
      <c r="H102" s="1990"/>
      <c r="I102" s="1989" t="s">
        <v>185</v>
      </c>
      <c r="J102" s="1990"/>
      <c r="K102" s="1989" t="s">
        <v>202</v>
      </c>
      <c r="L102" s="1990"/>
      <c r="M102" s="1991" t="s">
        <v>203</v>
      </c>
      <c r="N102" s="1979"/>
      <c r="O102" s="1970" t="s">
        <v>254</v>
      </c>
      <c r="P102" s="1979"/>
      <c r="Q102" s="1970" t="s">
        <v>238</v>
      </c>
      <c r="R102" s="1979"/>
      <c r="S102" s="1970" t="s">
        <v>273</v>
      </c>
      <c r="T102" s="1979"/>
      <c r="U102" s="1970" t="s">
        <v>275</v>
      </c>
      <c r="V102" s="1979"/>
      <c r="W102" s="1970" t="s">
        <v>281</v>
      </c>
      <c r="X102" s="1979"/>
      <c r="Y102" s="1970" t="s">
        <v>291</v>
      </c>
      <c r="Z102" s="1976"/>
      <c r="AA102" s="932"/>
      <c r="AB102" s="1987"/>
      <c r="AC102" s="1988"/>
      <c r="AD102" s="28"/>
      <c r="AE102" s="3"/>
    </row>
    <row r="103" spans="1:31" x14ac:dyDescent="0.2">
      <c r="A103" s="3"/>
      <c r="B103" s="342" t="s">
        <v>210</v>
      </c>
      <c r="C103" s="3"/>
      <c r="D103" s="969"/>
      <c r="E103" s="970"/>
      <c r="F103" s="971"/>
      <c r="G103" s="972"/>
      <c r="H103" s="973"/>
      <c r="I103" s="974"/>
      <c r="J103" s="593"/>
      <c r="K103" s="975"/>
      <c r="L103" s="976"/>
      <c r="M103" s="975"/>
      <c r="N103" s="991"/>
      <c r="O103" s="117"/>
      <c r="P103" s="1422"/>
      <c r="Q103" s="975"/>
      <c r="R103" s="991"/>
      <c r="S103" s="975"/>
      <c r="T103" s="991"/>
      <c r="U103" s="117"/>
      <c r="V103" s="1422"/>
      <c r="W103" s="975"/>
      <c r="X103" s="991"/>
      <c r="Y103" s="975"/>
      <c r="Z103" s="977"/>
      <c r="AA103" s="136"/>
      <c r="AB103" s="28"/>
      <c r="AC103" s="28"/>
      <c r="AD103" s="3"/>
      <c r="AE103" s="3"/>
    </row>
    <row r="104" spans="1:31" x14ac:dyDescent="0.2">
      <c r="A104" s="930"/>
      <c r="B104" s="1331" t="s">
        <v>192</v>
      </c>
      <c r="C104" s="1983">
        <v>17.100000000000001</v>
      </c>
      <c r="D104" s="1984"/>
      <c r="E104" s="980"/>
      <c r="F104" s="981"/>
      <c r="G104" s="982"/>
      <c r="H104" s="983"/>
      <c r="I104" s="1983">
        <v>17.89</v>
      </c>
      <c r="J104" s="1984"/>
      <c r="K104" s="984"/>
      <c r="L104" s="985"/>
      <c r="M104" s="984"/>
      <c r="N104" s="991"/>
      <c r="O104" s="136"/>
      <c r="P104" s="1422">
        <v>29.2</v>
      </c>
      <c r="Q104" s="984"/>
      <c r="R104" s="991"/>
      <c r="S104" s="984"/>
      <c r="T104" s="991"/>
      <c r="U104" s="136"/>
      <c r="V104" s="1422">
        <v>31.18</v>
      </c>
      <c r="W104" s="984"/>
      <c r="X104" s="991"/>
      <c r="Y104" s="984"/>
      <c r="Z104" s="977"/>
      <c r="AA104" s="136"/>
      <c r="AB104" s="28"/>
      <c r="AC104" s="1106"/>
      <c r="AD104" s="3"/>
      <c r="AE104" s="3"/>
    </row>
    <row r="105" spans="1:31" x14ac:dyDescent="0.2">
      <c r="A105" s="930"/>
      <c r="B105" s="1332" t="s">
        <v>193</v>
      </c>
      <c r="C105" s="1983"/>
      <c r="D105" s="1984"/>
      <c r="E105" s="980"/>
      <c r="F105" s="981"/>
      <c r="G105" s="982"/>
      <c r="H105" s="983"/>
      <c r="I105" s="1983"/>
      <c r="J105" s="1984"/>
      <c r="K105" s="984"/>
      <c r="L105" s="985"/>
      <c r="M105" s="984"/>
      <c r="N105" s="991"/>
      <c r="O105" s="136"/>
      <c r="P105" s="1422"/>
      <c r="Q105" s="984"/>
      <c r="R105" s="991"/>
      <c r="S105" s="984"/>
      <c r="T105" s="991"/>
      <c r="U105" s="136"/>
      <c r="V105" s="1422"/>
      <c r="W105" s="984"/>
      <c r="X105" s="991"/>
      <c r="Y105" s="984"/>
      <c r="Z105" s="977"/>
      <c r="AA105" s="136"/>
      <c r="AB105" s="28"/>
      <c r="AC105" s="1106"/>
      <c r="AD105" s="3"/>
      <c r="AE105" s="3"/>
    </row>
    <row r="106" spans="1:31" x14ac:dyDescent="0.2">
      <c r="A106" s="930"/>
      <c r="B106" s="1332" t="s">
        <v>194</v>
      </c>
      <c r="C106" s="1983">
        <v>0</v>
      </c>
      <c r="D106" s="1984"/>
      <c r="E106" s="980"/>
      <c r="F106" s="981"/>
      <c r="G106" s="982"/>
      <c r="H106" s="983"/>
      <c r="I106" s="1983">
        <v>0</v>
      </c>
      <c r="J106" s="1984"/>
      <c r="K106" s="984"/>
      <c r="L106" s="985"/>
      <c r="M106" s="984"/>
      <c r="N106" s="991"/>
      <c r="O106" s="136"/>
      <c r="P106" s="1422">
        <v>0</v>
      </c>
      <c r="Q106" s="984"/>
      <c r="R106" s="991"/>
      <c r="S106" s="984"/>
      <c r="T106" s="991"/>
      <c r="U106" s="136"/>
      <c r="V106" s="1422">
        <v>0</v>
      </c>
      <c r="W106" s="984"/>
      <c r="X106" s="991"/>
      <c r="Y106" s="984"/>
      <c r="Z106" s="977"/>
      <c r="AA106" s="136"/>
      <c r="AB106" s="28"/>
      <c r="AC106" s="1106"/>
      <c r="AD106" s="3"/>
      <c r="AE106" s="3"/>
    </row>
    <row r="107" spans="1:31" x14ac:dyDescent="0.2">
      <c r="A107" s="930"/>
      <c r="B107" s="1331" t="s">
        <v>195</v>
      </c>
      <c r="C107" s="1983">
        <v>13.9</v>
      </c>
      <c r="D107" s="1984"/>
      <c r="E107" s="980"/>
      <c r="F107" s="981"/>
      <c r="G107" s="982"/>
      <c r="H107" s="983"/>
      <c r="I107" s="1983">
        <v>10.199999999999999</v>
      </c>
      <c r="J107" s="1984"/>
      <c r="K107" s="984"/>
      <c r="L107" s="985"/>
      <c r="M107" s="984"/>
      <c r="N107" s="991"/>
      <c r="O107" s="136"/>
      <c r="P107" s="1422">
        <v>14.5</v>
      </c>
      <c r="Q107" s="984"/>
      <c r="R107" s="991"/>
      <c r="S107" s="984"/>
      <c r="T107" s="991"/>
      <c r="U107" s="136"/>
      <c r="V107" s="1422">
        <v>7.5</v>
      </c>
      <c r="W107" s="984"/>
      <c r="X107" s="991"/>
      <c r="Y107" s="984"/>
      <c r="Z107" s="977"/>
      <c r="AA107" s="136"/>
      <c r="AB107" s="28"/>
      <c r="AC107" s="1106"/>
      <c r="AD107" s="3"/>
      <c r="AE107" s="3"/>
    </row>
    <row r="108" spans="1:31" x14ac:dyDescent="0.2">
      <c r="A108" s="930"/>
      <c r="B108" s="1333" t="s">
        <v>196</v>
      </c>
      <c r="C108" s="1983">
        <v>4.8499999999999996</v>
      </c>
      <c r="D108" s="1984"/>
      <c r="E108" s="980"/>
      <c r="F108" s="981"/>
      <c r="G108" s="982"/>
      <c r="H108" s="983"/>
      <c r="I108" s="1983">
        <v>5.55</v>
      </c>
      <c r="J108" s="1984"/>
      <c r="K108" s="984"/>
      <c r="L108" s="985"/>
      <c r="M108" s="984"/>
      <c r="N108" s="991"/>
      <c r="O108" s="136"/>
      <c r="P108" s="1422">
        <f>7.8+1.3</f>
        <v>9.1</v>
      </c>
      <c r="Q108" s="984"/>
      <c r="R108" s="991"/>
      <c r="S108" s="984"/>
      <c r="T108" s="991"/>
      <c r="U108" s="136"/>
      <c r="V108" s="1422">
        <f>7.8+0.8</f>
        <v>8.6</v>
      </c>
      <c r="W108" s="984"/>
      <c r="X108" s="991"/>
      <c r="Y108" s="984"/>
      <c r="Z108" s="977"/>
      <c r="AA108" s="136"/>
      <c r="AB108" s="28"/>
      <c r="AC108" s="1106"/>
      <c r="AD108" s="3"/>
      <c r="AE108" s="3"/>
    </row>
    <row r="109" spans="1:31" x14ac:dyDescent="0.2">
      <c r="A109" s="930"/>
      <c r="B109" s="1333" t="s">
        <v>197</v>
      </c>
      <c r="C109" s="1983">
        <f>SUM(C104:D108)</f>
        <v>35.85</v>
      </c>
      <c r="D109" s="1984"/>
      <c r="E109" s="980"/>
      <c r="F109" s="981"/>
      <c r="G109" s="982"/>
      <c r="H109" s="983"/>
      <c r="I109" s="1983">
        <f>SUM(I104:J108)</f>
        <v>33.64</v>
      </c>
      <c r="J109" s="1984"/>
      <c r="K109" s="984"/>
      <c r="L109" s="985"/>
      <c r="M109" s="984"/>
      <c r="N109" s="991"/>
      <c r="O109" s="136"/>
      <c r="P109" s="1422">
        <f>SUM(P103:P108)</f>
        <v>52.800000000000004</v>
      </c>
      <c r="Q109" s="984"/>
      <c r="R109" s="991"/>
      <c r="S109" s="984"/>
      <c r="T109" s="991"/>
      <c r="U109" s="136"/>
      <c r="V109" s="1422">
        <f>SUM(V104:V108)</f>
        <v>47.28</v>
      </c>
      <c r="W109" s="984"/>
      <c r="X109" s="991"/>
      <c r="Y109" s="984"/>
      <c r="Z109" s="977"/>
      <c r="AA109" s="136"/>
      <c r="AB109" s="28"/>
      <c r="AC109" s="1106"/>
      <c r="AD109" s="3"/>
      <c r="AE109" s="3"/>
    </row>
    <row r="110" spans="1:31" ht="13.5" thickBot="1" x14ac:dyDescent="0.25">
      <c r="A110" s="930"/>
      <c r="B110" s="1334" t="s">
        <v>204</v>
      </c>
      <c r="C110" s="2056"/>
      <c r="D110" s="2055"/>
      <c r="E110" s="989"/>
      <c r="F110" s="990"/>
      <c r="G110" s="975"/>
      <c r="H110" s="991"/>
      <c r="I110" s="2056"/>
      <c r="J110" s="2055"/>
      <c r="K110" s="984"/>
      <c r="L110" s="985"/>
      <c r="M110" s="984"/>
      <c r="N110" s="991"/>
      <c r="O110" s="136"/>
      <c r="P110" s="1422"/>
      <c r="Q110" s="984"/>
      <c r="R110" s="991"/>
      <c r="S110" s="984"/>
      <c r="T110" s="991"/>
      <c r="U110" s="136"/>
      <c r="V110" s="1422"/>
      <c r="W110" s="984"/>
      <c r="X110" s="991"/>
      <c r="Y110" s="984"/>
      <c r="Z110" s="977"/>
      <c r="AA110" s="136"/>
      <c r="AB110" s="28"/>
      <c r="AC110" s="1106"/>
      <c r="AD110" s="3"/>
      <c r="AE110" s="3"/>
    </row>
    <row r="111" spans="1:31" x14ac:dyDescent="0.2">
      <c r="A111" s="930"/>
      <c r="B111" s="1331" t="s">
        <v>198</v>
      </c>
      <c r="C111" s="2043">
        <v>6045</v>
      </c>
      <c r="D111" s="2044"/>
      <c r="E111" s="992"/>
      <c r="F111" s="993"/>
      <c r="G111" s="994"/>
      <c r="H111" s="995"/>
      <c r="I111" s="2043">
        <v>6607</v>
      </c>
      <c r="J111" s="2044"/>
      <c r="K111" s="984"/>
      <c r="L111" s="985"/>
      <c r="M111" s="984"/>
      <c r="N111" s="991"/>
      <c r="O111" s="136"/>
      <c r="P111" s="1462">
        <v>6677</v>
      </c>
      <c r="Q111" s="984"/>
      <c r="R111" s="991"/>
      <c r="S111" s="984"/>
      <c r="T111" s="991"/>
      <c r="U111" s="136"/>
      <c r="V111" s="1462">
        <v>6088</v>
      </c>
      <c r="W111" s="984"/>
      <c r="X111" s="991"/>
      <c r="Y111" s="984"/>
      <c r="Z111" s="977"/>
      <c r="AA111" s="136"/>
      <c r="AB111" s="28"/>
      <c r="AC111" s="1473"/>
      <c r="AD111" s="3"/>
      <c r="AE111" s="3"/>
    </row>
    <row r="112" spans="1:31" x14ac:dyDescent="0.2">
      <c r="A112" s="930"/>
      <c r="B112" s="1333" t="s">
        <v>199</v>
      </c>
      <c r="C112" s="2043">
        <v>0</v>
      </c>
      <c r="D112" s="2044"/>
      <c r="E112" s="992"/>
      <c r="F112" s="993"/>
      <c r="G112" s="994"/>
      <c r="H112" s="995"/>
      <c r="I112" s="2043">
        <v>0</v>
      </c>
      <c r="J112" s="2044"/>
      <c r="K112" s="984"/>
      <c r="L112" s="985"/>
      <c r="M112" s="984"/>
      <c r="N112" s="991"/>
      <c r="O112" s="136"/>
      <c r="P112" s="1462">
        <v>0</v>
      </c>
      <c r="Q112" s="984"/>
      <c r="R112" s="991"/>
      <c r="S112" s="984"/>
      <c r="T112" s="991"/>
      <c r="U112" s="136"/>
      <c r="V112" s="1462">
        <v>0</v>
      </c>
      <c r="W112" s="984"/>
      <c r="X112" s="991"/>
      <c r="Y112" s="984"/>
      <c r="Z112" s="977"/>
      <c r="AA112" s="136"/>
      <c r="AB112" s="28"/>
      <c r="AC112" s="1473"/>
      <c r="AD112" s="3"/>
      <c r="AE112" s="3"/>
    </row>
    <row r="113" spans="1:31" x14ac:dyDescent="0.2">
      <c r="A113" s="930"/>
      <c r="B113" s="1333" t="s">
        <v>200</v>
      </c>
      <c r="C113" s="2043">
        <v>2924</v>
      </c>
      <c r="D113" s="2044"/>
      <c r="E113" s="992"/>
      <c r="F113" s="993"/>
      <c r="G113" s="994"/>
      <c r="H113" s="995"/>
      <c r="I113" s="2043">
        <v>2851</v>
      </c>
      <c r="J113" s="2044"/>
      <c r="K113" s="984"/>
      <c r="L113" s="985"/>
      <c r="M113" s="984"/>
      <c r="N113" s="991"/>
      <c r="O113" s="136"/>
      <c r="P113" s="1462">
        <f>1282+416</f>
        <v>1698</v>
      </c>
      <c r="Q113" s="984"/>
      <c r="R113" s="991"/>
      <c r="S113" s="984"/>
      <c r="T113" s="991"/>
      <c r="U113" s="136"/>
      <c r="V113" s="1462">
        <f>2705+400</f>
        <v>3105</v>
      </c>
      <c r="W113" s="984"/>
      <c r="X113" s="991"/>
      <c r="Y113" s="984"/>
      <c r="Z113" s="977"/>
      <c r="AA113" s="136"/>
      <c r="AB113" s="28"/>
      <c r="AC113" s="1473"/>
      <c r="AD113" s="3"/>
      <c r="AE113" s="3"/>
    </row>
    <row r="114" spans="1:31" x14ac:dyDescent="0.2">
      <c r="A114" s="930"/>
      <c r="B114" s="1333" t="s">
        <v>209</v>
      </c>
      <c r="C114" s="2043">
        <f>SUM(C111:D113)</f>
        <v>8969</v>
      </c>
      <c r="D114" s="2044"/>
      <c r="E114" s="992"/>
      <c r="F114" s="993"/>
      <c r="G114" s="994"/>
      <c r="H114" s="995"/>
      <c r="I114" s="2043">
        <f>SUM(I111:J113)</f>
        <v>9458</v>
      </c>
      <c r="J114" s="2044"/>
      <c r="K114" s="984"/>
      <c r="L114" s="985"/>
      <c r="M114" s="984"/>
      <c r="N114" s="991"/>
      <c r="O114" s="136"/>
      <c r="P114" s="1462">
        <f>SUM(P111:P113)</f>
        <v>8375</v>
      </c>
      <c r="Q114" s="984"/>
      <c r="R114" s="991"/>
      <c r="S114" s="984"/>
      <c r="T114" s="991"/>
      <c r="U114" s="136"/>
      <c r="V114" s="1462">
        <f>SUM(V111:V113)</f>
        <v>9193</v>
      </c>
      <c r="W114" s="984"/>
      <c r="X114" s="991"/>
      <c r="Y114" s="984"/>
      <c r="Z114" s="977"/>
      <c r="AA114" s="136"/>
      <c r="AB114" s="28"/>
      <c r="AC114" s="1473"/>
      <c r="AD114" s="3"/>
      <c r="AE114" s="3"/>
    </row>
    <row r="115" spans="1:31" ht="13.5" thickBot="1" x14ac:dyDescent="0.25">
      <c r="A115" s="930"/>
      <c r="B115" s="1334" t="s">
        <v>205</v>
      </c>
      <c r="C115" s="2056"/>
      <c r="D115" s="2055"/>
      <c r="E115" s="989"/>
      <c r="F115" s="990"/>
      <c r="G115" s="975"/>
      <c r="H115" s="991"/>
      <c r="I115" s="2056"/>
      <c r="J115" s="2055"/>
      <c r="K115" s="984"/>
      <c r="L115" s="985"/>
      <c r="M115" s="984"/>
      <c r="N115" s="991"/>
      <c r="O115" s="136"/>
      <c r="P115" s="1462"/>
      <c r="Q115" s="984"/>
      <c r="R115" s="991"/>
      <c r="S115" s="984"/>
      <c r="T115" s="991"/>
      <c r="U115" s="136"/>
      <c r="V115" s="1462"/>
      <c r="W115" s="984"/>
      <c r="X115" s="991"/>
      <c r="Y115" s="984"/>
      <c r="Z115" s="977"/>
      <c r="AA115" s="136"/>
      <c r="AB115" s="28"/>
      <c r="AC115" s="1106"/>
      <c r="AD115" s="28"/>
      <c r="AE115" s="28"/>
    </row>
    <row r="116" spans="1:31" x14ac:dyDescent="0.2">
      <c r="A116" s="930"/>
      <c r="B116" s="1331" t="s">
        <v>206</v>
      </c>
      <c r="C116" s="1985">
        <f>C111/C104</f>
        <v>353.50877192982455</v>
      </c>
      <c r="D116" s="1986"/>
      <c r="E116" s="996"/>
      <c r="F116" s="997"/>
      <c r="G116" s="998"/>
      <c r="H116" s="999"/>
      <c r="I116" s="1985">
        <f>I111/I104</f>
        <v>369.3124650642817</v>
      </c>
      <c r="J116" s="1986"/>
      <c r="K116" s="1000"/>
      <c r="L116" s="1001"/>
      <c r="M116" s="1000"/>
      <c r="N116" s="999"/>
      <c r="O116" s="494"/>
      <c r="P116" s="1462">
        <f>P111/P104</f>
        <v>228.66438356164383</v>
      </c>
      <c r="Q116" s="1000"/>
      <c r="R116" s="999"/>
      <c r="S116" s="1000"/>
      <c r="T116" s="999"/>
      <c r="U116" s="494"/>
      <c r="V116" s="1462">
        <f>V111/V104</f>
        <v>195.25336754329697</v>
      </c>
      <c r="W116" s="1000"/>
      <c r="X116" s="999"/>
      <c r="Y116" s="1000"/>
      <c r="Z116" s="1460"/>
      <c r="AA116" s="494"/>
      <c r="AB116" s="668"/>
      <c r="AC116" s="1106"/>
      <c r="AD116" s="21"/>
      <c r="AE116" s="21"/>
    </row>
    <row r="117" spans="1:31" x14ac:dyDescent="0.2">
      <c r="A117" s="930"/>
      <c r="B117" s="1333" t="s">
        <v>207</v>
      </c>
      <c r="C117" s="1985">
        <v>0</v>
      </c>
      <c r="D117" s="1986"/>
      <c r="E117" s="996"/>
      <c r="F117" s="997"/>
      <c r="G117" s="998"/>
      <c r="H117" s="999"/>
      <c r="I117" s="1985">
        <v>0</v>
      </c>
      <c r="J117" s="1986"/>
      <c r="K117" s="1000"/>
      <c r="L117" s="1001"/>
      <c r="M117" s="1000"/>
      <c r="N117" s="999"/>
      <c r="O117" s="494"/>
      <c r="P117" s="1462">
        <v>0</v>
      </c>
      <c r="Q117" s="1000"/>
      <c r="R117" s="999"/>
      <c r="S117" s="1000"/>
      <c r="T117" s="999"/>
      <c r="U117" s="494"/>
      <c r="V117" s="1462">
        <v>0</v>
      </c>
      <c r="W117" s="1000"/>
      <c r="X117" s="999"/>
      <c r="Y117" s="1000"/>
      <c r="Z117" s="1460"/>
      <c r="AA117" s="494"/>
      <c r="AB117" s="668"/>
      <c r="AC117" s="1106"/>
      <c r="AD117" s="21"/>
      <c r="AE117" s="21"/>
    </row>
    <row r="118" spans="1:31" x14ac:dyDescent="0.2">
      <c r="A118" s="930"/>
      <c r="B118" s="1333" t="s">
        <v>208</v>
      </c>
      <c r="C118" s="1985">
        <f>C113/C108</f>
        <v>602.8865979381444</v>
      </c>
      <c r="D118" s="1986"/>
      <c r="E118" s="996"/>
      <c r="F118" s="997"/>
      <c r="G118" s="998"/>
      <c r="H118" s="999"/>
      <c r="I118" s="1985">
        <f>I113/I108</f>
        <v>513.69369369369372</v>
      </c>
      <c r="J118" s="1986"/>
      <c r="K118" s="1000"/>
      <c r="L118" s="1001"/>
      <c r="M118" s="1000"/>
      <c r="N118" s="999"/>
      <c r="O118" s="494"/>
      <c r="P118" s="1462">
        <f>P113/P108</f>
        <v>186.5934065934066</v>
      </c>
      <c r="Q118" s="1000"/>
      <c r="R118" s="999"/>
      <c r="S118" s="1000"/>
      <c r="T118" s="999"/>
      <c r="U118" s="494"/>
      <c r="V118" s="1462">
        <f>V113/V108</f>
        <v>361.04651162790697</v>
      </c>
      <c r="W118" s="1000"/>
      <c r="X118" s="999"/>
      <c r="Y118" s="1000"/>
      <c r="Z118" s="1460"/>
      <c r="AA118" s="494"/>
      <c r="AB118" s="668"/>
      <c r="AC118" s="1106"/>
      <c r="AD118" s="21"/>
      <c r="AE118" s="21"/>
    </row>
    <row r="119" spans="1:31" ht="13.5" thickBot="1" x14ac:dyDescent="0.25">
      <c r="A119" s="930"/>
      <c r="B119" s="1335" t="s">
        <v>201</v>
      </c>
      <c r="C119" s="2045">
        <f>C114/C109</f>
        <v>250.18131101813108</v>
      </c>
      <c r="D119" s="2046"/>
      <c r="E119" s="1003"/>
      <c r="F119" s="1004"/>
      <c r="G119" s="1005"/>
      <c r="H119" s="1006"/>
      <c r="I119" s="2045">
        <f>I114/I109</f>
        <v>281.15338882282998</v>
      </c>
      <c r="J119" s="2046"/>
      <c r="K119" s="1005"/>
      <c r="L119" s="1006"/>
      <c r="M119" s="1005"/>
      <c r="N119" s="1006"/>
      <c r="O119" s="1233"/>
      <c r="P119" s="1463">
        <f>P114/P109</f>
        <v>158.61742424242422</v>
      </c>
      <c r="Q119" s="1005"/>
      <c r="R119" s="1006"/>
      <c r="S119" s="1005"/>
      <c r="T119" s="1006"/>
      <c r="U119" s="1233"/>
      <c r="V119" s="1463">
        <f>V114/V109</f>
        <v>194.43739424703892</v>
      </c>
      <c r="W119" s="1005"/>
      <c r="X119" s="1006"/>
      <c r="Y119" s="1005"/>
      <c r="Z119" s="1461"/>
      <c r="AA119" s="494"/>
      <c r="AB119" s="668"/>
      <c r="AC119" s="1106"/>
      <c r="AD119" s="21"/>
      <c r="AE119" s="21"/>
    </row>
    <row r="120" spans="1:31" ht="13.5" thickTop="1" x14ac:dyDescent="0.2">
      <c r="A120" s="3"/>
      <c r="B120" s="3" t="str">
        <f>Dean_AS!B169</f>
        <v>*Note: Beginning with the 2009 collection cycle, Instructional FTE was defined according to the national Delaware Study of Instructional Costs and Productivity</v>
      </c>
      <c r="AC120" s="91"/>
    </row>
    <row r="121" spans="1:31" x14ac:dyDescent="0.2">
      <c r="A121" s="3"/>
      <c r="B121" s="3"/>
    </row>
    <row r="122" spans="1:31" x14ac:dyDescent="0.2">
      <c r="A122" s="3"/>
      <c r="B122" s="3"/>
      <c r="P122" s="1" t="s">
        <v>29</v>
      </c>
    </row>
    <row r="123" spans="1:31" x14ac:dyDescent="0.2">
      <c r="A123" s="3"/>
      <c r="B123" s="3"/>
    </row>
    <row r="124" spans="1:31" x14ac:dyDescent="0.2">
      <c r="A124" s="3"/>
      <c r="B124" s="3"/>
    </row>
    <row r="125" spans="1:31" x14ac:dyDescent="0.2">
      <c r="A125" s="3"/>
      <c r="B125" s="3"/>
    </row>
    <row r="126" spans="1:31" x14ac:dyDescent="0.2">
      <c r="A126" s="3"/>
      <c r="B126" s="3"/>
    </row>
    <row r="127" spans="1:31" x14ac:dyDescent="0.2">
      <c r="A127" s="3"/>
      <c r="B127" s="3"/>
    </row>
    <row r="128" spans="1:31" x14ac:dyDescent="0.2">
      <c r="A128" s="3"/>
      <c r="B128" s="3"/>
    </row>
    <row r="129" spans="1:2" x14ac:dyDescent="0.2">
      <c r="A129" s="3"/>
      <c r="B129" s="3"/>
    </row>
    <row r="130" spans="1:2" x14ac:dyDescent="0.2">
      <c r="A130" s="3"/>
      <c r="B130" s="3"/>
    </row>
    <row r="131" spans="1:2" x14ac:dyDescent="0.2">
      <c r="A131" s="3"/>
      <c r="B131" s="3"/>
    </row>
    <row r="132" spans="1:2" x14ac:dyDescent="0.2">
      <c r="A132" s="3"/>
      <c r="B132" s="3"/>
    </row>
    <row r="133" spans="1:2" x14ac:dyDescent="0.2">
      <c r="A133" s="3"/>
      <c r="B133" s="3"/>
    </row>
    <row r="134" spans="1:2" x14ac:dyDescent="0.2">
      <c r="A134" s="3"/>
      <c r="B134" s="3"/>
    </row>
    <row r="135" spans="1:2" x14ac:dyDescent="0.2">
      <c r="A135" s="3"/>
      <c r="B135" s="3"/>
    </row>
    <row r="136" spans="1:2" x14ac:dyDescent="0.2">
      <c r="A136" s="3"/>
      <c r="B136" s="3"/>
    </row>
    <row r="137" spans="1:2" x14ac:dyDescent="0.2">
      <c r="A137" s="3"/>
      <c r="B137" s="3"/>
    </row>
    <row r="138" spans="1:2" x14ac:dyDescent="0.2">
      <c r="A138" s="3"/>
      <c r="B138" s="3"/>
    </row>
    <row r="139" spans="1:2" x14ac:dyDescent="0.2">
      <c r="A139" s="3"/>
      <c r="B139" s="3"/>
    </row>
    <row r="140" spans="1:2" x14ac:dyDescent="0.2">
      <c r="A140" s="3"/>
      <c r="B140" s="3"/>
    </row>
    <row r="141" spans="1:2" x14ac:dyDescent="0.2">
      <c r="A141" s="3"/>
      <c r="B141" s="3"/>
    </row>
    <row r="142" spans="1:2" x14ac:dyDescent="0.2">
      <c r="A142" s="3"/>
      <c r="B142" s="3"/>
    </row>
    <row r="143" spans="1:2" x14ac:dyDescent="0.2">
      <c r="A143" s="3"/>
      <c r="B143" s="3"/>
    </row>
  </sheetData>
  <mergeCells count="141">
    <mergeCell ref="C119:D119"/>
    <mergeCell ref="I119:J119"/>
    <mergeCell ref="AB7:AC7"/>
    <mergeCell ref="AB25:AC25"/>
    <mergeCell ref="AB40:AC40"/>
    <mergeCell ref="AB60:AC60"/>
    <mergeCell ref="AB36:AC36"/>
    <mergeCell ref="I117:J117"/>
    <mergeCell ref="C110:D110"/>
    <mergeCell ref="I110:J110"/>
    <mergeCell ref="U97:V97"/>
    <mergeCell ref="U102:V102"/>
    <mergeCell ref="U7:V7"/>
    <mergeCell ref="U25:V25"/>
    <mergeCell ref="U33:V33"/>
    <mergeCell ref="U36:V36"/>
    <mergeCell ref="U40:V40"/>
    <mergeCell ref="U67:V67"/>
    <mergeCell ref="W97:X97"/>
    <mergeCell ref="W102:X102"/>
    <mergeCell ref="W7:X7"/>
    <mergeCell ref="W25:X25"/>
    <mergeCell ref="W33:X33"/>
    <mergeCell ref="W36:X36"/>
    <mergeCell ref="C118:D118"/>
    <mergeCell ref="I118:J118"/>
    <mergeCell ref="C113:D113"/>
    <mergeCell ref="I113:J113"/>
    <mergeCell ref="C114:D114"/>
    <mergeCell ref="I114:J114"/>
    <mergeCell ref="C115:D115"/>
    <mergeCell ref="I115:J115"/>
    <mergeCell ref="C117:D117"/>
    <mergeCell ref="C116:D116"/>
    <mergeCell ref="I116:J116"/>
    <mergeCell ref="M97:N97"/>
    <mergeCell ref="C106:D106"/>
    <mergeCell ref="I106:J106"/>
    <mergeCell ref="I111:J111"/>
    <mergeCell ref="C112:D112"/>
    <mergeCell ref="I112:J112"/>
    <mergeCell ref="C107:D107"/>
    <mergeCell ref="I107:J107"/>
    <mergeCell ref="C108:D108"/>
    <mergeCell ref="I108:J108"/>
    <mergeCell ref="C109:D109"/>
    <mergeCell ref="C111:D111"/>
    <mergeCell ref="I109:J109"/>
    <mergeCell ref="O7:P7"/>
    <mergeCell ref="O25:P25"/>
    <mergeCell ref="O33:P33"/>
    <mergeCell ref="O36:P36"/>
    <mergeCell ref="C104:D104"/>
    <mergeCell ref="I104:J104"/>
    <mergeCell ref="C105:D105"/>
    <mergeCell ref="I105:J105"/>
    <mergeCell ref="AB97:AC97"/>
    <mergeCell ref="C102:D102"/>
    <mergeCell ref="E102:F102"/>
    <mergeCell ref="G102:H102"/>
    <mergeCell ref="I102:J102"/>
    <mergeCell ref="K102:L102"/>
    <mergeCell ref="O97:P97"/>
    <mergeCell ref="O102:P102"/>
    <mergeCell ref="M102:N102"/>
    <mergeCell ref="AB102:AC102"/>
    <mergeCell ref="C97:D97"/>
    <mergeCell ref="E97:F97"/>
    <mergeCell ref="S102:T102"/>
    <mergeCell ref="G97:H97"/>
    <mergeCell ref="I97:J97"/>
    <mergeCell ref="K97:L97"/>
    <mergeCell ref="C67:D67"/>
    <mergeCell ref="E67:F67"/>
    <mergeCell ref="C25:D25"/>
    <mergeCell ref="E25:F25"/>
    <mergeCell ref="G25:H25"/>
    <mergeCell ref="M7:N7"/>
    <mergeCell ref="M25:N25"/>
    <mergeCell ref="M40:N40"/>
    <mergeCell ref="M67:N67"/>
    <mergeCell ref="M33:N33"/>
    <mergeCell ref="M36:N36"/>
    <mergeCell ref="E40:F40"/>
    <mergeCell ref="C40:D40"/>
    <mergeCell ref="C34:D34"/>
    <mergeCell ref="E34:F34"/>
    <mergeCell ref="C35:D35"/>
    <mergeCell ref="E35:F35"/>
    <mergeCell ref="C36:D36"/>
    <mergeCell ref="K7:L7"/>
    <mergeCell ref="K25:L25"/>
    <mergeCell ref="G67:H67"/>
    <mergeCell ref="I25:J25"/>
    <mergeCell ref="AB33:AC33"/>
    <mergeCell ref="K36:L36"/>
    <mergeCell ref="C33:D33"/>
    <mergeCell ref="E33:F33"/>
    <mergeCell ref="G33:H33"/>
    <mergeCell ref="E36:F36"/>
    <mergeCell ref="AB67:AC67"/>
    <mergeCell ref="O40:P40"/>
    <mergeCell ref="O67:P67"/>
    <mergeCell ref="I33:J33"/>
    <mergeCell ref="G34:H34"/>
    <mergeCell ref="I34:J34"/>
    <mergeCell ref="G35:H35"/>
    <mergeCell ref="I35:J35"/>
    <mergeCell ref="I40:J40"/>
    <mergeCell ref="I67:J67"/>
    <mergeCell ref="W40:X40"/>
    <mergeCell ref="W67:X67"/>
    <mergeCell ref="K40:L40"/>
    <mergeCell ref="K67:L67"/>
    <mergeCell ref="K33:L33"/>
    <mergeCell ref="G36:H36"/>
    <mergeCell ref="I36:J36"/>
    <mergeCell ref="G40:H40"/>
    <mergeCell ref="Q97:R97"/>
    <mergeCell ref="Q102:R102"/>
    <mergeCell ref="Q7:R7"/>
    <mergeCell ref="Q25:R25"/>
    <mergeCell ref="Q33:R33"/>
    <mergeCell ref="Q36:R36"/>
    <mergeCell ref="Q40:R40"/>
    <mergeCell ref="Q67:R67"/>
    <mergeCell ref="S97:T97"/>
    <mergeCell ref="Y7:Z7"/>
    <mergeCell ref="Y25:Z25"/>
    <mergeCell ref="Y33:Z33"/>
    <mergeCell ref="Y36:Z36"/>
    <mergeCell ref="Y40:Z40"/>
    <mergeCell ref="Y67:Z67"/>
    <mergeCell ref="Y97:Z97"/>
    <mergeCell ref="Y102:Z102"/>
    <mergeCell ref="S7:T7"/>
    <mergeCell ref="S25:T25"/>
    <mergeCell ref="S33:T33"/>
    <mergeCell ref="S36:T36"/>
    <mergeCell ref="S40:T40"/>
    <mergeCell ref="S67:T67"/>
  </mergeCells>
  <phoneticPr fontId="3" type="noConversion"/>
  <printOptions horizontalCentered="1"/>
  <pageMargins left="0.5" right="0.5" top="0.5" bottom="0.5" header="0.5" footer="0.25"/>
  <pageSetup scale="68" orientation="landscape" r:id="rId1"/>
  <headerFooter alignWithMargins="0">
    <oddFooter>&amp;R&amp;P of &amp;N
&amp;D</oddFooter>
  </headerFooter>
  <rowBreaks count="1" manualBreakCount="1">
    <brk id="64" max="16383" man="1"/>
  </rowBreaks>
  <ignoredErrors>
    <ignoredError sqref="K84:M91 M94 K77:M82 S77:S94 U77:U96 T94 W77:W95 V8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7"/>
  <sheetViews>
    <sheetView view="pageBreakPreview" zoomScaleNormal="100" workbookViewId="0">
      <pane xSplit="2" ySplit="1" topLeftCell="C2" activePane="bottomRight" state="frozen"/>
      <selection activeCell="AF81" sqref="AF81"/>
      <selection pane="topRight" activeCell="AF81" sqref="AF81"/>
      <selection pane="bottomLeft" activeCell="AF81" sqref="AF81"/>
      <selection pane="bottomRight" activeCell="AF81" sqref="AF81"/>
    </sheetView>
  </sheetViews>
  <sheetFormatPr defaultColWidth="10.28515625" defaultRowHeight="12.75" x14ac:dyDescent="0.2"/>
  <cols>
    <col min="1" max="1" width="3.7109375" customWidth="1"/>
    <col min="2" max="2" width="29.7109375" customWidth="1"/>
    <col min="3" max="3" width="7.7109375" hidden="1" customWidth="1"/>
    <col min="4" max="4" width="10.85546875" hidden="1" customWidth="1"/>
    <col min="5" max="5" width="7.7109375" hidden="1" customWidth="1"/>
    <col min="6" max="6" width="10.85546875" hidden="1" customWidth="1"/>
    <col min="7" max="7" width="7.7109375" style="115" hidden="1" customWidth="1"/>
    <col min="8" max="8" width="10.85546875" style="115" hidden="1" customWidth="1"/>
    <col min="9" max="9" width="7.7109375" style="115" hidden="1" customWidth="1"/>
    <col min="10" max="10" width="10.85546875" style="115" hidden="1" customWidth="1"/>
    <col min="11" max="11" width="7.7109375" hidden="1" customWidth="1"/>
    <col min="12" max="12" width="10.85546875" hidden="1" customWidth="1"/>
    <col min="13" max="13" width="7.7109375" hidden="1" customWidth="1"/>
    <col min="14" max="14" width="10.85546875" hidden="1" customWidth="1"/>
    <col min="15" max="15" width="7.7109375" customWidth="1"/>
    <col min="16" max="16" width="10.85546875" customWidth="1"/>
    <col min="17" max="17" width="7.7109375" customWidth="1"/>
    <col min="18" max="18" width="10.85546875" customWidth="1"/>
    <col min="19" max="19" width="7.7109375" customWidth="1"/>
    <col min="20" max="20" width="10.85546875" customWidth="1"/>
    <col min="21" max="21" width="7.7109375" customWidth="1"/>
    <col min="22" max="22" width="10.85546875" customWidth="1"/>
    <col min="23" max="23" width="7.7109375" customWidth="1"/>
    <col min="24" max="24" width="10.85546875" customWidth="1"/>
    <col min="25" max="25" width="7.7109375" customWidth="1"/>
    <col min="26" max="26" width="10.85546875" customWidth="1"/>
    <col min="27" max="27" width="1.7109375" customWidth="1"/>
    <col min="28" max="28" width="7.7109375" customWidth="1"/>
    <col min="29" max="29" width="10.85546875" customWidth="1"/>
    <col min="30" max="30" width="1.28515625" customWidth="1"/>
  </cols>
  <sheetData>
    <row r="1" spans="1:31" ht="18" x14ac:dyDescent="0.25">
      <c r="A1" s="1183" t="str">
        <f>Dean_AS!A1</f>
        <v>Department Profile Report - FY 2015</v>
      </c>
      <c r="B1" s="1183"/>
      <c r="C1" s="1183"/>
      <c r="D1" s="1183"/>
      <c r="E1" s="1183"/>
      <c r="F1" s="1183"/>
      <c r="G1" s="1183"/>
      <c r="H1" s="1183"/>
      <c r="I1" s="1181"/>
      <c r="J1" s="1181"/>
      <c r="K1" s="1182"/>
      <c r="L1" s="1182"/>
      <c r="M1" s="1182"/>
      <c r="N1" s="1182"/>
      <c r="O1" s="1182"/>
      <c r="P1" s="1182"/>
      <c r="Q1" s="1182"/>
      <c r="R1" s="1182"/>
      <c r="S1" s="1182"/>
      <c r="T1" s="1182"/>
      <c r="U1" s="1182"/>
      <c r="V1" s="1182"/>
      <c r="W1" s="1182"/>
      <c r="X1" s="1182"/>
      <c r="Y1" s="1182"/>
      <c r="Z1" s="1182"/>
      <c r="AA1" s="1182"/>
      <c r="AB1" s="1182"/>
      <c r="AC1" s="1182"/>
    </row>
    <row r="2" spans="1:31" ht="8.25" customHeight="1" x14ac:dyDescent="0.2">
      <c r="B2" s="3"/>
      <c r="C2" s="3"/>
      <c r="D2" s="3"/>
      <c r="E2" s="3"/>
      <c r="F2" s="3"/>
      <c r="G2" s="117"/>
      <c r="H2" s="117"/>
      <c r="I2" s="117"/>
      <c r="J2" s="117"/>
    </row>
    <row r="3" spans="1:31" x14ac:dyDescent="0.2">
      <c r="A3" s="2" t="s">
        <v>18</v>
      </c>
      <c r="B3" s="117"/>
      <c r="C3" s="3"/>
      <c r="D3" s="3"/>
      <c r="E3" s="3"/>
      <c r="F3" s="3"/>
      <c r="G3" s="117"/>
      <c r="H3" s="117"/>
      <c r="I3" s="117"/>
      <c r="J3" s="117"/>
    </row>
    <row r="4" spans="1:31" ht="8.25" customHeight="1" x14ac:dyDescent="0.2">
      <c r="B4" s="3"/>
      <c r="C4" s="3"/>
      <c r="D4" s="3"/>
      <c r="E4" s="3"/>
      <c r="F4" s="3"/>
      <c r="G4" s="117"/>
      <c r="H4" s="117"/>
      <c r="I4" s="117"/>
      <c r="J4" s="117"/>
    </row>
    <row r="5" spans="1:31" x14ac:dyDescent="0.2">
      <c r="A5" s="2" t="s">
        <v>77</v>
      </c>
      <c r="B5" s="3"/>
      <c r="C5" s="3"/>
      <c r="D5" s="3"/>
      <c r="E5" s="3"/>
      <c r="F5" s="3"/>
      <c r="G5" s="117"/>
      <c r="H5" s="117"/>
      <c r="I5" s="117"/>
      <c r="J5" s="117"/>
    </row>
    <row r="6" spans="1:31" ht="13.5" thickBot="1" x14ac:dyDescent="0.25">
      <c r="A6" s="2"/>
      <c r="B6" s="3"/>
      <c r="C6" s="3"/>
      <c r="D6" s="3"/>
      <c r="E6" s="3"/>
      <c r="F6" s="3"/>
      <c r="G6" s="117"/>
      <c r="H6" s="117"/>
      <c r="I6" s="117"/>
      <c r="J6" s="117"/>
    </row>
    <row r="7" spans="1:31" ht="14.25" thickTop="1" thickBot="1" x14ac:dyDescent="0.25">
      <c r="B7" s="22"/>
      <c r="C7" s="29" t="s">
        <v>49</v>
      </c>
      <c r="D7" s="51"/>
      <c r="E7" s="29" t="s">
        <v>50</v>
      </c>
      <c r="F7" s="7"/>
      <c r="G7" s="302" t="s">
        <v>141</v>
      </c>
      <c r="H7" s="121"/>
      <c r="I7" s="1968" t="s">
        <v>152</v>
      </c>
      <c r="J7" s="1980"/>
      <c r="K7" s="1968" t="s">
        <v>154</v>
      </c>
      <c r="L7" s="1968"/>
      <c r="M7" s="1994" t="s">
        <v>171</v>
      </c>
      <c r="N7" s="1980"/>
      <c r="O7" s="1968" t="s">
        <v>227</v>
      </c>
      <c r="P7" s="1980"/>
      <c r="Q7" s="1968" t="s">
        <v>237</v>
      </c>
      <c r="R7" s="1980"/>
      <c r="S7" s="1968" t="s">
        <v>272</v>
      </c>
      <c r="T7" s="1980"/>
      <c r="U7" s="1968" t="s">
        <v>274</v>
      </c>
      <c r="V7" s="1980"/>
      <c r="W7" s="1968" t="s">
        <v>280</v>
      </c>
      <c r="X7" s="1980"/>
      <c r="Y7" s="1968" t="s">
        <v>290</v>
      </c>
      <c r="Z7" s="1969"/>
      <c r="AB7" s="2003" t="s">
        <v>213</v>
      </c>
      <c r="AC7" s="2004"/>
    </row>
    <row r="8" spans="1:31" x14ac:dyDescent="0.2">
      <c r="B8" s="71"/>
      <c r="C8" s="42" t="s">
        <v>1</v>
      </c>
      <c r="D8" s="47" t="s">
        <v>2</v>
      </c>
      <c r="E8" s="42" t="s">
        <v>1</v>
      </c>
      <c r="F8" s="8" t="s">
        <v>2</v>
      </c>
      <c r="G8" s="303" t="s">
        <v>1</v>
      </c>
      <c r="H8" s="125" t="s">
        <v>2</v>
      </c>
      <c r="I8" s="124" t="s">
        <v>1</v>
      </c>
      <c r="J8" s="125" t="s">
        <v>2</v>
      </c>
      <c r="K8" s="124" t="s">
        <v>1</v>
      </c>
      <c r="L8" s="300" t="s">
        <v>2</v>
      </c>
      <c r="M8" s="303" t="s">
        <v>1</v>
      </c>
      <c r="N8" s="125" t="s">
        <v>2</v>
      </c>
      <c r="O8" s="124" t="s">
        <v>1</v>
      </c>
      <c r="P8" s="125" t="s">
        <v>2</v>
      </c>
      <c r="Q8" s="124" t="s">
        <v>1</v>
      </c>
      <c r="R8" s="125" t="s">
        <v>2</v>
      </c>
      <c r="S8" s="124" t="s">
        <v>1</v>
      </c>
      <c r="T8" s="125" t="s">
        <v>2</v>
      </c>
      <c r="U8" s="124" t="s">
        <v>1</v>
      </c>
      <c r="V8" s="125" t="s">
        <v>2</v>
      </c>
      <c r="W8" s="124" t="s">
        <v>1</v>
      </c>
      <c r="X8" s="125" t="s">
        <v>2</v>
      </c>
      <c r="Y8" s="124" t="s">
        <v>1</v>
      </c>
      <c r="Z8" s="126" t="s">
        <v>2</v>
      </c>
      <c r="AB8" s="921" t="s">
        <v>214</v>
      </c>
      <c r="AC8" s="922" t="s">
        <v>215</v>
      </c>
    </row>
    <row r="9" spans="1:31" ht="13.5" thickBot="1" x14ac:dyDescent="0.25">
      <c r="B9" s="72"/>
      <c r="C9" s="46" t="s">
        <v>3</v>
      </c>
      <c r="D9" s="48" t="s">
        <v>4</v>
      </c>
      <c r="E9" s="46" t="s">
        <v>3</v>
      </c>
      <c r="F9" s="26" t="s">
        <v>4</v>
      </c>
      <c r="G9" s="304" t="s">
        <v>3</v>
      </c>
      <c r="H9" s="123" t="s">
        <v>4</v>
      </c>
      <c r="I9" s="127" t="s">
        <v>3</v>
      </c>
      <c r="J9" s="123" t="s">
        <v>4</v>
      </c>
      <c r="K9" s="127" t="s">
        <v>3</v>
      </c>
      <c r="L9" s="301" t="s">
        <v>4</v>
      </c>
      <c r="M9" s="304" t="s">
        <v>3</v>
      </c>
      <c r="N9" s="123" t="s">
        <v>4</v>
      </c>
      <c r="O9" s="127" t="s">
        <v>3</v>
      </c>
      <c r="P9" s="123" t="s">
        <v>4</v>
      </c>
      <c r="Q9" s="127" t="s">
        <v>3</v>
      </c>
      <c r="R9" s="123" t="s">
        <v>4</v>
      </c>
      <c r="S9" s="127" t="s">
        <v>3</v>
      </c>
      <c r="T9" s="123" t="s">
        <v>4</v>
      </c>
      <c r="U9" s="127" t="s">
        <v>3</v>
      </c>
      <c r="V9" s="123" t="s">
        <v>4</v>
      </c>
      <c r="W9" s="127" t="s">
        <v>3</v>
      </c>
      <c r="X9" s="123" t="s">
        <v>4</v>
      </c>
      <c r="Y9" s="127" t="s">
        <v>3</v>
      </c>
      <c r="Z9" s="128" t="s">
        <v>4</v>
      </c>
      <c r="AB9" s="923" t="s">
        <v>3</v>
      </c>
      <c r="AC9" s="924" t="s">
        <v>4</v>
      </c>
    </row>
    <row r="10" spans="1:31" x14ac:dyDescent="0.2">
      <c r="B10" s="73" t="s">
        <v>5</v>
      </c>
      <c r="C10" s="15"/>
      <c r="D10" s="49"/>
      <c r="E10" s="15"/>
      <c r="F10" s="13"/>
      <c r="G10" s="305"/>
      <c r="H10" s="131"/>
      <c r="I10" s="130"/>
      <c r="J10" s="131"/>
      <c r="K10" s="130"/>
      <c r="L10" s="150"/>
      <c r="M10" s="305"/>
      <c r="N10" s="131"/>
      <c r="O10" s="130"/>
      <c r="P10" s="131"/>
      <c r="Q10" s="130"/>
      <c r="R10" s="131"/>
      <c r="S10" s="130"/>
      <c r="T10" s="131"/>
      <c r="U10" s="130"/>
      <c r="V10" s="131"/>
      <c r="W10" s="130"/>
      <c r="X10" s="131"/>
      <c r="Y10" s="130"/>
      <c r="Z10" s="296"/>
      <c r="AB10" s="925"/>
      <c r="AC10" s="581"/>
    </row>
    <row r="11" spans="1:31" x14ac:dyDescent="0.2">
      <c r="B11" s="74" t="s">
        <v>31</v>
      </c>
      <c r="C11" s="14"/>
      <c r="D11" s="50"/>
      <c r="E11" s="14"/>
      <c r="F11" s="9"/>
      <c r="G11" s="318"/>
      <c r="H11" s="405"/>
      <c r="I11" s="404"/>
      <c r="J11" s="405"/>
      <c r="K11" s="404"/>
      <c r="L11" s="129"/>
      <c r="M11" s="318"/>
      <c r="N11" s="405"/>
      <c r="O11" s="404"/>
      <c r="P11" s="405"/>
      <c r="Q11" s="404"/>
      <c r="R11" s="405"/>
      <c r="S11" s="404"/>
      <c r="T11" s="405"/>
      <c r="U11" s="404"/>
      <c r="V11" s="405"/>
      <c r="W11" s="404"/>
      <c r="X11" s="405"/>
      <c r="Y11" s="404"/>
      <c r="Z11" s="291"/>
      <c r="AB11" s="926"/>
      <c r="AC11" s="927"/>
    </row>
    <row r="12" spans="1:31" s="617" customFormat="1" x14ac:dyDescent="0.2">
      <c r="B12" s="654" t="s">
        <v>221</v>
      </c>
      <c r="C12" s="1077">
        <v>48</v>
      </c>
      <c r="D12" s="1078">
        <v>4</v>
      </c>
      <c r="E12" s="1077">
        <f>55+6</f>
        <v>61</v>
      </c>
      <c r="F12" s="1079">
        <v>4</v>
      </c>
      <c r="G12" s="1080">
        <v>69</v>
      </c>
      <c r="H12" s="1081">
        <f>5+1</f>
        <v>6</v>
      </c>
      <c r="I12" s="1082">
        <v>82</v>
      </c>
      <c r="J12" s="1081">
        <f>9+2</f>
        <v>11</v>
      </c>
      <c r="K12" s="1082">
        <v>88</v>
      </c>
      <c r="L12" s="1083">
        <f>11+1</f>
        <v>12</v>
      </c>
      <c r="M12" s="1080">
        <f>68+10</f>
        <v>78</v>
      </c>
      <c r="N12" s="663">
        <v>10</v>
      </c>
      <c r="O12" s="1082">
        <v>60</v>
      </c>
      <c r="P12" s="663">
        <v>5</v>
      </c>
      <c r="Q12" s="1082">
        <v>84</v>
      </c>
      <c r="R12" s="663">
        <v>10</v>
      </c>
      <c r="S12" s="1082">
        <v>85</v>
      </c>
      <c r="T12" s="663">
        <v>9</v>
      </c>
      <c r="U12" s="1082">
        <v>104</v>
      </c>
      <c r="V12" s="663">
        <v>10</v>
      </c>
      <c r="W12" s="1082">
        <v>117</v>
      </c>
      <c r="X12" s="663">
        <v>14</v>
      </c>
      <c r="Y12" s="1082">
        <v>122</v>
      </c>
      <c r="Z12" s="1646"/>
      <c r="AB12" s="926">
        <f>AVERAGE(U12,S12,Q12,Y12,W12)</f>
        <v>102.4</v>
      </c>
      <c r="AC12" s="928">
        <f>AVERAGE(V12,T12,R12,P12,X12)</f>
        <v>9.6</v>
      </c>
    </row>
    <row r="13" spans="1:31" s="617" customFormat="1" x14ac:dyDescent="0.2">
      <c r="B13" s="669" t="s">
        <v>80</v>
      </c>
      <c r="C13" s="1084">
        <v>1</v>
      </c>
      <c r="D13" s="1085">
        <v>0</v>
      </c>
      <c r="E13" s="1086">
        <v>3</v>
      </c>
      <c r="F13" s="1087">
        <v>0</v>
      </c>
      <c r="G13" s="1080">
        <v>9</v>
      </c>
      <c r="H13" s="1088">
        <v>1</v>
      </c>
      <c r="I13" s="1082">
        <v>8</v>
      </c>
      <c r="J13" s="1088">
        <v>1</v>
      </c>
      <c r="K13" s="1082">
        <v>3</v>
      </c>
      <c r="L13" s="1089">
        <v>1</v>
      </c>
      <c r="M13" s="1080">
        <v>4</v>
      </c>
      <c r="N13" s="729">
        <v>6</v>
      </c>
      <c r="O13" s="1082">
        <v>7</v>
      </c>
      <c r="P13" s="729">
        <v>6</v>
      </c>
      <c r="Q13" s="1082">
        <v>13</v>
      </c>
      <c r="R13" s="729">
        <v>4</v>
      </c>
      <c r="S13" s="1082">
        <v>18</v>
      </c>
      <c r="T13" s="729">
        <v>12</v>
      </c>
      <c r="U13" s="1082">
        <v>18</v>
      </c>
      <c r="V13" s="729">
        <v>6</v>
      </c>
      <c r="W13" s="1082">
        <v>24</v>
      </c>
      <c r="X13" s="729">
        <v>15</v>
      </c>
      <c r="Y13" s="1082">
        <v>18</v>
      </c>
      <c r="Z13" s="1647"/>
      <c r="AB13" s="926">
        <f t="shared" ref="AB13:AB15" si="0">AVERAGE(U13,S13,Q13,Y13,W13)</f>
        <v>18.2</v>
      </c>
      <c r="AC13" s="928">
        <f t="shared" ref="AC13:AC15" si="1">AVERAGE(V13,T13,R13,P13,X13)</f>
        <v>8.6</v>
      </c>
    </row>
    <row r="14" spans="1:31" s="617" customFormat="1" x14ac:dyDescent="0.2">
      <c r="B14" s="669" t="s">
        <v>167</v>
      </c>
      <c r="C14" s="1086">
        <v>4</v>
      </c>
      <c r="D14" s="1085">
        <v>3</v>
      </c>
      <c r="E14" s="1086">
        <v>3</v>
      </c>
      <c r="F14" s="1087">
        <v>3</v>
      </c>
      <c r="G14" s="1080">
        <v>2</v>
      </c>
      <c r="H14" s="1088">
        <v>1</v>
      </c>
      <c r="I14" s="1082">
        <v>1</v>
      </c>
      <c r="J14" s="1088">
        <v>3</v>
      </c>
      <c r="K14" s="1082">
        <v>4</v>
      </c>
      <c r="L14" s="1089">
        <v>5</v>
      </c>
      <c r="M14" s="1080">
        <v>2</v>
      </c>
      <c r="N14" s="729">
        <v>3</v>
      </c>
      <c r="O14" s="1082">
        <v>3</v>
      </c>
      <c r="P14" s="729">
        <v>1</v>
      </c>
      <c r="Q14" s="1082">
        <v>3</v>
      </c>
      <c r="R14" s="729">
        <v>2</v>
      </c>
      <c r="S14" s="1082">
        <v>5</v>
      </c>
      <c r="T14" s="729">
        <v>5</v>
      </c>
      <c r="U14" s="1082">
        <v>1</v>
      </c>
      <c r="V14" s="729">
        <v>3</v>
      </c>
      <c r="W14" s="1082">
        <v>1</v>
      </c>
      <c r="X14" s="729">
        <v>2</v>
      </c>
      <c r="Y14" s="1082">
        <v>4</v>
      </c>
      <c r="Z14" s="1647"/>
      <c r="AB14" s="926">
        <f t="shared" si="0"/>
        <v>2.8</v>
      </c>
      <c r="AC14" s="928">
        <f t="shared" si="1"/>
        <v>2.6</v>
      </c>
      <c r="AE14" s="617" t="s">
        <v>29</v>
      </c>
    </row>
    <row r="15" spans="1:31" s="617" customFormat="1" ht="13.5" thickBot="1" x14ac:dyDescent="0.25">
      <c r="B15" s="737" t="s">
        <v>6</v>
      </c>
      <c r="C15" s="1090">
        <v>48</v>
      </c>
      <c r="D15" s="1091">
        <v>5</v>
      </c>
      <c r="E15" s="1090">
        <v>57</v>
      </c>
      <c r="F15" s="1092">
        <v>5</v>
      </c>
      <c r="G15" s="1093">
        <v>68</v>
      </c>
      <c r="H15" s="1094">
        <v>7</v>
      </c>
      <c r="I15" s="1095">
        <f>47+22</f>
        <v>69</v>
      </c>
      <c r="J15" s="1094">
        <v>9</v>
      </c>
      <c r="K15" s="1095">
        <v>72</v>
      </c>
      <c r="L15" s="1096">
        <v>7</v>
      </c>
      <c r="M15" s="1093">
        <v>73</v>
      </c>
      <c r="N15" s="716">
        <v>11</v>
      </c>
      <c r="O15" s="1095">
        <v>64</v>
      </c>
      <c r="P15" s="716">
        <v>15</v>
      </c>
      <c r="Q15" s="1095">
        <v>64</v>
      </c>
      <c r="R15" s="716">
        <v>10</v>
      </c>
      <c r="S15" s="1095">
        <v>66</v>
      </c>
      <c r="T15" s="716">
        <v>9</v>
      </c>
      <c r="U15" s="1095">
        <v>70</v>
      </c>
      <c r="V15" s="716">
        <v>9</v>
      </c>
      <c r="W15" s="1095">
        <v>64</v>
      </c>
      <c r="X15" s="716">
        <v>12</v>
      </c>
      <c r="Y15" s="1095">
        <v>61</v>
      </c>
      <c r="Z15" s="1648"/>
      <c r="AB15" s="926">
        <f t="shared" si="0"/>
        <v>65</v>
      </c>
      <c r="AC15" s="928">
        <f t="shared" si="1"/>
        <v>11</v>
      </c>
    </row>
    <row r="16" spans="1:31" s="617" customFormat="1" ht="14.25" hidden="1" thickTop="1" thickBot="1" x14ac:dyDescent="0.25">
      <c r="B16" s="1865" t="s">
        <v>32</v>
      </c>
      <c r="C16" s="1866"/>
      <c r="D16" s="1867"/>
      <c r="E16" s="1866"/>
      <c r="F16" s="1868"/>
      <c r="G16" s="1869"/>
      <c r="H16" s="1870"/>
      <c r="I16" s="1871"/>
      <c r="J16" s="1870"/>
      <c r="K16" s="1871"/>
      <c r="L16" s="1872"/>
      <c r="M16" s="1869"/>
      <c r="N16" s="1424"/>
      <c r="O16" s="1871"/>
      <c r="P16" s="1424"/>
      <c r="Q16" s="1871"/>
      <c r="R16" s="1424"/>
      <c r="S16" s="1871"/>
      <c r="T16" s="1424"/>
      <c r="U16" s="1871"/>
      <c r="V16" s="1424"/>
      <c r="W16" s="1871"/>
      <c r="X16" s="1873"/>
      <c r="Y16" s="1871"/>
      <c r="Z16" s="1873"/>
      <c r="AB16" s="926"/>
      <c r="AC16" s="928"/>
    </row>
    <row r="17" spans="1:32" s="617" customFormat="1" ht="14.25" hidden="1" thickTop="1" thickBot="1" x14ac:dyDescent="0.25">
      <c r="B17" s="784" t="s">
        <v>267</v>
      </c>
      <c r="C17" s="1090">
        <v>10</v>
      </c>
      <c r="D17" s="1091">
        <v>6</v>
      </c>
      <c r="E17" s="1090">
        <f>9+2</f>
        <v>11</v>
      </c>
      <c r="F17" s="1092">
        <v>6</v>
      </c>
      <c r="G17" s="1093">
        <v>6</v>
      </c>
      <c r="H17" s="1094">
        <v>6</v>
      </c>
      <c r="I17" s="1095">
        <v>8</v>
      </c>
      <c r="J17" s="1094">
        <f>3+3</f>
        <v>6</v>
      </c>
      <c r="K17" s="1095">
        <v>1</v>
      </c>
      <c r="L17" s="1096">
        <v>1</v>
      </c>
      <c r="M17" s="1533"/>
      <c r="N17" s="763"/>
      <c r="O17" s="1534"/>
      <c r="P17" s="763"/>
      <c r="Q17" s="1534"/>
      <c r="R17" s="763"/>
      <c r="S17" s="1534"/>
      <c r="T17" s="763"/>
      <c r="U17" s="1864"/>
      <c r="V17" s="1684"/>
      <c r="W17" s="1534"/>
      <c r="X17" s="1232"/>
      <c r="Y17" s="1534"/>
      <c r="Z17" s="1232"/>
      <c r="AB17" s="1628"/>
      <c r="AC17" s="1629"/>
    </row>
    <row r="18" spans="1:32" ht="13.5" thickTop="1" x14ac:dyDescent="0.2">
      <c r="B18" s="70" t="s">
        <v>170</v>
      </c>
      <c r="C18" s="33"/>
      <c r="D18" s="34"/>
      <c r="E18" s="33"/>
      <c r="F18" s="34"/>
      <c r="G18" s="133"/>
      <c r="H18" s="135"/>
      <c r="I18" s="133"/>
      <c r="J18" s="135"/>
      <c r="K18" s="133"/>
      <c r="L18" s="135"/>
      <c r="M18" s="133"/>
      <c r="N18" s="135"/>
      <c r="O18" s="133"/>
      <c r="P18" s="135"/>
      <c r="Q18" s="133"/>
      <c r="R18" s="135"/>
      <c r="S18" s="133"/>
      <c r="T18" s="135"/>
      <c r="U18" s="133"/>
      <c r="V18" s="135"/>
      <c r="W18" s="133"/>
      <c r="X18" s="135"/>
      <c r="Y18" s="133"/>
      <c r="Z18" s="135"/>
      <c r="AB18" s="1238"/>
      <c r="AC18" s="1551"/>
    </row>
    <row r="19" spans="1:32" ht="9" customHeight="1" thickBot="1" x14ac:dyDescent="0.25">
      <c r="B19" s="3"/>
      <c r="C19" s="33"/>
      <c r="D19" s="34"/>
      <c r="E19" s="33"/>
      <c r="F19" s="34"/>
      <c r="G19" s="133"/>
      <c r="H19" s="135"/>
      <c r="I19" s="133"/>
      <c r="J19" s="135"/>
      <c r="K19" s="133"/>
      <c r="L19" s="135"/>
      <c r="M19" s="133"/>
      <c r="N19" s="135"/>
      <c r="O19" s="133"/>
      <c r="P19" s="135"/>
      <c r="Q19" s="133"/>
      <c r="R19" s="135"/>
      <c r="S19" s="133"/>
      <c r="T19" s="135"/>
      <c r="U19" s="133"/>
      <c r="V19" s="135"/>
      <c r="W19" s="133"/>
      <c r="X19" s="135"/>
      <c r="Y19" s="133"/>
      <c r="Z19" s="135"/>
      <c r="AB19" s="668"/>
      <c r="AC19" s="494"/>
    </row>
    <row r="20" spans="1:32" ht="14.25" thickTop="1" thickBot="1" x14ac:dyDescent="0.25">
      <c r="B20" s="19"/>
      <c r="C20" s="2013" t="s">
        <v>49</v>
      </c>
      <c r="D20" s="2014"/>
      <c r="E20" s="2015" t="s">
        <v>50</v>
      </c>
      <c r="F20" s="2015"/>
      <c r="G20" s="2002" t="s">
        <v>141</v>
      </c>
      <c r="H20" s="1982"/>
      <c r="I20" s="2002" t="s">
        <v>152</v>
      </c>
      <c r="J20" s="1982"/>
      <c r="K20" s="1974" t="s">
        <v>154</v>
      </c>
      <c r="L20" s="1974"/>
      <c r="M20" s="2002" t="s">
        <v>171</v>
      </c>
      <c r="N20" s="1982"/>
      <c r="O20" s="1974" t="s">
        <v>227</v>
      </c>
      <c r="P20" s="1982"/>
      <c r="Q20" s="1974" t="s">
        <v>237</v>
      </c>
      <c r="R20" s="1982"/>
      <c r="S20" s="1974" t="s">
        <v>272</v>
      </c>
      <c r="T20" s="1982"/>
      <c r="U20" s="1974" t="s">
        <v>274</v>
      </c>
      <c r="V20" s="1982"/>
      <c r="W20" s="1974" t="s">
        <v>280</v>
      </c>
      <c r="X20" s="1982"/>
      <c r="Y20" s="1974" t="s">
        <v>290</v>
      </c>
      <c r="Z20" s="1975"/>
      <c r="AB20" s="2003" t="s">
        <v>213</v>
      </c>
      <c r="AC20" s="2004"/>
      <c r="AF20" t="s">
        <v>29</v>
      </c>
    </row>
    <row r="21" spans="1:32" x14ac:dyDescent="0.2">
      <c r="B21" s="16" t="s">
        <v>7</v>
      </c>
      <c r="C21" s="54"/>
      <c r="D21" s="92"/>
      <c r="E21" s="30"/>
      <c r="F21" s="30"/>
      <c r="G21" s="243"/>
      <c r="H21" s="244"/>
      <c r="I21" s="243"/>
      <c r="J21" s="244"/>
      <c r="K21" s="138"/>
      <c r="L21" s="138"/>
      <c r="M21" s="243"/>
      <c r="N21" s="244"/>
      <c r="O21" s="138"/>
      <c r="P21" s="244"/>
      <c r="Q21" s="138"/>
      <c r="R21" s="244"/>
      <c r="S21" s="138"/>
      <c r="T21" s="244"/>
      <c r="U21" s="138"/>
      <c r="V21" s="244"/>
      <c r="W21" s="138"/>
      <c r="X21" s="244"/>
      <c r="Y21" s="138"/>
      <c r="Z21" s="140"/>
      <c r="AB21" s="831"/>
      <c r="AC21" s="930"/>
    </row>
    <row r="22" spans="1:32" x14ac:dyDescent="0.2">
      <c r="B22" s="6" t="s">
        <v>8</v>
      </c>
      <c r="C22" s="184"/>
      <c r="D22" s="93"/>
      <c r="E22" s="31"/>
      <c r="F22" s="31"/>
      <c r="G22" s="239"/>
      <c r="H22" s="245"/>
      <c r="I22" s="239"/>
      <c r="J22" s="245"/>
      <c r="K22" s="139"/>
      <c r="L22" s="139"/>
      <c r="M22" s="239"/>
      <c r="N22" s="245"/>
      <c r="O22" s="139"/>
      <c r="P22" s="245"/>
      <c r="Q22" s="139"/>
      <c r="R22" s="245"/>
      <c r="S22" s="139"/>
      <c r="T22" s="245"/>
      <c r="U22" s="139"/>
      <c r="V22" s="245"/>
      <c r="W22" s="139"/>
      <c r="X22" s="245"/>
      <c r="Y22" s="139"/>
      <c r="Z22" s="141"/>
      <c r="AB22" s="831"/>
      <c r="AC22" s="930"/>
    </row>
    <row r="23" spans="1:32" x14ac:dyDescent="0.2">
      <c r="B23" s="6" t="s">
        <v>9</v>
      </c>
      <c r="C23" s="184"/>
      <c r="D23" s="165">
        <v>11813</v>
      </c>
      <c r="E23" s="31"/>
      <c r="F23" s="171">
        <v>11825</v>
      </c>
      <c r="G23" s="239"/>
      <c r="H23" s="261">
        <v>12033</v>
      </c>
      <c r="I23" s="239"/>
      <c r="J23" s="261">
        <v>11746</v>
      </c>
      <c r="K23" s="139"/>
      <c r="L23" s="183">
        <v>11643</v>
      </c>
      <c r="M23" s="239"/>
      <c r="N23" s="261">
        <v>12143</v>
      </c>
      <c r="O23" s="139"/>
      <c r="P23" s="261">
        <v>12314</v>
      </c>
      <c r="Q23" s="139"/>
      <c r="R23" s="261">
        <v>12813</v>
      </c>
      <c r="S23" s="139"/>
      <c r="T23" s="261">
        <v>12288</v>
      </c>
      <c r="U23" s="139"/>
      <c r="V23" s="261">
        <v>14448</v>
      </c>
      <c r="W23" s="139"/>
      <c r="X23" s="261">
        <v>14822</v>
      </c>
      <c r="Y23" s="139"/>
      <c r="Z23" s="1649"/>
      <c r="AB23" s="24"/>
      <c r="AC23" s="947">
        <f t="shared" ref="AC23:AC26" si="2">AVERAGE(V23,T23,R23,P23,X23)</f>
        <v>13337</v>
      </c>
    </row>
    <row r="24" spans="1:32" x14ac:dyDescent="0.2">
      <c r="B24" s="6" t="s">
        <v>10</v>
      </c>
      <c r="C24" s="184"/>
      <c r="D24" s="165">
        <v>2871</v>
      </c>
      <c r="E24" s="31"/>
      <c r="F24" s="171">
        <v>3037</v>
      </c>
      <c r="G24" s="239"/>
      <c r="H24" s="261">
        <v>3004</v>
      </c>
      <c r="I24" s="239"/>
      <c r="J24" s="261">
        <v>3264</v>
      </c>
      <c r="K24" s="139"/>
      <c r="L24" s="183">
        <v>3172</v>
      </c>
      <c r="M24" s="239"/>
      <c r="N24" s="261">
        <v>3547</v>
      </c>
      <c r="O24" s="139"/>
      <c r="P24" s="261">
        <v>3845</v>
      </c>
      <c r="Q24" s="139"/>
      <c r="R24" s="261">
        <v>4309</v>
      </c>
      <c r="S24" s="139"/>
      <c r="T24" s="261">
        <v>4170</v>
      </c>
      <c r="U24" s="139"/>
      <c r="V24" s="261">
        <v>4106</v>
      </c>
      <c r="W24" s="139"/>
      <c r="X24" s="261">
        <v>4784</v>
      </c>
      <c r="Y24" s="139"/>
      <c r="Z24" s="1649"/>
      <c r="AB24" s="12"/>
      <c r="AC24" s="947">
        <f t="shared" si="2"/>
        <v>4242.8</v>
      </c>
    </row>
    <row r="25" spans="1:32" x14ac:dyDescent="0.2">
      <c r="B25" s="6" t="s">
        <v>11</v>
      </c>
      <c r="C25" s="184"/>
      <c r="D25" s="165">
        <v>221</v>
      </c>
      <c r="E25" s="31"/>
      <c r="F25" s="171">
        <v>194</v>
      </c>
      <c r="G25" s="239"/>
      <c r="H25" s="261">
        <v>306</v>
      </c>
      <c r="I25" s="239"/>
      <c r="J25" s="261">
        <v>147</v>
      </c>
      <c r="K25" s="139"/>
      <c r="L25" s="183">
        <v>298</v>
      </c>
      <c r="M25" s="239"/>
      <c r="N25" s="261">
        <v>260</v>
      </c>
      <c r="O25" s="139"/>
      <c r="P25" s="261">
        <v>210</v>
      </c>
      <c r="Q25" s="139"/>
      <c r="R25" s="261">
        <v>211</v>
      </c>
      <c r="S25" s="139"/>
      <c r="T25" s="261">
        <v>198</v>
      </c>
      <c r="U25" s="139"/>
      <c r="V25" s="261">
        <v>275</v>
      </c>
      <c r="W25" s="139"/>
      <c r="X25" s="261">
        <v>294</v>
      </c>
      <c r="Y25" s="139"/>
      <c r="Z25" s="1649"/>
      <c r="AB25" s="12"/>
      <c r="AC25" s="947">
        <f t="shared" si="2"/>
        <v>237.6</v>
      </c>
    </row>
    <row r="26" spans="1:32" x14ac:dyDescent="0.2">
      <c r="B26" s="6" t="s">
        <v>12</v>
      </c>
      <c r="C26" s="184"/>
      <c r="D26" s="94">
        <v>787</v>
      </c>
      <c r="E26" s="31"/>
      <c r="F26" s="39">
        <v>854</v>
      </c>
      <c r="G26" s="239"/>
      <c r="H26" s="240">
        <v>1052</v>
      </c>
      <c r="I26" s="239"/>
      <c r="J26" s="240">
        <v>1126</v>
      </c>
      <c r="K26" s="139"/>
      <c r="L26" s="241">
        <v>1129</v>
      </c>
      <c r="M26" s="239"/>
      <c r="N26" s="240">
        <v>1262</v>
      </c>
      <c r="O26" s="139"/>
      <c r="P26" s="240">
        <v>964</v>
      </c>
      <c r="Q26" s="139"/>
      <c r="R26" s="240">
        <v>880</v>
      </c>
      <c r="S26" s="139"/>
      <c r="T26" s="240">
        <v>933</v>
      </c>
      <c r="U26" s="139"/>
      <c r="V26" s="240">
        <v>1031</v>
      </c>
      <c r="W26" s="139"/>
      <c r="X26" s="240">
        <v>1081</v>
      </c>
      <c r="Y26" s="139"/>
      <c r="Z26" s="1650"/>
      <c r="AB26" s="12"/>
      <c r="AC26" s="947">
        <f t="shared" si="2"/>
        <v>977.8</v>
      </c>
    </row>
    <row r="27" spans="1:32" ht="13.5" thickBot="1" x14ac:dyDescent="0.25">
      <c r="B27" s="104" t="s">
        <v>13</v>
      </c>
      <c r="C27" s="1297"/>
      <c r="D27" s="186">
        <f>SUM(D23:D26)</f>
        <v>15692</v>
      </c>
      <c r="E27" s="90"/>
      <c r="F27" s="58">
        <f>SUM(F23:F26)</f>
        <v>15910</v>
      </c>
      <c r="G27" s="246"/>
      <c r="H27" s="247">
        <f>SUM(H23:H26)</f>
        <v>16395</v>
      </c>
      <c r="I27" s="246"/>
      <c r="J27" s="247">
        <f>SUM(J23:J26)</f>
        <v>16283</v>
      </c>
      <c r="K27" s="164"/>
      <c r="L27" s="242">
        <f>SUM(L23:L26)</f>
        <v>16242</v>
      </c>
      <c r="M27" s="246"/>
      <c r="N27" s="247">
        <f>SUM(N23:N26)</f>
        <v>17212</v>
      </c>
      <c r="O27" s="164"/>
      <c r="P27" s="247">
        <f>SUM(P23:P26)</f>
        <v>17333</v>
      </c>
      <c r="Q27" s="164"/>
      <c r="R27" s="247">
        <f>SUM(R23:R26)</f>
        <v>18213</v>
      </c>
      <c r="S27" s="164"/>
      <c r="T27" s="247">
        <f>SUM(T23:T26)</f>
        <v>17589</v>
      </c>
      <c r="U27" s="164"/>
      <c r="V27" s="247">
        <f>SUM(V23:V26)</f>
        <v>19860</v>
      </c>
      <c r="W27" s="164"/>
      <c r="X27" s="247">
        <f>SUM(X23:X26)</f>
        <v>20981</v>
      </c>
      <c r="Y27" s="164"/>
      <c r="Z27" s="1651"/>
      <c r="AB27" s="946"/>
      <c r="AC27" s="1008">
        <f>AVERAGE(V27,T27,R27,P27,X27)</f>
        <v>18795.2</v>
      </c>
    </row>
    <row r="28" spans="1:32" ht="12" customHeight="1" thickTop="1" thickBot="1" x14ac:dyDescent="0.25">
      <c r="A28" s="930"/>
      <c r="B28" s="1301" t="s">
        <v>212</v>
      </c>
      <c r="C28" s="2052" t="s">
        <v>51</v>
      </c>
      <c r="D28" s="1997"/>
      <c r="E28" s="1992" t="s">
        <v>52</v>
      </c>
      <c r="F28" s="1997"/>
      <c r="G28" s="1989" t="s">
        <v>184</v>
      </c>
      <c r="H28" s="1981"/>
      <c r="I28" s="1989" t="s">
        <v>185</v>
      </c>
      <c r="J28" s="2005"/>
      <c r="K28" s="1989" t="s">
        <v>202</v>
      </c>
      <c r="L28" s="2005"/>
      <c r="M28" s="1991" t="s">
        <v>203</v>
      </c>
      <c r="N28" s="1981"/>
      <c r="O28" s="1970" t="s">
        <v>228</v>
      </c>
      <c r="P28" s="1981"/>
      <c r="Q28" s="1970" t="s">
        <v>238</v>
      </c>
      <c r="R28" s="1981"/>
      <c r="S28" s="1970" t="s">
        <v>273</v>
      </c>
      <c r="T28" s="1981"/>
      <c r="U28" s="1970" t="s">
        <v>275</v>
      </c>
      <c r="V28" s="1981"/>
      <c r="W28" s="1970" t="s">
        <v>281</v>
      </c>
      <c r="X28" s="1981"/>
      <c r="Y28" s="1970" t="s">
        <v>291</v>
      </c>
      <c r="Z28" s="1971"/>
      <c r="AA28" s="932"/>
      <c r="AB28" s="2009"/>
      <c r="AC28" s="2010"/>
      <c r="AD28" s="293"/>
      <c r="AE28" s="293"/>
      <c r="AF28" s="21"/>
    </row>
    <row r="29" spans="1:32" ht="12" customHeight="1" x14ac:dyDescent="0.2">
      <c r="A29" s="930"/>
      <c r="B29" s="1302" t="s">
        <v>189</v>
      </c>
      <c r="C29" s="2062">
        <v>2.3E-2</v>
      </c>
      <c r="D29" s="2017"/>
      <c r="E29" s="1995">
        <v>2.7E-2</v>
      </c>
      <c r="F29" s="1996"/>
      <c r="G29" s="1995">
        <v>0.03</v>
      </c>
      <c r="H29" s="1996"/>
      <c r="I29" s="1995">
        <v>3.6999999999999998E-2</v>
      </c>
      <c r="J29" s="2006"/>
      <c r="K29" s="934"/>
      <c r="L29" s="935">
        <v>3.6999999999999998E-2</v>
      </c>
      <c r="M29" s="936"/>
      <c r="N29" s="1178">
        <v>0.03</v>
      </c>
      <c r="O29" s="1176"/>
      <c r="P29" s="1178">
        <v>2.3E-2</v>
      </c>
      <c r="Q29" s="1271"/>
      <c r="R29" s="1178">
        <v>3.3000000000000002E-2</v>
      </c>
      <c r="S29" s="1271"/>
      <c r="T29" s="1178">
        <v>3.2000000000000001E-2</v>
      </c>
      <c r="U29" s="1271"/>
      <c r="V29" s="1178">
        <v>3.7999999999999999E-2</v>
      </c>
      <c r="W29" s="1271"/>
      <c r="X29" s="1178">
        <v>3.5999999999999997E-2</v>
      </c>
      <c r="Y29" s="1271"/>
      <c r="Z29" s="1479">
        <v>4.3999999999999997E-2</v>
      </c>
      <c r="AA29" s="937"/>
      <c r="AB29" s="938"/>
      <c r="AC29" s="1048">
        <f>AVERAGE(V29,T29,R29,Z29,X29)</f>
        <v>3.6600000000000008E-2</v>
      </c>
      <c r="AD29" s="293"/>
      <c r="AE29" s="293"/>
      <c r="AF29" s="21"/>
    </row>
    <row r="30" spans="1:32" ht="12" customHeight="1" x14ac:dyDescent="0.2">
      <c r="A30" s="930"/>
      <c r="B30" s="1303" t="s">
        <v>190</v>
      </c>
      <c r="C30" s="2061">
        <v>5.3999999999999999E-2</v>
      </c>
      <c r="D30" s="2019"/>
      <c r="E30" s="2000">
        <v>5.1999999999999998E-2</v>
      </c>
      <c r="F30" s="2001"/>
      <c r="G30" s="2000">
        <v>7.0000000000000007E-2</v>
      </c>
      <c r="H30" s="2001"/>
      <c r="I30" s="2000">
        <v>6.8000000000000005E-2</v>
      </c>
      <c r="J30" s="2011"/>
      <c r="K30" s="941"/>
      <c r="L30" s="942">
        <v>7.2999999999999995E-2</v>
      </c>
      <c r="M30" s="941"/>
      <c r="N30" s="1179">
        <v>7.0999999999999994E-2</v>
      </c>
      <c r="O30" s="1177"/>
      <c r="P30" s="1179">
        <v>4.8000000000000001E-2</v>
      </c>
      <c r="Q30" s="1272"/>
      <c r="R30" s="1179">
        <v>4.9000000000000002E-2</v>
      </c>
      <c r="S30" s="1272"/>
      <c r="T30" s="1179">
        <v>2.4E-2</v>
      </c>
      <c r="U30" s="1272"/>
      <c r="V30" s="1179">
        <v>5.0999999999999997E-2</v>
      </c>
      <c r="W30" s="1272"/>
      <c r="X30" s="1179">
        <v>4.9000000000000002E-2</v>
      </c>
      <c r="Y30" s="1272"/>
      <c r="Z30" s="1480">
        <v>5.0999999999999997E-2</v>
      </c>
      <c r="AA30" s="937"/>
      <c r="AB30" s="938"/>
      <c r="AC30" s="1048">
        <f>AVERAGE(V30,T30,R30,Z30,X30)</f>
        <v>4.4799999999999993E-2</v>
      </c>
      <c r="AD30" s="293"/>
      <c r="AE30" s="293"/>
      <c r="AF30" s="21"/>
    </row>
    <row r="31" spans="1:32" ht="12" customHeight="1" thickBot="1" x14ac:dyDescent="0.25">
      <c r="A31" s="3"/>
      <c r="B31" s="1298" t="s">
        <v>191</v>
      </c>
      <c r="C31" s="2012">
        <f>1-C29-C30</f>
        <v>0.92299999999999993</v>
      </c>
      <c r="D31" s="1999"/>
      <c r="E31" s="1998">
        <f>1-E29-E30</f>
        <v>0.92099999999999993</v>
      </c>
      <c r="F31" s="1999"/>
      <c r="G31" s="1998">
        <f>1-G29-G30</f>
        <v>0.89999999999999991</v>
      </c>
      <c r="H31" s="1999"/>
      <c r="I31" s="1998">
        <f>1-I29-I30</f>
        <v>0.89500000000000002</v>
      </c>
      <c r="J31" s="1999"/>
      <c r="K31" s="1998">
        <f>1-L29-L30</f>
        <v>0.89</v>
      </c>
      <c r="L31" s="1999"/>
      <c r="M31" s="1998">
        <f>1-N29-N30</f>
        <v>0.89900000000000002</v>
      </c>
      <c r="N31" s="1999"/>
      <c r="O31" s="1998">
        <f>1-P29-P30</f>
        <v>0.92899999999999994</v>
      </c>
      <c r="P31" s="1999"/>
      <c r="Q31" s="2060">
        <f>1-R29-R30</f>
        <v>0.91799999999999993</v>
      </c>
      <c r="R31" s="1973"/>
      <c r="S31" s="1972">
        <f>1-T29-T30</f>
        <v>0.94399999999999995</v>
      </c>
      <c r="T31" s="1973"/>
      <c r="U31" s="1972">
        <f>1-V29-V30</f>
        <v>0.91099999999999992</v>
      </c>
      <c r="V31" s="1973"/>
      <c r="W31" s="1972">
        <f>1-X29-X30</f>
        <v>0.91499999999999992</v>
      </c>
      <c r="X31" s="1973"/>
      <c r="Y31" s="1972">
        <f>1-Z29-Z30</f>
        <v>0.90499999999999992</v>
      </c>
      <c r="Z31" s="1973"/>
      <c r="AA31" s="937"/>
      <c r="AB31" s="2007">
        <v>0.91800000000000004</v>
      </c>
      <c r="AC31" s="2008"/>
      <c r="AD31" s="1050"/>
      <c r="AE31" s="293"/>
      <c r="AF31" s="21"/>
    </row>
    <row r="32" spans="1:32" s="3" customFormat="1" thickTop="1" x14ac:dyDescent="0.2">
      <c r="B32" s="1299"/>
      <c r="C32" s="110"/>
      <c r="D32" s="111"/>
      <c r="E32" s="110"/>
      <c r="F32" s="111"/>
      <c r="G32" s="146"/>
      <c r="H32" s="147"/>
      <c r="I32" s="146"/>
      <c r="J32" s="147"/>
      <c r="K32" s="146"/>
      <c r="L32" s="147"/>
      <c r="M32" s="146"/>
      <c r="N32" s="147"/>
      <c r="O32" s="146"/>
      <c r="P32" s="147"/>
      <c r="Q32" s="146"/>
      <c r="R32" s="147"/>
      <c r="S32" s="146"/>
      <c r="T32" s="147"/>
      <c r="U32" s="146"/>
      <c r="V32" s="147"/>
      <c r="W32" s="146"/>
      <c r="X32" s="147"/>
      <c r="Y32" s="146"/>
      <c r="Z32" s="147"/>
      <c r="AC32" s="578"/>
    </row>
    <row r="33" spans="1:29" s="3" customFormat="1" x14ac:dyDescent="0.2">
      <c r="A33" s="112" t="s">
        <v>68</v>
      </c>
      <c r="B33" s="1300"/>
      <c r="C33" s="28"/>
      <c r="D33" s="28"/>
      <c r="E33" s="28"/>
      <c r="F33" s="28"/>
      <c r="G33" s="136"/>
      <c r="H33" s="136"/>
      <c r="I33" s="136"/>
      <c r="J33" s="136"/>
      <c r="K33" s="136"/>
      <c r="L33" s="136"/>
      <c r="M33" s="136"/>
      <c r="N33" s="136"/>
      <c r="O33" s="136"/>
      <c r="P33" s="136" t="s">
        <v>29</v>
      </c>
      <c r="Q33" s="136"/>
      <c r="R33" s="136" t="s">
        <v>29</v>
      </c>
      <c r="S33" s="136"/>
      <c r="T33" s="136" t="s">
        <v>29</v>
      </c>
      <c r="U33" s="136"/>
      <c r="V33" s="136" t="s">
        <v>29</v>
      </c>
      <c r="W33" s="136"/>
      <c r="X33" s="136" t="s">
        <v>29</v>
      </c>
      <c r="Y33" s="136"/>
      <c r="Z33" s="136" t="s">
        <v>29</v>
      </c>
    </row>
    <row r="34" spans="1:29" s="3" customFormat="1" ht="13.5" thickBot="1" x14ac:dyDescent="0.25">
      <c r="A34" s="112"/>
      <c r="B34" s="1300"/>
      <c r="C34" s="28"/>
      <c r="D34" s="28"/>
      <c r="E34" s="28"/>
      <c r="F34" s="28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</row>
    <row r="35" spans="1:29" s="3" customFormat="1" ht="14.25" thickTop="1" thickBot="1" x14ac:dyDescent="0.25">
      <c r="A35" s="2"/>
      <c r="B35" s="329" t="s">
        <v>69</v>
      </c>
      <c r="C35" s="2015" t="s">
        <v>49</v>
      </c>
      <c r="D35" s="2014"/>
      <c r="E35" s="2015" t="s">
        <v>50</v>
      </c>
      <c r="F35" s="2015"/>
      <c r="G35" s="2002" t="s">
        <v>141</v>
      </c>
      <c r="H35" s="1982"/>
      <c r="I35" s="1974" t="s">
        <v>152</v>
      </c>
      <c r="J35" s="1982"/>
      <c r="K35" s="1974" t="s">
        <v>154</v>
      </c>
      <c r="L35" s="1974"/>
      <c r="M35" s="2002" t="s">
        <v>171</v>
      </c>
      <c r="N35" s="1982"/>
      <c r="O35" s="1974" t="s">
        <v>227</v>
      </c>
      <c r="P35" s="1982"/>
      <c r="Q35" s="1974" t="s">
        <v>237</v>
      </c>
      <c r="R35" s="1982"/>
      <c r="S35" s="1974" t="s">
        <v>272</v>
      </c>
      <c r="T35" s="1982"/>
      <c r="U35" s="1974" t="s">
        <v>274</v>
      </c>
      <c r="V35" s="1982"/>
      <c r="W35" s="1974" t="s">
        <v>280</v>
      </c>
      <c r="X35" s="1982"/>
      <c r="Y35" s="1974" t="s">
        <v>290</v>
      </c>
      <c r="Z35" s="1975"/>
      <c r="AB35" s="2003" t="s">
        <v>213</v>
      </c>
      <c r="AC35" s="2004"/>
    </row>
    <row r="36" spans="1:29" s="3" customFormat="1" x14ac:dyDescent="0.2">
      <c r="A36" s="2"/>
      <c r="B36" s="330" t="s">
        <v>70</v>
      </c>
      <c r="C36" s="31"/>
      <c r="D36" s="93"/>
      <c r="E36" s="31"/>
      <c r="F36" s="31"/>
      <c r="G36" s="239"/>
      <c r="H36" s="245"/>
      <c r="I36" s="139"/>
      <c r="J36" s="245"/>
      <c r="K36" s="139"/>
      <c r="L36" s="139"/>
      <c r="M36" s="239"/>
      <c r="N36" s="245"/>
      <c r="O36" s="139"/>
      <c r="P36" s="245"/>
      <c r="Q36" s="139"/>
      <c r="R36" s="245"/>
      <c r="S36" s="139"/>
      <c r="T36" s="245"/>
      <c r="U36" s="139"/>
      <c r="V36" s="245"/>
      <c r="W36" s="139"/>
      <c r="X36" s="245"/>
      <c r="Y36" s="139"/>
      <c r="Z36" s="141"/>
      <c r="AB36" s="831"/>
      <c r="AC36" s="930"/>
    </row>
    <row r="37" spans="1:29" s="3" customFormat="1" x14ac:dyDescent="0.2">
      <c r="A37" s="2"/>
      <c r="B37" s="331" t="s">
        <v>71</v>
      </c>
      <c r="C37" s="30"/>
      <c r="D37" s="188">
        <v>2109964</v>
      </c>
      <c r="E37" s="30"/>
      <c r="F37" s="205">
        <v>2140360</v>
      </c>
      <c r="G37" s="243"/>
      <c r="H37" s="416">
        <v>2404461</v>
      </c>
      <c r="I37" s="138"/>
      <c r="J37" s="416">
        <v>2437357</v>
      </c>
      <c r="K37" s="138"/>
      <c r="L37" s="451">
        <v>2579861</v>
      </c>
      <c r="M37" s="243"/>
      <c r="N37" s="416">
        <v>2672925</v>
      </c>
      <c r="O37" s="138"/>
      <c r="P37" s="416">
        <v>2522587</v>
      </c>
      <c r="Q37" s="138"/>
      <c r="R37" s="416">
        <v>2609874</v>
      </c>
      <c r="S37" s="138"/>
      <c r="T37" s="416">
        <v>2738975</v>
      </c>
      <c r="U37" s="138"/>
      <c r="V37" s="416">
        <v>2865995</v>
      </c>
      <c r="W37" s="138"/>
      <c r="X37" s="416">
        <v>2808224</v>
      </c>
      <c r="Y37" s="138"/>
      <c r="Z37" s="294">
        <v>2981895</v>
      </c>
      <c r="AB37" s="24"/>
      <c r="AC37" s="947">
        <f>AVERAGE(V37,T37,R37,Z37,X37)</f>
        <v>2800992.6</v>
      </c>
    </row>
    <row r="38" spans="1:29" s="3" customFormat="1" x14ac:dyDescent="0.2">
      <c r="A38" s="2"/>
      <c r="B38" s="331" t="s">
        <v>247</v>
      </c>
      <c r="C38" s="30"/>
      <c r="D38" s="188"/>
      <c r="E38" s="30"/>
      <c r="F38" s="205"/>
      <c r="G38" s="243"/>
      <c r="H38" s="1439"/>
      <c r="I38" s="138"/>
      <c r="J38" s="416">
        <v>30000</v>
      </c>
      <c r="K38" s="138"/>
      <c r="L38" s="451">
        <v>30000</v>
      </c>
      <c r="M38" s="243"/>
      <c r="N38" s="416">
        <v>30000</v>
      </c>
      <c r="O38" s="138"/>
      <c r="P38" s="416">
        <v>30000</v>
      </c>
      <c r="Q38" s="138"/>
      <c r="R38" s="416">
        <v>30000</v>
      </c>
      <c r="S38" s="138"/>
      <c r="T38" s="416">
        <v>30000</v>
      </c>
      <c r="U38" s="138"/>
      <c r="V38" s="416">
        <v>30000</v>
      </c>
      <c r="W38" s="138"/>
      <c r="X38" s="416">
        <v>30000</v>
      </c>
      <c r="Y38" s="138"/>
      <c r="Z38" s="294">
        <v>30000</v>
      </c>
      <c r="AB38" s="24"/>
      <c r="AC38" s="947">
        <f>AVERAGE(V38,T38,R38,Z38,X38)</f>
        <v>30000</v>
      </c>
    </row>
    <row r="39" spans="1:29" s="3" customFormat="1" ht="36" x14ac:dyDescent="0.2">
      <c r="A39" s="2"/>
      <c r="B39" s="332" t="s">
        <v>248</v>
      </c>
      <c r="C39" s="31"/>
      <c r="D39" s="189">
        <v>1232721</v>
      </c>
      <c r="E39" s="31"/>
      <c r="F39" s="206">
        <v>1455279</v>
      </c>
      <c r="G39" s="239"/>
      <c r="H39" s="369">
        <v>1536822</v>
      </c>
      <c r="I39" s="139"/>
      <c r="J39" s="369">
        <v>1487954</v>
      </c>
      <c r="K39" s="139"/>
      <c r="L39" s="347">
        <v>1477004</v>
      </c>
      <c r="M39" s="239"/>
      <c r="N39" s="369">
        <v>1380090</v>
      </c>
      <c r="O39" s="139"/>
      <c r="P39" s="369">
        <v>1453031</v>
      </c>
      <c r="Q39" s="139"/>
      <c r="R39" s="369">
        <v>1488965</v>
      </c>
      <c r="S39" s="139"/>
      <c r="T39" s="369">
        <v>1416251</v>
      </c>
      <c r="U39" s="139"/>
      <c r="V39" s="369">
        <v>1416881</v>
      </c>
      <c r="W39" s="139"/>
      <c r="X39" s="369">
        <v>1494210</v>
      </c>
      <c r="Y39" s="139"/>
      <c r="Z39" s="282">
        <v>1420918</v>
      </c>
      <c r="AB39" s="12"/>
      <c r="AC39" s="947">
        <f t="shared" ref="AC39:AC40" si="3">AVERAGE(V39,T39,R39,Z39,X39)</f>
        <v>1447445</v>
      </c>
    </row>
    <row r="40" spans="1:29" s="3" customFormat="1" x14ac:dyDescent="0.2">
      <c r="A40" s="2"/>
      <c r="B40" s="333" t="s">
        <v>72</v>
      </c>
      <c r="C40" s="90"/>
      <c r="D40" s="190">
        <f>SUM(D37:D39)</f>
        <v>3342685</v>
      </c>
      <c r="E40" s="90"/>
      <c r="F40" s="207">
        <f>SUM(F37:F39)</f>
        <v>3595639</v>
      </c>
      <c r="G40" s="262"/>
      <c r="H40" s="263">
        <f>SUM(H37:H39)</f>
        <v>3941283</v>
      </c>
      <c r="I40" s="250"/>
      <c r="J40" s="263">
        <f>SUM(J37:J39)</f>
        <v>3955311</v>
      </c>
      <c r="K40" s="250"/>
      <c r="L40" s="249">
        <f>SUM(L37:L39)</f>
        <v>4086865</v>
      </c>
      <c r="M40" s="262"/>
      <c r="N40" s="263">
        <f>SUM(N37:N39)</f>
        <v>4083015</v>
      </c>
      <c r="O40" s="250"/>
      <c r="P40" s="263">
        <f>SUM(P37:P39)</f>
        <v>4005618</v>
      </c>
      <c r="Q40" s="250"/>
      <c r="R40" s="263">
        <f>SUM(R37:R39)</f>
        <v>4128839</v>
      </c>
      <c r="S40" s="250"/>
      <c r="T40" s="263">
        <f>SUM(T37:T39)</f>
        <v>4185226</v>
      </c>
      <c r="U40" s="250"/>
      <c r="V40" s="263">
        <f>SUM(V37:V39)</f>
        <v>4312876</v>
      </c>
      <c r="W40" s="250"/>
      <c r="X40" s="263">
        <f>SUM(X37:X39)</f>
        <v>4332434</v>
      </c>
      <c r="Y40" s="250"/>
      <c r="Z40" s="149">
        <f>SUM(Z37:Z39)</f>
        <v>4432813</v>
      </c>
      <c r="AB40" s="12"/>
      <c r="AC40" s="1008">
        <f t="shared" si="3"/>
        <v>4278437.5999999996</v>
      </c>
    </row>
    <row r="41" spans="1:29" s="3" customFormat="1" x14ac:dyDescent="0.2">
      <c r="A41" s="2"/>
      <c r="B41" s="330" t="s">
        <v>73</v>
      </c>
      <c r="C41" s="31"/>
      <c r="D41" s="189"/>
      <c r="E41" s="31"/>
      <c r="F41" s="206"/>
      <c r="G41" s="239"/>
      <c r="H41" s="369"/>
      <c r="I41" s="139"/>
      <c r="J41" s="369"/>
      <c r="K41" s="139"/>
      <c r="L41" s="347"/>
      <c r="M41" s="239"/>
      <c r="N41" s="369"/>
      <c r="O41" s="139"/>
      <c r="P41" s="369"/>
      <c r="Q41" s="139"/>
      <c r="R41" s="369"/>
      <c r="S41" s="139"/>
      <c r="T41" s="369"/>
      <c r="U41" s="139"/>
      <c r="V41" s="369"/>
      <c r="W41" s="139"/>
      <c r="X41" s="369"/>
      <c r="Y41" s="139"/>
      <c r="Z41" s="282"/>
      <c r="AB41" s="12"/>
      <c r="AC41" s="947"/>
    </row>
    <row r="42" spans="1:29" s="3" customFormat="1" x14ac:dyDescent="0.2">
      <c r="A42" s="2"/>
      <c r="B42" s="331" t="s">
        <v>71</v>
      </c>
      <c r="C42" s="31"/>
      <c r="D42" s="189"/>
      <c r="E42" s="31"/>
      <c r="F42" s="206"/>
      <c r="G42" s="239"/>
      <c r="H42" s="369"/>
      <c r="I42" s="139"/>
      <c r="J42" s="369"/>
      <c r="K42" s="139"/>
      <c r="L42" s="347"/>
      <c r="M42" s="239"/>
      <c r="N42" s="369"/>
      <c r="O42" s="139"/>
      <c r="P42" s="369"/>
      <c r="Q42" s="139"/>
      <c r="R42" s="369"/>
      <c r="S42" s="139"/>
      <c r="T42" s="369"/>
      <c r="U42" s="139"/>
      <c r="V42" s="369"/>
      <c r="W42" s="139"/>
      <c r="X42" s="369"/>
      <c r="Y42" s="139"/>
      <c r="Z42" s="282"/>
      <c r="AB42" s="12"/>
      <c r="AC42" s="947"/>
    </row>
    <row r="43" spans="1:29" s="3" customFormat="1" x14ac:dyDescent="0.2">
      <c r="A43" s="2"/>
      <c r="B43" s="331" t="s">
        <v>247</v>
      </c>
      <c r="C43" s="31"/>
      <c r="D43" s="189"/>
      <c r="E43" s="31"/>
      <c r="F43" s="206"/>
      <c r="G43" s="239"/>
      <c r="H43" s="369"/>
      <c r="I43" s="139"/>
      <c r="J43" s="369"/>
      <c r="K43" s="139"/>
      <c r="L43" s="347"/>
      <c r="M43" s="239"/>
      <c r="N43" s="369"/>
      <c r="O43" s="139"/>
      <c r="P43" s="369"/>
      <c r="Q43" s="139"/>
      <c r="R43" s="369"/>
      <c r="S43" s="139"/>
      <c r="T43" s="369"/>
      <c r="U43" s="139"/>
      <c r="V43" s="369"/>
      <c r="W43" s="139"/>
      <c r="X43" s="369"/>
      <c r="Y43" s="139"/>
      <c r="Z43" s="282"/>
      <c r="AB43" s="12"/>
      <c r="AC43" s="947"/>
    </row>
    <row r="44" spans="1:29" s="3" customFormat="1" ht="36" x14ac:dyDescent="0.2">
      <c r="A44" s="2"/>
      <c r="B44" s="332" t="s">
        <v>248</v>
      </c>
      <c r="C44" s="31"/>
      <c r="D44" s="189">
        <v>20900</v>
      </c>
      <c r="E44" s="31"/>
      <c r="F44" s="206">
        <v>0</v>
      </c>
      <c r="G44" s="239"/>
      <c r="H44" s="369">
        <v>0</v>
      </c>
      <c r="I44" s="139"/>
      <c r="J44" s="369">
        <v>0</v>
      </c>
      <c r="K44" s="139"/>
      <c r="L44" s="347">
        <v>0</v>
      </c>
      <c r="M44" s="239"/>
      <c r="N44" s="369">
        <v>0</v>
      </c>
      <c r="O44" s="139"/>
      <c r="P44" s="369"/>
      <c r="Q44" s="139"/>
      <c r="R44" s="369"/>
      <c r="S44" s="139"/>
      <c r="T44" s="369"/>
      <c r="U44" s="139"/>
      <c r="V44" s="369"/>
      <c r="W44" s="139"/>
      <c r="X44" s="369"/>
      <c r="Y44" s="139"/>
      <c r="Z44" s="282"/>
      <c r="AB44" s="12"/>
      <c r="AC44" s="947"/>
    </row>
    <row r="45" spans="1:29" s="3" customFormat="1" x14ac:dyDescent="0.2">
      <c r="A45" s="2"/>
      <c r="B45" s="333" t="s">
        <v>74</v>
      </c>
      <c r="C45" s="90"/>
      <c r="D45" s="190">
        <f>SUM(D42:D44)</f>
        <v>20900</v>
      </c>
      <c r="E45" s="90"/>
      <c r="F45" s="207">
        <f>SUM(F42:F44)</f>
        <v>0</v>
      </c>
      <c r="G45" s="262"/>
      <c r="H45" s="263">
        <f>SUM(H42:H44)</f>
        <v>0</v>
      </c>
      <c r="I45" s="250"/>
      <c r="J45" s="263">
        <f>SUM(J42:J44)</f>
        <v>0</v>
      </c>
      <c r="K45" s="250"/>
      <c r="L45" s="249">
        <f>SUM(L42:L44)</f>
        <v>0</v>
      </c>
      <c r="M45" s="262"/>
      <c r="N45" s="263">
        <f>SUM(N42:N44)</f>
        <v>0</v>
      </c>
      <c r="O45" s="250"/>
      <c r="P45" s="263">
        <f>SUM(P42:P44)</f>
        <v>0</v>
      </c>
      <c r="Q45" s="250"/>
      <c r="R45" s="263">
        <f>SUM(R42:R44)</f>
        <v>0</v>
      </c>
      <c r="S45" s="250"/>
      <c r="T45" s="263">
        <f>SUM(T42:T44)</f>
        <v>0</v>
      </c>
      <c r="U45" s="250"/>
      <c r="V45" s="263">
        <f>SUM(V42:V44)</f>
        <v>0</v>
      </c>
      <c r="W45" s="250"/>
      <c r="X45" s="263">
        <f>SUM(X42:X44)</f>
        <v>0</v>
      </c>
      <c r="Y45" s="250"/>
      <c r="Z45" s="149">
        <f>SUM(Z42:Z44)</f>
        <v>0</v>
      </c>
      <c r="AB45" s="12"/>
      <c r="AC45" s="1008"/>
    </row>
    <row r="46" spans="1:29" s="3" customFormat="1" ht="13.5" thickBot="1" x14ac:dyDescent="0.25">
      <c r="A46" s="2"/>
      <c r="B46" s="1493" t="s">
        <v>75</v>
      </c>
      <c r="C46" s="139"/>
      <c r="D46" s="263">
        <f>SUM(D40,D45)</f>
        <v>3363585</v>
      </c>
      <c r="E46" s="139"/>
      <c r="F46" s="207">
        <f>SUM(F40,F45)</f>
        <v>3595639</v>
      </c>
      <c r="G46" s="239"/>
      <c r="H46" s="263">
        <f>SUM(H40,H45)</f>
        <v>3941283</v>
      </c>
      <c r="I46" s="139"/>
      <c r="J46" s="263">
        <f>SUM(J40,J45)</f>
        <v>3955311</v>
      </c>
      <c r="K46" s="139"/>
      <c r="L46" s="249">
        <f>SUM(L40,L45)</f>
        <v>4086865</v>
      </c>
      <c r="M46" s="239"/>
      <c r="N46" s="263">
        <f>SUM(N40,N45)</f>
        <v>4083015</v>
      </c>
      <c r="O46" s="139"/>
      <c r="P46" s="263">
        <f>SUM(P40,P45)</f>
        <v>4005618</v>
      </c>
      <c r="Q46" s="139"/>
      <c r="R46" s="263">
        <f>SUM(R40,R45)</f>
        <v>4128839</v>
      </c>
      <c r="S46" s="139"/>
      <c r="T46" s="263">
        <f>SUM(T40,T45)</f>
        <v>4185226</v>
      </c>
      <c r="U46" s="139"/>
      <c r="V46" s="263">
        <f>SUM(V40,V45)</f>
        <v>4312876</v>
      </c>
      <c r="W46" s="139"/>
      <c r="X46" s="263">
        <f>SUM(X40,X45)</f>
        <v>4332434</v>
      </c>
      <c r="Y46" s="139"/>
      <c r="Z46" s="149">
        <f>SUM(Z40,Z45)</f>
        <v>4432813</v>
      </c>
      <c r="AB46" s="948"/>
      <c r="AC46" s="1008">
        <f>AVERAGE(V46,T46,R46,Z46,X46)</f>
        <v>4278437.5999999996</v>
      </c>
    </row>
    <row r="47" spans="1:29" s="3" customFormat="1" ht="12" x14ac:dyDescent="0.2">
      <c r="B47" s="81" t="s">
        <v>259</v>
      </c>
      <c r="C47" s="265"/>
      <c r="D47" s="248"/>
      <c r="E47" s="151"/>
      <c r="F47" s="36"/>
      <c r="G47" s="265"/>
      <c r="H47" s="248"/>
      <c r="I47" s="151"/>
      <c r="J47" s="248"/>
      <c r="K47" s="151"/>
      <c r="L47" s="151"/>
      <c r="M47" s="265"/>
      <c r="N47" s="248"/>
      <c r="O47" s="151"/>
      <c r="P47" s="248"/>
      <c r="Q47" s="151"/>
      <c r="R47" s="248"/>
      <c r="S47" s="151"/>
      <c r="T47" s="248"/>
      <c r="U47" s="151"/>
      <c r="V47" s="248"/>
      <c r="W47" s="151"/>
      <c r="X47" s="248"/>
      <c r="Y47" s="151"/>
      <c r="Z47" s="152"/>
      <c r="AB47" s="831"/>
      <c r="AC47" s="978"/>
    </row>
    <row r="48" spans="1:29" x14ac:dyDescent="0.2">
      <c r="B48" s="78" t="s">
        <v>14</v>
      </c>
      <c r="C48" s="266"/>
      <c r="D48" s="462">
        <f>1195766+1895975</f>
        <v>3091741</v>
      </c>
      <c r="E48" s="463"/>
      <c r="F48" s="458">
        <v>2994185</v>
      </c>
      <c r="G48" s="432"/>
      <c r="H48" s="433">
        <v>3353970.08</v>
      </c>
      <c r="I48" s="463"/>
      <c r="J48" s="433">
        <v>3169649.28</v>
      </c>
      <c r="K48" s="153"/>
      <c r="L48" s="823">
        <f>385278+94067+619388+3280660</f>
        <v>4379393</v>
      </c>
      <c r="M48" s="266"/>
      <c r="N48" s="1140">
        <v>3496035</v>
      </c>
      <c r="O48" s="153"/>
      <c r="P48" s="1140">
        <v>3221971</v>
      </c>
      <c r="Q48" s="525"/>
      <c r="R48" s="1140">
        <v>3211775</v>
      </c>
      <c r="S48" s="525"/>
      <c r="T48" s="1140">
        <v>3669871</v>
      </c>
      <c r="U48" s="525"/>
      <c r="V48" s="1140">
        <v>4034965</v>
      </c>
      <c r="W48" s="525"/>
      <c r="X48" s="1140">
        <v>3779270.09</v>
      </c>
      <c r="Y48" s="525"/>
      <c r="Z48" s="1568"/>
      <c r="AB48" s="24"/>
      <c r="AC48" s="949">
        <f>AVERAGE(V48,T48,R48,P48,X48)</f>
        <v>3583570.4180000001</v>
      </c>
    </row>
    <row r="49" spans="1:32" ht="13.5" thickBot="1" x14ac:dyDescent="0.25">
      <c r="B49" s="336" t="s">
        <v>15</v>
      </c>
      <c r="C49" s="268"/>
      <c r="D49" s="236">
        <f>263794</f>
        <v>263794</v>
      </c>
      <c r="E49" s="237"/>
      <c r="F49" s="487">
        <v>247366</v>
      </c>
      <c r="G49" s="596"/>
      <c r="H49" s="489">
        <v>930100</v>
      </c>
      <c r="I49" s="237"/>
      <c r="J49" s="489">
        <v>629102</v>
      </c>
      <c r="K49" s="154"/>
      <c r="L49" s="825">
        <v>0</v>
      </c>
      <c r="M49" s="268"/>
      <c r="N49" s="1152">
        <f>66999+278437</f>
        <v>345436</v>
      </c>
      <c r="O49" s="154"/>
      <c r="P49" s="1266">
        <f>261300+75334</f>
        <v>336634</v>
      </c>
      <c r="Q49" s="1481"/>
      <c r="R49" s="1266">
        <f>49746.6+304887.18</f>
        <v>354633.77999999997</v>
      </c>
      <c r="S49" s="1481"/>
      <c r="T49" s="1266">
        <f>4556+294810.64</f>
        <v>299366.64</v>
      </c>
      <c r="U49" s="1481"/>
      <c r="V49" s="1266">
        <v>248422</v>
      </c>
      <c r="W49" s="1481"/>
      <c r="X49" s="1266">
        <v>760351.67</v>
      </c>
      <c r="Y49" s="1481"/>
      <c r="Z49" s="1576"/>
      <c r="AB49" s="63"/>
      <c r="AC49" s="949">
        <f>AVERAGE(V49,T49,R49,P49,X49)</f>
        <v>399881.61799999996</v>
      </c>
    </row>
    <row r="50" spans="1:32" x14ac:dyDescent="0.2">
      <c r="B50" s="77"/>
      <c r="C50" s="308" t="s">
        <v>133</v>
      </c>
      <c r="D50" s="417" t="s">
        <v>139</v>
      </c>
      <c r="E50" s="414" t="s">
        <v>133</v>
      </c>
      <c r="F50" s="84" t="s">
        <v>139</v>
      </c>
      <c r="G50" s="308" t="s">
        <v>133</v>
      </c>
      <c r="H50" s="417" t="s">
        <v>139</v>
      </c>
      <c r="I50" s="414" t="s">
        <v>133</v>
      </c>
      <c r="J50" s="417" t="s">
        <v>139</v>
      </c>
      <c r="K50" s="414" t="s">
        <v>133</v>
      </c>
      <c r="L50" s="352" t="s">
        <v>139</v>
      </c>
      <c r="M50" s="308" t="s">
        <v>133</v>
      </c>
      <c r="N50" s="417" t="s">
        <v>139</v>
      </c>
      <c r="O50" s="414" t="s">
        <v>133</v>
      </c>
      <c r="P50" s="417" t="s">
        <v>139</v>
      </c>
      <c r="Q50" s="414" t="s">
        <v>133</v>
      </c>
      <c r="R50" s="417" t="s">
        <v>139</v>
      </c>
      <c r="S50" s="414" t="s">
        <v>133</v>
      </c>
      <c r="T50" s="417" t="s">
        <v>139</v>
      </c>
      <c r="U50" s="414" t="s">
        <v>133</v>
      </c>
      <c r="V50" s="417" t="s">
        <v>139</v>
      </c>
      <c r="W50" s="414" t="s">
        <v>133</v>
      </c>
      <c r="X50" s="417" t="s">
        <v>139</v>
      </c>
      <c r="Y50" s="414" t="s">
        <v>133</v>
      </c>
      <c r="Z50" s="295" t="s">
        <v>139</v>
      </c>
      <c r="AB50" s="950" t="s">
        <v>133</v>
      </c>
      <c r="AC50" s="295" t="s">
        <v>139</v>
      </c>
    </row>
    <row r="51" spans="1:32" s="3" customFormat="1" ht="11.45" customHeight="1" x14ac:dyDescent="0.2">
      <c r="B51" s="80" t="s">
        <v>67</v>
      </c>
      <c r="C51" s="476">
        <v>44</v>
      </c>
      <c r="D51" s="510">
        <v>10012761</v>
      </c>
      <c r="E51" s="473">
        <v>62</v>
      </c>
      <c r="F51" s="522">
        <v>10316987</v>
      </c>
      <c r="G51" s="476">
        <v>54</v>
      </c>
      <c r="H51" s="439">
        <v>6929855</v>
      </c>
      <c r="I51" s="477">
        <v>65</v>
      </c>
      <c r="J51" s="510">
        <v>71114481</v>
      </c>
      <c r="K51" s="477">
        <v>60</v>
      </c>
      <c r="L51" s="252">
        <v>8171599</v>
      </c>
      <c r="M51" s="532">
        <v>75</v>
      </c>
      <c r="N51" s="510">
        <v>13136429</v>
      </c>
      <c r="O51" s="473">
        <v>65</v>
      </c>
      <c r="P51" s="439">
        <v>7665786</v>
      </c>
      <c r="Q51" s="473">
        <v>51</v>
      </c>
      <c r="R51" s="439">
        <v>5912853</v>
      </c>
      <c r="S51" s="473">
        <v>49</v>
      </c>
      <c r="T51" s="439">
        <v>5749857</v>
      </c>
      <c r="U51" s="473">
        <v>33</v>
      </c>
      <c r="V51" s="439">
        <v>4173756</v>
      </c>
      <c r="W51" s="473">
        <v>42</v>
      </c>
      <c r="X51" s="439">
        <v>6209648</v>
      </c>
      <c r="Y51" s="1445"/>
      <c r="Z51" s="1482"/>
      <c r="AA51" s="955"/>
      <c r="AB51" s="108">
        <f>AVERAGE(U51,S51,Q51,O51,W51)</f>
        <v>48</v>
      </c>
      <c r="AC51" s="951">
        <f>AVERAGE(V51,T51,R51,P51,X51)</f>
        <v>5942380</v>
      </c>
    </row>
    <row r="52" spans="1:32" s="3" customFormat="1" ht="11.45" customHeight="1" x14ac:dyDescent="0.2">
      <c r="B52" s="80"/>
      <c r="C52" s="551"/>
      <c r="D52" s="468"/>
      <c r="E52" s="914"/>
      <c r="F52" s="306"/>
      <c r="G52" s="551"/>
      <c r="H52" s="418"/>
      <c r="I52" s="255"/>
      <c r="J52" s="545"/>
      <c r="K52" s="255"/>
      <c r="L52" s="528"/>
      <c r="M52" s="530"/>
      <c r="N52" s="545"/>
      <c r="O52" s="914"/>
      <c r="P52" s="527"/>
      <c r="Q52" s="914"/>
      <c r="R52" s="527"/>
      <c r="S52" s="914"/>
      <c r="T52" s="527"/>
      <c r="U52" s="914"/>
      <c r="V52" s="527"/>
      <c r="W52" s="914"/>
      <c r="X52" s="527"/>
      <c r="Y52" s="1446"/>
      <c r="Z52" s="1483"/>
      <c r="AA52" s="955"/>
      <c r="AB52" s="1013"/>
      <c r="AC52" s="949"/>
    </row>
    <row r="53" spans="1:32" s="3" customFormat="1" thickBot="1" x14ac:dyDescent="0.25">
      <c r="B53" s="167" t="s">
        <v>16</v>
      </c>
      <c r="C53" s="915">
        <v>23</v>
      </c>
      <c r="D53" s="467">
        <v>2454046</v>
      </c>
      <c r="E53" s="550">
        <v>20</v>
      </c>
      <c r="F53" s="69">
        <v>2538549</v>
      </c>
      <c r="G53" s="552">
        <v>21</v>
      </c>
      <c r="H53" s="524">
        <v>2003481</v>
      </c>
      <c r="I53" s="550">
        <v>22</v>
      </c>
      <c r="J53" s="509">
        <v>2599183</v>
      </c>
      <c r="K53" s="550">
        <v>22</v>
      </c>
      <c r="L53" s="253">
        <v>1793346</v>
      </c>
      <c r="M53" s="552">
        <v>25</v>
      </c>
      <c r="N53" s="509">
        <v>2498285</v>
      </c>
      <c r="O53" s="550">
        <v>19</v>
      </c>
      <c r="P53" s="1152">
        <v>3340693</v>
      </c>
      <c r="Q53" s="550">
        <v>28</v>
      </c>
      <c r="R53" s="1152">
        <v>3784835</v>
      </c>
      <c r="S53" s="550">
        <v>14</v>
      </c>
      <c r="T53" s="1152">
        <v>1673244</v>
      </c>
      <c r="U53" s="550">
        <v>16</v>
      </c>
      <c r="V53" s="1152">
        <v>2491458</v>
      </c>
      <c r="W53" s="550">
        <v>18</v>
      </c>
      <c r="X53" s="1152">
        <v>2243577</v>
      </c>
      <c r="Y53" s="1447"/>
      <c r="Z53" s="1484"/>
      <c r="AA53" s="955"/>
      <c r="AB53" s="839">
        <f>AVERAGE(U53,S53,Q53,O53,W53)</f>
        <v>19</v>
      </c>
      <c r="AC53" s="1009">
        <f>AVERAGE(V53,T53,R53,P53,X53)</f>
        <v>2706761.4</v>
      </c>
    </row>
    <row r="54" spans="1:32" s="3" customFormat="1" thickTop="1" x14ac:dyDescent="0.2">
      <c r="B54" s="81" t="s">
        <v>84</v>
      </c>
      <c r="C54" s="199"/>
      <c r="D54" s="209"/>
      <c r="E54" s="45"/>
      <c r="F54" s="323"/>
      <c r="G54" s="269"/>
      <c r="H54" s="419"/>
      <c r="I54" s="156"/>
      <c r="J54" s="419"/>
      <c r="K54" s="156"/>
      <c r="L54" s="307"/>
      <c r="M54" s="269"/>
      <c r="N54" s="419"/>
      <c r="O54" s="156"/>
      <c r="P54" s="419"/>
      <c r="Q54" s="156"/>
      <c r="R54" s="419"/>
      <c r="S54" s="156"/>
      <c r="T54" s="419"/>
      <c r="U54" s="156"/>
      <c r="V54" s="419"/>
      <c r="W54" s="156"/>
      <c r="X54" s="419"/>
      <c r="Y54" s="156"/>
      <c r="Z54" s="158"/>
      <c r="AA54" s="955"/>
      <c r="AB54" s="109"/>
      <c r="AC54" s="1030"/>
      <c r="AF54" s="3" t="s">
        <v>29</v>
      </c>
    </row>
    <row r="55" spans="1:32" s="3" customFormat="1" ht="12" x14ac:dyDescent="0.2">
      <c r="B55" s="337" t="s">
        <v>35</v>
      </c>
      <c r="C55" s="201"/>
      <c r="D55" s="210"/>
      <c r="E55" s="97"/>
      <c r="F55" s="34"/>
      <c r="G55" s="271"/>
      <c r="H55" s="420"/>
      <c r="I55" s="157"/>
      <c r="J55" s="420"/>
      <c r="K55" s="157"/>
      <c r="L55" s="135"/>
      <c r="M55" s="271"/>
      <c r="N55" s="420"/>
      <c r="O55" s="157"/>
      <c r="P55" s="420"/>
      <c r="Q55" s="157"/>
      <c r="R55" s="420"/>
      <c r="S55" s="157"/>
      <c r="T55" s="420"/>
      <c r="U55" s="157"/>
      <c r="V55" s="420"/>
      <c r="W55" s="157"/>
      <c r="X55" s="420"/>
      <c r="Y55" s="157"/>
      <c r="Z55" s="287"/>
      <c r="AA55" s="955"/>
      <c r="AB55" s="720"/>
      <c r="AC55" s="1011"/>
    </row>
    <row r="56" spans="1:32" s="3" customFormat="1" ht="12" x14ac:dyDescent="0.2">
      <c r="B56" s="338" t="s">
        <v>85</v>
      </c>
      <c r="C56" s="202"/>
      <c r="D56" s="232">
        <v>106778.53</v>
      </c>
      <c r="E56" s="35"/>
      <c r="F56" s="345">
        <v>88454.69</v>
      </c>
      <c r="G56" s="272"/>
      <c r="H56" s="534">
        <v>83913.21</v>
      </c>
      <c r="I56" s="254"/>
      <c r="J56" s="546">
        <v>95686.39</v>
      </c>
      <c r="K56" s="254"/>
      <c r="L56" s="555">
        <v>183270</v>
      </c>
      <c r="M56" s="272"/>
      <c r="N56" s="546">
        <v>99041</v>
      </c>
      <c r="O56" s="254"/>
      <c r="P56" s="546">
        <v>170724</v>
      </c>
      <c r="Q56" s="254"/>
      <c r="R56" s="546">
        <v>206222</v>
      </c>
      <c r="S56" s="254"/>
      <c r="T56" s="546">
        <v>320727.09999999998</v>
      </c>
      <c r="U56" s="254"/>
      <c r="V56" s="546">
        <v>477210.2</v>
      </c>
      <c r="W56" s="254"/>
      <c r="X56" s="546">
        <v>725993.64</v>
      </c>
      <c r="Y56" s="254"/>
      <c r="Z56" s="1577"/>
      <c r="AA56" s="955"/>
      <c r="AB56" s="1013"/>
      <c r="AC56" s="949">
        <f t="shared" ref="AC56:AC57" si="4">AVERAGE(V56,T56,R56,P56,X56)</f>
        <v>380175.38799999998</v>
      </c>
    </row>
    <row r="57" spans="1:32" s="3" customFormat="1" thickBot="1" x14ac:dyDescent="0.25">
      <c r="B57" s="361" t="s">
        <v>86</v>
      </c>
      <c r="C57" s="204"/>
      <c r="D57" s="505">
        <v>0</v>
      </c>
      <c r="E57" s="37"/>
      <c r="F57" s="505">
        <v>0</v>
      </c>
      <c r="G57" s="274"/>
      <c r="H57" s="505">
        <v>0</v>
      </c>
      <c r="I57" s="274"/>
      <c r="J57" s="505">
        <v>0</v>
      </c>
      <c r="K57" s="547"/>
      <c r="L57" s="504">
        <v>0</v>
      </c>
      <c r="M57" s="506"/>
      <c r="N57" s="505">
        <v>0</v>
      </c>
      <c r="O57" s="547"/>
      <c r="P57" s="505">
        <v>0</v>
      </c>
      <c r="Q57" s="547"/>
      <c r="R57" s="505">
        <v>0</v>
      </c>
      <c r="S57" s="547"/>
      <c r="T57" s="505">
        <v>0</v>
      </c>
      <c r="U57" s="547"/>
      <c r="V57" s="505">
        <v>0</v>
      </c>
      <c r="W57" s="547"/>
      <c r="X57" s="505">
        <v>0</v>
      </c>
      <c r="Y57" s="547"/>
      <c r="Z57" s="1587"/>
      <c r="AB57" s="1015"/>
      <c r="AC57" s="1024">
        <f t="shared" si="4"/>
        <v>0</v>
      </c>
    </row>
    <row r="58" spans="1:32" ht="13.5" thickTop="1" x14ac:dyDescent="0.2">
      <c r="B58" s="96"/>
      <c r="C58" s="97"/>
      <c r="D58" s="98"/>
      <c r="E58" s="97"/>
      <c r="F58" s="34"/>
      <c r="G58" s="157"/>
      <c r="H58" s="135"/>
      <c r="I58" s="157"/>
      <c r="J58" s="429"/>
      <c r="K58" s="157"/>
      <c r="L58" s="429"/>
      <c r="M58" s="157"/>
      <c r="N58" s="429"/>
      <c r="O58" s="157"/>
      <c r="P58" s="429"/>
      <c r="Q58" s="157"/>
      <c r="R58" s="429"/>
      <c r="S58" s="157"/>
      <c r="T58" s="429"/>
      <c r="U58" s="157"/>
      <c r="V58" s="429"/>
      <c r="W58" s="157"/>
      <c r="X58" s="429"/>
      <c r="Y58" s="157"/>
      <c r="Z58" s="429"/>
      <c r="AB58" s="720"/>
      <c r="AC58" s="97"/>
    </row>
    <row r="59" spans="1:32" x14ac:dyDescent="0.2">
      <c r="A59" s="2" t="s">
        <v>76</v>
      </c>
      <c r="B59" s="96"/>
      <c r="C59" s="97"/>
      <c r="D59" s="98"/>
      <c r="E59" s="97"/>
      <c r="F59" s="34"/>
      <c r="G59" s="157"/>
      <c r="H59" s="135"/>
      <c r="I59" s="157"/>
      <c r="J59" s="135"/>
      <c r="K59" s="157"/>
      <c r="L59" s="135"/>
      <c r="M59" s="157"/>
      <c r="N59" s="135"/>
      <c r="O59" s="157"/>
      <c r="P59" s="135"/>
      <c r="Q59" s="157"/>
      <c r="R59" s="135"/>
      <c r="S59" s="157"/>
      <c r="T59" s="135"/>
      <c r="U59" s="157"/>
      <c r="V59" s="135"/>
      <c r="W59" s="157"/>
      <c r="X59" s="135"/>
      <c r="Y59" s="157"/>
      <c r="Z59" s="135"/>
      <c r="AB59" s="91"/>
      <c r="AC59" s="91"/>
    </row>
    <row r="60" spans="1:32" ht="13.5" thickBot="1" x14ac:dyDescent="0.25">
      <c r="B60" s="96"/>
      <c r="C60" s="97"/>
      <c r="D60" s="98"/>
      <c r="E60" s="97"/>
      <c r="F60" s="34"/>
      <c r="G60" s="157"/>
      <c r="H60" s="135"/>
      <c r="I60" s="157"/>
      <c r="J60" s="135"/>
      <c r="K60" s="157"/>
      <c r="L60" s="135"/>
      <c r="M60" s="157"/>
      <c r="N60" s="135"/>
      <c r="O60" s="157"/>
      <c r="P60" s="135"/>
      <c r="Q60" s="157"/>
      <c r="R60" s="135"/>
      <c r="S60" s="157"/>
      <c r="T60" s="135"/>
      <c r="U60" s="157"/>
      <c r="V60" s="135"/>
      <c r="W60" s="157"/>
      <c r="X60" s="135"/>
      <c r="Y60" s="157"/>
      <c r="Z60" s="135"/>
    </row>
    <row r="61" spans="1:32" s="3" customFormat="1" ht="14.25" customHeight="1" thickTop="1" thickBot="1" x14ac:dyDescent="0.25">
      <c r="B61" s="340"/>
      <c r="C61" s="2013" t="s">
        <v>49</v>
      </c>
      <c r="D61" s="2014"/>
      <c r="E61" s="2015" t="s">
        <v>50</v>
      </c>
      <c r="F61" s="2015"/>
      <c r="G61" s="2002" t="s">
        <v>141</v>
      </c>
      <c r="H61" s="1982"/>
      <c r="I61" s="1974" t="s">
        <v>152</v>
      </c>
      <c r="J61" s="1982"/>
      <c r="K61" s="1974" t="s">
        <v>154</v>
      </c>
      <c r="L61" s="1974"/>
      <c r="M61" s="2002" t="s">
        <v>171</v>
      </c>
      <c r="N61" s="1982"/>
      <c r="O61" s="1974" t="s">
        <v>227</v>
      </c>
      <c r="P61" s="1982"/>
      <c r="Q61" s="1974" t="s">
        <v>237</v>
      </c>
      <c r="R61" s="1982"/>
      <c r="S61" s="1974" t="s">
        <v>272</v>
      </c>
      <c r="T61" s="1982"/>
      <c r="U61" s="1974" t="s">
        <v>274</v>
      </c>
      <c r="V61" s="1982"/>
      <c r="W61" s="1974" t="s">
        <v>280</v>
      </c>
      <c r="X61" s="1982"/>
      <c r="Y61" s="1974" t="s">
        <v>290</v>
      </c>
      <c r="Z61" s="1975"/>
      <c r="AB61" s="2003" t="s">
        <v>213</v>
      </c>
      <c r="AC61" s="2004"/>
    </row>
    <row r="62" spans="1:32" s="3" customFormat="1" ht="12" x14ac:dyDescent="0.2">
      <c r="B62" s="73" t="s">
        <v>53</v>
      </c>
      <c r="C62" s="54"/>
      <c r="D62" s="92"/>
      <c r="E62" s="30"/>
      <c r="F62" s="30"/>
      <c r="G62" s="243"/>
      <c r="H62" s="244"/>
      <c r="I62" s="138"/>
      <c r="J62" s="244"/>
      <c r="K62" s="138"/>
      <c r="L62" s="138"/>
      <c r="M62" s="243"/>
      <c r="N62" s="244"/>
      <c r="O62" s="138"/>
      <c r="P62" s="244"/>
      <c r="Q62" s="138"/>
      <c r="R62" s="244"/>
      <c r="S62" s="138"/>
      <c r="T62" s="244"/>
      <c r="U62" s="138"/>
      <c r="V62" s="244"/>
      <c r="W62" s="138"/>
      <c r="X62" s="244"/>
      <c r="Y62" s="138"/>
      <c r="Z62" s="140"/>
      <c r="AB62" s="831"/>
      <c r="AC62" s="930"/>
    </row>
    <row r="63" spans="1:32" s="3" customFormat="1" ht="12" x14ac:dyDescent="0.2">
      <c r="B63" s="74" t="s">
        <v>54</v>
      </c>
      <c r="C63" s="184"/>
      <c r="D63" s="165"/>
      <c r="E63" s="31"/>
      <c r="F63" s="171"/>
      <c r="G63" s="239"/>
      <c r="H63" s="261"/>
      <c r="I63" s="139"/>
      <c r="J63" s="261"/>
      <c r="K63" s="139"/>
      <c r="L63" s="183"/>
      <c r="M63" s="239"/>
      <c r="N63" s="261"/>
      <c r="O63" s="139"/>
      <c r="P63" s="261"/>
      <c r="Q63" s="139"/>
      <c r="R63" s="261"/>
      <c r="S63" s="139"/>
      <c r="T63" s="261"/>
      <c r="U63" s="139"/>
      <c r="V63" s="261"/>
      <c r="W63" s="139"/>
      <c r="X63" s="261"/>
      <c r="Y63" s="139"/>
      <c r="Z63" s="142"/>
      <c r="AB63" s="24"/>
      <c r="AC63" s="579"/>
    </row>
    <row r="64" spans="1:32" s="3" customFormat="1" ht="12" x14ac:dyDescent="0.2">
      <c r="B64" s="75" t="s">
        <v>55</v>
      </c>
      <c r="C64" s="184"/>
      <c r="D64" s="165">
        <v>17</v>
      </c>
      <c r="E64" s="31"/>
      <c r="F64" s="171">
        <v>16</v>
      </c>
      <c r="G64" s="239"/>
      <c r="H64" s="261">
        <v>17</v>
      </c>
      <c r="I64" s="139"/>
      <c r="J64" s="261">
        <v>17</v>
      </c>
      <c r="K64" s="139"/>
      <c r="L64" s="183">
        <v>19</v>
      </c>
      <c r="M64" s="239"/>
      <c r="N64" s="261">
        <v>18</v>
      </c>
      <c r="O64" s="139"/>
      <c r="P64" s="261">
        <v>18</v>
      </c>
      <c r="Q64" s="139"/>
      <c r="R64" s="261">
        <v>19</v>
      </c>
      <c r="S64" s="139"/>
      <c r="T64" s="261">
        <v>18</v>
      </c>
      <c r="U64" s="139"/>
      <c r="V64" s="261">
        <v>18</v>
      </c>
      <c r="W64" s="139"/>
      <c r="X64" s="261">
        <v>18</v>
      </c>
      <c r="Y64" s="139"/>
      <c r="Z64" s="142">
        <v>19</v>
      </c>
      <c r="AB64" s="12"/>
      <c r="AC64" s="1113">
        <f>AVERAGE(V64,T64,R64,Z64,X64)</f>
        <v>18.399999999999999</v>
      </c>
    </row>
    <row r="65" spans="2:29" s="3" customFormat="1" ht="12" x14ac:dyDescent="0.2">
      <c r="B65" s="75" t="s">
        <v>181</v>
      </c>
      <c r="C65" s="184"/>
      <c r="D65" s="165">
        <v>2</v>
      </c>
      <c r="E65" s="31"/>
      <c r="F65" s="171">
        <v>1</v>
      </c>
      <c r="G65" s="239"/>
      <c r="H65" s="261">
        <v>1</v>
      </c>
      <c r="I65" s="139"/>
      <c r="J65" s="261">
        <v>1</v>
      </c>
      <c r="K65" s="139"/>
      <c r="L65" s="183">
        <v>0</v>
      </c>
      <c r="M65" s="239"/>
      <c r="N65" s="261">
        <v>0</v>
      </c>
      <c r="O65" s="139"/>
      <c r="P65" s="261">
        <v>0</v>
      </c>
      <c r="Q65" s="139"/>
      <c r="R65" s="261">
        <v>0</v>
      </c>
      <c r="S65" s="139"/>
      <c r="T65" s="261">
        <v>0</v>
      </c>
      <c r="U65" s="139"/>
      <c r="V65" s="261">
        <v>1</v>
      </c>
      <c r="W65" s="139"/>
      <c r="X65" s="261">
        <v>1</v>
      </c>
      <c r="Y65" s="139"/>
      <c r="Z65" s="142">
        <v>0</v>
      </c>
      <c r="AB65" s="12"/>
      <c r="AC65" s="1113">
        <f t="shared" ref="AC65:AC69" si="5">AVERAGE(V65,T65,R65,Z65,X65)</f>
        <v>0.4</v>
      </c>
    </row>
    <row r="66" spans="2:29" s="3" customFormat="1" ht="12" x14ac:dyDescent="0.2">
      <c r="B66" s="74" t="s">
        <v>57</v>
      </c>
      <c r="C66" s="184"/>
      <c r="D66" s="94"/>
      <c r="E66" s="31"/>
      <c r="F66" s="39"/>
      <c r="G66" s="239"/>
      <c r="H66" s="240"/>
      <c r="I66" s="139"/>
      <c r="J66" s="240"/>
      <c r="K66" s="139"/>
      <c r="L66" s="241"/>
      <c r="M66" s="239"/>
      <c r="N66" s="240"/>
      <c r="O66" s="139"/>
      <c r="P66" s="240"/>
      <c r="Q66" s="139"/>
      <c r="R66" s="240"/>
      <c r="S66" s="139"/>
      <c r="T66" s="240"/>
      <c r="U66" s="139"/>
      <c r="V66" s="240"/>
      <c r="W66" s="139"/>
      <c r="X66" s="240"/>
      <c r="Y66" s="139"/>
      <c r="Z66" s="143"/>
      <c r="AB66" s="12"/>
      <c r="AC66" s="1113"/>
    </row>
    <row r="67" spans="2:29" s="3" customFormat="1" ht="12" x14ac:dyDescent="0.2">
      <c r="B67" s="75" t="s">
        <v>55</v>
      </c>
      <c r="C67" s="184"/>
      <c r="D67" s="94">
        <v>1</v>
      </c>
      <c r="E67" s="31"/>
      <c r="F67" s="39">
        <v>1</v>
      </c>
      <c r="G67" s="239"/>
      <c r="H67" s="240">
        <v>0</v>
      </c>
      <c r="I67" s="139"/>
      <c r="J67" s="240">
        <v>0</v>
      </c>
      <c r="K67" s="139"/>
      <c r="L67" s="241">
        <v>0</v>
      </c>
      <c r="M67" s="239"/>
      <c r="N67" s="240">
        <v>0</v>
      </c>
      <c r="O67" s="139"/>
      <c r="P67" s="240">
        <v>0</v>
      </c>
      <c r="Q67" s="139"/>
      <c r="R67" s="240">
        <v>0</v>
      </c>
      <c r="S67" s="139"/>
      <c r="T67" s="240">
        <v>0</v>
      </c>
      <c r="U67" s="139"/>
      <c r="V67" s="240">
        <v>1</v>
      </c>
      <c r="W67" s="139"/>
      <c r="X67" s="240">
        <v>0</v>
      </c>
      <c r="Y67" s="139"/>
      <c r="Z67" s="143">
        <v>0</v>
      </c>
      <c r="AB67" s="12"/>
      <c r="AC67" s="1113">
        <f t="shared" si="5"/>
        <v>0.2</v>
      </c>
    </row>
    <row r="68" spans="2:29" s="3" customFormat="1" ht="12" x14ac:dyDescent="0.2">
      <c r="B68" s="341" t="s">
        <v>181</v>
      </c>
      <c r="C68" s="184"/>
      <c r="D68" s="94">
        <v>0</v>
      </c>
      <c r="E68" s="31"/>
      <c r="F68" s="39">
        <v>0</v>
      </c>
      <c r="G68" s="239"/>
      <c r="H68" s="240">
        <v>1</v>
      </c>
      <c r="I68" s="139"/>
      <c r="J68" s="240">
        <v>1</v>
      </c>
      <c r="K68" s="139"/>
      <c r="L68" s="241">
        <v>1</v>
      </c>
      <c r="M68" s="239"/>
      <c r="N68" s="240">
        <v>1</v>
      </c>
      <c r="O68" s="139"/>
      <c r="P68" s="240">
        <v>0</v>
      </c>
      <c r="Q68" s="139"/>
      <c r="R68" s="240">
        <v>0</v>
      </c>
      <c r="S68" s="139"/>
      <c r="T68" s="240">
        <v>1</v>
      </c>
      <c r="U68" s="139"/>
      <c r="V68" s="240">
        <v>1</v>
      </c>
      <c r="W68" s="139"/>
      <c r="X68" s="240">
        <v>1</v>
      </c>
      <c r="Y68" s="139"/>
      <c r="Z68" s="143">
        <v>1</v>
      </c>
      <c r="AB68" s="12"/>
      <c r="AC68" s="1113">
        <f t="shared" si="5"/>
        <v>0.8</v>
      </c>
    </row>
    <row r="69" spans="2:29" s="3" customFormat="1" thickBot="1" x14ac:dyDescent="0.25">
      <c r="B69" s="79" t="s">
        <v>13</v>
      </c>
      <c r="C69" s="233"/>
      <c r="D69" s="234">
        <f>SUM(D64:D68)</f>
        <v>20</v>
      </c>
      <c r="E69" s="107"/>
      <c r="F69" s="106">
        <f>SUM(F64:F68)</f>
        <v>18</v>
      </c>
      <c r="G69" s="297"/>
      <c r="H69" s="427">
        <v>19</v>
      </c>
      <c r="I69" s="426"/>
      <c r="J69" s="427">
        <f>SUM(J64:J68)</f>
        <v>19</v>
      </c>
      <c r="K69" s="426"/>
      <c r="L69" s="454">
        <f>SUM(L64:L68)</f>
        <v>20</v>
      </c>
      <c r="M69" s="297"/>
      <c r="N69" s="427">
        <f>SUM(N64:N68)</f>
        <v>19</v>
      </c>
      <c r="O69" s="426"/>
      <c r="P69" s="427">
        <f>SUM(P64:P68)</f>
        <v>18</v>
      </c>
      <c r="Q69" s="426"/>
      <c r="R69" s="427">
        <f>SUM(R64:R68)</f>
        <v>19</v>
      </c>
      <c r="S69" s="426"/>
      <c r="T69" s="427">
        <f>SUM(T64:T68)</f>
        <v>19</v>
      </c>
      <c r="U69" s="426"/>
      <c r="V69" s="427">
        <f>SUM(V64:V68)</f>
        <v>21</v>
      </c>
      <c r="W69" s="426"/>
      <c r="X69" s="427">
        <f>SUM(X64:X68)</f>
        <v>20</v>
      </c>
      <c r="Y69" s="426"/>
      <c r="Z69" s="374">
        <f>SUM(Z64:Z68)</f>
        <v>20</v>
      </c>
      <c r="AB69" s="831"/>
      <c r="AC69" s="1114">
        <f t="shared" si="5"/>
        <v>19.8</v>
      </c>
    </row>
    <row r="70" spans="2:29" s="3" customFormat="1" thickTop="1" x14ac:dyDescent="0.2">
      <c r="B70" s="342" t="s">
        <v>135</v>
      </c>
      <c r="C70" s="392"/>
      <c r="D70" s="393"/>
      <c r="E70" s="43" t="s">
        <v>133</v>
      </c>
      <c r="F70" s="41" t="s">
        <v>134</v>
      </c>
      <c r="G70" s="317" t="s">
        <v>133</v>
      </c>
      <c r="H70" s="412" t="s">
        <v>134</v>
      </c>
      <c r="I70" s="411" t="s">
        <v>133</v>
      </c>
      <c r="J70" s="449" t="s">
        <v>134</v>
      </c>
      <c r="K70" s="317" t="s">
        <v>133</v>
      </c>
      <c r="L70" s="449" t="s">
        <v>134</v>
      </c>
      <c r="M70" s="317" t="s">
        <v>133</v>
      </c>
      <c r="N70" s="441" t="s">
        <v>134</v>
      </c>
      <c r="O70" s="411" t="s">
        <v>133</v>
      </c>
      <c r="P70" s="412" t="s">
        <v>134</v>
      </c>
      <c r="Q70" s="411" t="s">
        <v>133</v>
      </c>
      <c r="R70" s="412" t="s">
        <v>134</v>
      </c>
      <c r="S70" s="411" t="s">
        <v>133</v>
      </c>
      <c r="T70" s="412" t="s">
        <v>134</v>
      </c>
      <c r="U70" s="411" t="s">
        <v>133</v>
      </c>
      <c r="V70" s="412" t="s">
        <v>134</v>
      </c>
      <c r="W70" s="411" t="s">
        <v>133</v>
      </c>
      <c r="X70" s="412" t="s">
        <v>134</v>
      </c>
      <c r="Y70" s="411" t="s">
        <v>133</v>
      </c>
      <c r="Z70" s="289" t="s">
        <v>134</v>
      </c>
      <c r="AB70" s="952" t="s">
        <v>133</v>
      </c>
      <c r="AC70" s="862" t="s">
        <v>134</v>
      </c>
    </row>
    <row r="71" spans="2:29" s="3" customFormat="1" ht="12" x14ac:dyDescent="0.2">
      <c r="B71" s="75" t="s">
        <v>87</v>
      </c>
      <c r="C71" s="319">
        <v>15</v>
      </c>
      <c r="D71" s="216">
        <f>C71/D$69</f>
        <v>0.75</v>
      </c>
      <c r="E71" s="173">
        <v>11</v>
      </c>
      <c r="F71" s="221">
        <f t="shared" ref="F71:H78" si="6">E71/F$69</f>
        <v>0.61111111111111116</v>
      </c>
      <c r="G71" s="215">
        <v>11</v>
      </c>
      <c r="H71" s="216">
        <f t="shared" si="6"/>
        <v>0.57894736842105265</v>
      </c>
      <c r="I71" s="173">
        <v>14</v>
      </c>
      <c r="J71" s="216">
        <f t="shared" ref="J71:L78" si="7">I71/J$69</f>
        <v>0.73684210526315785</v>
      </c>
      <c r="K71" s="173">
        <f>14</f>
        <v>14</v>
      </c>
      <c r="L71" s="221">
        <f t="shared" si="7"/>
        <v>0.7</v>
      </c>
      <c r="M71" s="215">
        <v>13</v>
      </c>
      <c r="N71" s="216">
        <f t="shared" ref="N71:T78" si="8">M71/N$69</f>
        <v>0.68421052631578949</v>
      </c>
      <c r="O71" s="173">
        <v>14</v>
      </c>
      <c r="P71" s="216">
        <f t="shared" si="8"/>
        <v>0.77777777777777779</v>
      </c>
      <c r="Q71" s="173">
        <v>14</v>
      </c>
      <c r="R71" s="216">
        <f t="shared" si="8"/>
        <v>0.73684210526315785</v>
      </c>
      <c r="S71" s="173">
        <f>0+13</f>
        <v>13</v>
      </c>
      <c r="T71" s="216">
        <f t="shared" si="8"/>
        <v>0.68421052631578949</v>
      </c>
      <c r="U71" s="173">
        <v>14</v>
      </c>
      <c r="V71" s="216">
        <f t="shared" ref="V71:V78" si="9">U71/V$69</f>
        <v>0.66666666666666663</v>
      </c>
      <c r="W71" s="173">
        <v>14</v>
      </c>
      <c r="X71" s="216">
        <f t="shared" ref="X71:Z78" si="10">W71/X$69</f>
        <v>0.7</v>
      </c>
      <c r="Y71" s="173">
        <v>14</v>
      </c>
      <c r="Z71" s="1494">
        <f t="shared" si="10"/>
        <v>0.7</v>
      </c>
      <c r="AB71" s="1016">
        <f t="shared" ref="AB71:AB90" si="11">AVERAGE(U71,S71,Q71,Y71,W71)</f>
        <v>13.8</v>
      </c>
      <c r="AC71" s="863">
        <f t="shared" ref="AC71:AC90" si="12">AVERAGE(V71,T71,R71,Z71,X71)</f>
        <v>0.6975438596491228</v>
      </c>
    </row>
    <row r="72" spans="2:29" s="3" customFormat="1" ht="12" x14ac:dyDescent="0.2">
      <c r="B72" s="85" t="s">
        <v>88</v>
      </c>
      <c r="C72" s="319">
        <v>0</v>
      </c>
      <c r="D72" s="216">
        <f t="shared" ref="D72:D90" si="13">C72/$D$69</f>
        <v>0</v>
      </c>
      <c r="E72" s="173">
        <v>0</v>
      </c>
      <c r="F72" s="221">
        <f t="shared" si="6"/>
        <v>0</v>
      </c>
      <c r="G72" s="215">
        <v>0</v>
      </c>
      <c r="H72" s="216">
        <f t="shared" si="6"/>
        <v>0</v>
      </c>
      <c r="I72" s="173">
        <v>0</v>
      </c>
      <c r="J72" s="216">
        <f t="shared" si="7"/>
        <v>0</v>
      </c>
      <c r="K72" s="173">
        <v>0</v>
      </c>
      <c r="L72" s="221">
        <f t="shared" si="7"/>
        <v>0</v>
      </c>
      <c r="M72" s="215">
        <v>0</v>
      </c>
      <c r="N72" s="216">
        <f t="shared" si="8"/>
        <v>0</v>
      </c>
      <c r="O72" s="173">
        <v>3</v>
      </c>
      <c r="P72" s="216">
        <f t="shared" si="8"/>
        <v>0.16666666666666666</v>
      </c>
      <c r="Q72" s="173">
        <v>0</v>
      </c>
      <c r="R72" s="216">
        <f t="shared" si="8"/>
        <v>0</v>
      </c>
      <c r="S72" s="173">
        <f>0+0</f>
        <v>0</v>
      </c>
      <c r="T72" s="216">
        <f t="shared" si="8"/>
        <v>0</v>
      </c>
      <c r="U72" s="173">
        <v>0</v>
      </c>
      <c r="V72" s="216">
        <f t="shared" si="9"/>
        <v>0</v>
      </c>
      <c r="W72" s="173">
        <v>0</v>
      </c>
      <c r="X72" s="216">
        <f t="shared" si="10"/>
        <v>0</v>
      </c>
      <c r="Y72" s="173">
        <v>0</v>
      </c>
      <c r="Z72" s="1494">
        <f t="shared" si="10"/>
        <v>0</v>
      </c>
      <c r="AB72" s="1016">
        <f t="shared" si="11"/>
        <v>0</v>
      </c>
      <c r="AC72" s="863">
        <f t="shared" si="12"/>
        <v>0</v>
      </c>
    </row>
    <row r="73" spans="2:29" s="3" customFormat="1" ht="12" x14ac:dyDescent="0.2">
      <c r="B73" s="85" t="s">
        <v>89</v>
      </c>
      <c r="C73" s="319">
        <v>1</v>
      </c>
      <c r="D73" s="216">
        <f t="shared" si="13"/>
        <v>0.05</v>
      </c>
      <c r="E73" s="173">
        <v>1</v>
      </c>
      <c r="F73" s="221">
        <f t="shared" si="6"/>
        <v>5.5555555555555552E-2</v>
      </c>
      <c r="G73" s="215">
        <v>1</v>
      </c>
      <c r="H73" s="216">
        <f t="shared" si="6"/>
        <v>5.2631578947368418E-2</v>
      </c>
      <c r="I73" s="173">
        <v>0</v>
      </c>
      <c r="J73" s="216">
        <f t="shared" si="7"/>
        <v>0</v>
      </c>
      <c r="K73" s="173">
        <v>0</v>
      </c>
      <c r="L73" s="221">
        <f t="shared" si="7"/>
        <v>0</v>
      </c>
      <c r="M73" s="215">
        <v>0</v>
      </c>
      <c r="N73" s="216">
        <f t="shared" si="8"/>
        <v>0</v>
      </c>
      <c r="O73" s="173">
        <v>0</v>
      </c>
      <c r="P73" s="216">
        <f t="shared" si="8"/>
        <v>0</v>
      </c>
      <c r="Q73" s="173">
        <v>0</v>
      </c>
      <c r="R73" s="216">
        <f t="shared" si="8"/>
        <v>0</v>
      </c>
      <c r="S73" s="173">
        <f>0</f>
        <v>0</v>
      </c>
      <c r="T73" s="216">
        <f t="shared" si="8"/>
        <v>0</v>
      </c>
      <c r="U73" s="173">
        <v>0</v>
      </c>
      <c r="V73" s="216">
        <f t="shared" si="9"/>
        <v>0</v>
      </c>
      <c r="W73" s="173">
        <v>0</v>
      </c>
      <c r="X73" s="216">
        <f t="shared" si="10"/>
        <v>0</v>
      </c>
      <c r="Y73" s="173">
        <v>0</v>
      </c>
      <c r="Z73" s="1494">
        <f t="shared" si="10"/>
        <v>0</v>
      </c>
      <c r="AB73" s="1016">
        <f t="shared" si="11"/>
        <v>0</v>
      </c>
      <c r="AC73" s="863">
        <f t="shared" si="12"/>
        <v>0</v>
      </c>
    </row>
    <row r="74" spans="2:29" s="3" customFormat="1" ht="12" x14ac:dyDescent="0.2">
      <c r="B74" s="85" t="s">
        <v>90</v>
      </c>
      <c r="C74" s="319">
        <v>0</v>
      </c>
      <c r="D74" s="216">
        <f t="shared" si="13"/>
        <v>0</v>
      </c>
      <c r="E74" s="173">
        <v>0</v>
      </c>
      <c r="F74" s="221">
        <f t="shared" si="6"/>
        <v>0</v>
      </c>
      <c r="G74" s="215">
        <v>0</v>
      </c>
      <c r="H74" s="216">
        <f t="shared" si="6"/>
        <v>0</v>
      </c>
      <c r="I74" s="173">
        <v>0</v>
      </c>
      <c r="J74" s="216">
        <f t="shared" si="7"/>
        <v>0</v>
      </c>
      <c r="K74" s="173">
        <v>0</v>
      </c>
      <c r="L74" s="221">
        <f t="shared" si="7"/>
        <v>0</v>
      </c>
      <c r="M74" s="215">
        <v>0</v>
      </c>
      <c r="N74" s="216">
        <f t="shared" si="8"/>
        <v>0</v>
      </c>
      <c r="O74" s="173">
        <v>0</v>
      </c>
      <c r="P74" s="216">
        <f t="shared" si="8"/>
        <v>0</v>
      </c>
      <c r="Q74" s="173">
        <v>0</v>
      </c>
      <c r="R74" s="216">
        <f t="shared" si="8"/>
        <v>0</v>
      </c>
      <c r="S74" s="173">
        <f>0</f>
        <v>0</v>
      </c>
      <c r="T74" s="216">
        <f t="shared" si="8"/>
        <v>0</v>
      </c>
      <c r="U74" s="173">
        <v>0</v>
      </c>
      <c r="V74" s="216">
        <f t="shared" si="9"/>
        <v>0</v>
      </c>
      <c r="W74" s="173">
        <v>0</v>
      </c>
      <c r="X74" s="216">
        <f t="shared" si="10"/>
        <v>0</v>
      </c>
      <c r="Y74" s="173">
        <v>0</v>
      </c>
      <c r="Z74" s="1494">
        <f t="shared" si="10"/>
        <v>0</v>
      </c>
      <c r="AB74" s="1016">
        <f t="shared" si="11"/>
        <v>0</v>
      </c>
      <c r="AC74" s="863">
        <f t="shared" si="12"/>
        <v>0</v>
      </c>
    </row>
    <row r="75" spans="2:29" s="3" customFormat="1" ht="12" x14ac:dyDescent="0.2">
      <c r="B75" s="85" t="s">
        <v>91</v>
      </c>
      <c r="C75" s="319">
        <v>1</v>
      </c>
      <c r="D75" s="216">
        <f t="shared" si="13"/>
        <v>0.05</v>
      </c>
      <c r="E75" s="173">
        <v>2</v>
      </c>
      <c r="F75" s="221">
        <f t="shared" si="6"/>
        <v>0.1111111111111111</v>
      </c>
      <c r="G75" s="215">
        <v>1</v>
      </c>
      <c r="H75" s="216">
        <f t="shared" si="6"/>
        <v>5.2631578947368418E-2</v>
      </c>
      <c r="I75" s="173">
        <v>2</v>
      </c>
      <c r="J75" s="216">
        <f t="shared" si="7"/>
        <v>0.10526315789473684</v>
      </c>
      <c r="K75" s="173">
        <f>2+1</f>
        <v>3</v>
      </c>
      <c r="L75" s="221">
        <f t="shared" si="7"/>
        <v>0.15</v>
      </c>
      <c r="M75" s="215">
        <f>3+1</f>
        <v>4</v>
      </c>
      <c r="N75" s="216">
        <f t="shared" si="8"/>
        <v>0.21052631578947367</v>
      </c>
      <c r="O75" s="173">
        <v>1</v>
      </c>
      <c r="P75" s="216">
        <f t="shared" si="8"/>
        <v>5.5555555555555552E-2</v>
      </c>
      <c r="Q75" s="173">
        <v>4</v>
      </c>
      <c r="R75" s="216">
        <f t="shared" si="8"/>
        <v>0.21052631578947367</v>
      </c>
      <c r="S75" s="173">
        <f>5+0</f>
        <v>5</v>
      </c>
      <c r="T75" s="216">
        <f t="shared" si="8"/>
        <v>0.26315789473684209</v>
      </c>
      <c r="U75" s="173">
        <v>6</v>
      </c>
      <c r="V75" s="216">
        <f t="shared" si="9"/>
        <v>0.2857142857142857</v>
      </c>
      <c r="W75" s="173">
        <v>5</v>
      </c>
      <c r="X75" s="216">
        <f t="shared" si="10"/>
        <v>0.25</v>
      </c>
      <c r="Y75" s="173">
        <v>6</v>
      </c>
      <c r="Z75" s="1494">
        <f t="shared" si="10"/>
        <v>0.3</v>
      </c>
      <c r="AB75" s="1016">
        <f t="shared" si="11"/>
        <v>5.2</v>
      </c>
      <c r="AC75" s="863">
        <f t="shared" si="12"/>
        <v>0.26187969924812032</v>
      </c>
    </row>
    <row r="76" spans="2:29" s="3" customFormat="1" ht="12" x14ac:dyDescent="0.2">
      <c r="B76" s="85" t="s">
        <v>92</v>
      </c>
      <c r="C76" s="319">
        <v>3</v>
      </c>
      <c r="D76" s="216">
        <f t="shared" si="13"/>
        <v>0.15</v>
      </c>
      <c r="E76" s="173">
        <v>4</v>
      </c>
      <c r="F76" s="221">
        <f t="shared" si="6"/>
        <v>0.22222222222222221</v>
      </c>
      <c r="G76" s="215">
        <v>6</v>
      </c>
      <c r="H76" s="216">
        <f t="shared" si="6"/>
        <v>0.31578947368421051</v>
      </c>
      <c r="I76" s="173">
        <v>3</v>
      </c>
      <c r="J76" s="216">
        <f t="shared" si="7"/>
        <v>0.15789473684210525</v>
      </c>
      <c r="K76" s="173">
        <f>3</f>
        <v>3</v>
      </c>
      <c r="L76" s="221">
        <f t="shared" si="7"/>
        <v>0.15</v>
      </c>
      <c r="M76" s="215">
        <v>2</v>
      </c>
      <c r="N76" s="216">
        <f t="shared" si="8"/>
        <v>0.10526315789473684</v>
      </c>
      <c r="O76" s="173">
        <v>0</v>
      </c>
      <c r="P76" s="216">
        <f t="shared" si="8"/>
        <v>0</v>
      </c>
      <c r="Q76" s="173">
        <v>1</v>
      </c>
      <c r="R76" s="216">
        <f t="shared" si="8"/>
        <v>5.2631578947368418E-2</v>
      </c>
      <c r="S76" s="173">
        <f>1+0</f>
        <v>1</v>
      </c>
      <c r="T76" s="216">
        <f t="shared" si="8"/>
        <v>5.2631578947368418E-2</v>
      </c>
      <c r="U76" s="173">
        <v>0</v>
      </c>
      <c r="V76" s="216">
        <f t="shared" si="9"/>
        <v>0</v>
      </c>
      <c r="W76" s="173">
        <v>1</v>
      </c>
      <c r="X76" s="216">
        <f t="shared" si="10"/>
        <v>0.05</v>
      </c>
      <c r="Y76" s="173">
        <v>0</v>
      </c>
      <c r="Z76" s="1494">
        <f t="shared" si="10"/>
        <v>0</v>
      </c>
      <c r="AB76" s="1016">
        <f t="shared" si="11"/>
        <v>0.6</v>
      </c>
      <c r="AC76" s="863">
        <f t="shared" si="12"/>
        <v>3.1052631578947366E-2</v>
      </c>
    </row>
    <row r="77" spans="2:29" s="3" customFormat="1" ht="12" x14ac:dyDescent="0.2">
      <c r="B77" s="85" t="s">
        <v>256</v>
      </c>
      <c r="C77" s="346"/>
      <c r="D77" s="216"/>
      <c r="E77" s="174"/>
      <c r="F77" s="221"/>
      <c r="G77" s="1501"/>
      <c r="H77" s="1502"/>
      <c r="I77" s="1429"/>
      <c r="J77" s="1502"/>
      <c r="K77" s="1429"/>
      <c r="L77" s="1503"/>
      <c r="M77" s="1501"/>
      <c r="N77" s="1502"/>
      <c r="O77" s="1429"/>
      <c r="P77" s="1502"/>
      <c r="Q77" s="174">
        <v>0</v>
      </c>
      <c r="R77" s="216">
        <f t="shared" si="8"/>
        <v>0</v>
      </c>
      <c r="S77" s="174">
        <f>0</f>
        <v>0</v>
      </c>
      <c r="T77" s="216">
        <f t="shared" si="8"/>
        <v>0</v>
      </c>
      <c r="U77" s="174">
        <v>1</v>
      </c>
      <c r="V77" s="216">
        <f t="shared" si="9"/>
        <v>4.7619047619047616E-2</v>
      </c>
      <c r="W77" s="174">
        <v>0</v>
      </c>
      <c r="X77" s="216">
        <f t="shared" si="10"/>
        <v>0</v>
      </c>
      <c r="Y77" s="174">
        <v>0</v>
      </c>
      <c r="Z77" s="1494">
        <f t="shared" si="10"/>
        <v>0</v>
      </c>
      <c r="AB77" s="1016">
        <f t="shared" si="11"/>
        <v>0.2</v>
      </c>
      <c r="AC77" s="863">
        <f t="shared" si="12"/>
        <v>9.5238095238095229E-3</v>
      </c>
    </row>
    <row r="78" spans="2:29" s="3" customFormat="1" ht="12" x14ac:dyDescent="0.2">
      <c r="B78" s="85" t="s">
        <v>93</v>
      </c>
      <c r="C78" s="346">
        <v>0</v>
      </c>
      <c r="D78" s="216">
        <f t="shared" si="13"/>
        <v>0</v>
      </c>
      <c r="E78" s="174">
        <v>0</v>
      </c>
      <c r="F78" s="221">
        <f t="shared" si="6"/>
        <v>0</v>
      </c>
      <c r="G78" s="217">
        <v>0</v>
      </c>
      <c r="H78" s="216">
        <f t="shared" si="6"/>
        <v>0</v>
      </c>
      <c r="I78" s="174">
        <v>0</v>
      </c>
      <c r="J78" s="216">
        <f t="shared" si="7"/>
        <v>0</v>
      </c>
      <c r="K78" s="174">
        <v>0</v>
      </c>
      <c r="L78" s="221">
        <f t="shared" si="7"/>
        <v>0</v>
      </c>
      <c r="M78" s="217">
        <v>0</v>
      </c>
      <c r="N78" s="216">
        <f t="shared" si="8"/>
        <v>0</v>
      </c>
      <c r="O78" s="174">
        <v>0</v>
      </c>
      <c r="P78" s="216">
        <f t="shared" si="8"/>
        <v>0</v>
      </c>
      <c r="Q78" s="174">
        <v>0</v>
      </c>
      <c r="R78" s="216">
        <f t="shared" si="8"/>
        <v>0</v>
      </c>
      <c r="S78" s="174">
        <f>0</f>
        <v>0</v>
      </c>
      <c r="T78" s="216">
        <f t="shared" si="8"/>
        <v>0</v>
      </c>
      <c r="U78" s="174">
        <v>0</v>
      </c>
      <c r="V78" s="216">
        <f t="shared" si="9"/>
        <v>0</v>
      </c>
      <c r="W78" s="174">
        <v>0</v>
      </c>
      <c r="X78" s="216">
        <f t="shared" si="10"/>
        <v>0</v>
      </c>
      <c r="Y78" s="174">
        <v>0</v>
      </c>
      <c r="Z78" s="1494">
        <f t="shared" si="10"/>
        <v>0</v>
      </c>
      <c r="AB78" s="1016">
        <f t="shared" si="11"/>
        <v>0</v>
      </c>
      <c r="AC78" s="863">
        <f t="shared" si="12"/>
        <v>0</v>
      </c>
    </row>
    <row r="79" spans="2:29" s="3" customFormat="1" ht="12" x14ac:dyDescent="0.2">
      <c r="B79" s="343" t="s">
        <v>136</v>
      </c>
      <c r="C79" s="218"/>
      <c r="D79" s="216"/>
      <c r="E79" s="226"/>
      <c r="F79" s="310"/>
      <c r="G79" s="326"/>
      <c r="H79" s="394"/>
      <c r="I79" s="226"/>
      <c r="J79" s="394"/>
      <c r="K79" s="226"/>
      <c r="L79" s="310"/>
      <c r="M79" s="326"/>
      <c r="N79" s="394"/>
      <c r="O79" s="226"/>
      <c r="P79" s="394"/>
      <c r="Q79" s="226"/>
      <c r="R79" s="394"/>
      <c r="S79" s="226"/>
      <c r="T79" s="394"/>
      <c r="U79" s="226"/>
      <c r="V79" s="394"/>
      <c r="W79" s="226"/>
      <c r="X79" s="394"/>
      <c r="Y79" s="226"/>
      <c r="Z79" s="1500"/>
      <c r="AA79" s="955"/>
      <c r="AB79" s="1016"/>
      <c r="AC79" s="863"/>
    </row>
    <row r="80" spans="2:29" s="3" customFormat="1" ht="12" x14ac:dyDescent="0.2">
      <c r="B80" s="75" t="s">
        <v>124</v>
      </c>
      <c r="C80" s="230">
        <v>16</v>
      </c>
      <c r="D80" s="216">
        <f t="shared" si="13"/>
        <v>0.8</v>
      </c>
      <c r="E80" s="171">
        <v>14</v>
      </c>
      <c r="F80" s="311">
        <f>E80/F$69</f>
        <v>0.77777777777777779</v>
      </c>
      <c r="G80" s="229">
        <v>15</v>
      </c>
      <c r="H80" s="395">
        <f>G80/H$69</f>
        <v>0.78947368421052633</v>
      </c>
      <c r="I80" s="183">
        <v>16</v>
      </c>
      <c r="J80" s="216">
        <f>I80/J$69</f>
        <v>0.84210526315789469</v>
      </c>
      <c r="K80" s="183">
        <v>16</v>
      </c>
      <c r="L80" s="221">
        <f>K80/L$69</f>
        <v>0.8</v>
      </c>
      <c r="M80" s="229">
        <v>15</v>
      </c>
      <c r="N80" s="216">
        <f>M80/N$69</f>
        <v>0.78947368421052633</v>
      </c>
      <c r="O80" s="183">
        <v>14</v>
      </c>
      <c r="P80" s="216">
        <f>O80/P$69</f>
        <v>0.77777777777777779</v>
      </c>
      <c r="Q80" s="183">
        <v>15</v>
      </c>
      <c r="R80" s="216">
        <f>Q80/R$69</f>
        <v>0.78947368421052633</v>
      </c>
      <c r="S80" s="183">
        <f>0+15</f>
        <v>15</v>
      </c>
      <c r="T80" s="216">
        <f>S80/T$69</f>
        <v>0.78947368421052633</v>
      </c>
      <c r="U80" s="183">
        <v>17</v>
      </c>
      <c r="V80" s="216">
        <f>U80/V$69</f>
        <v>0.80952380952380953</v>
      </c>
      <c r="W80" s="183">
        <v>15</v>
      </c>
      <c r="X80" s="216">
        <f>W80/X$69</f>
        <v>0.75</v>
      </c>
      <c r="Y80" s="183">
        <v>16</v>
      </c>
      <c r="Z80" s="1494">
        <f>Y80/Z$69</f>
        <v>0.8</v>
      </c>
      <c r="AA80" s="955"/>
      <c r="AB80" s="1016">
        <f t="shared" si="11"/>
        <v>15.6</v>
      </c>
      <c r="AC80" s="863">
        <f t="shared" si="12"/>
        <v>0.78769423558897245</v>
      </c>
    </row>
    <row r="81" spans="1:31" s="3" customFormat="1" ht="12" x14ac:dyDescent="0.2">
      <c r="B81" s="75" t="s">
        <v>125</v>
      </c>
      <c r="C81" s="230">
        <v>4</v>
      </c>
      <c r="D81" s="216">
        <f t="shared" si="13"/>
        <v>0.2</v>
      </c>
      <c r="E81" s="223">
        <v>4</v>
      </c>
      <c r="F81" s="311">
        <f>E81/F$69</f>
        <v>0.22222222222222221</v>
      </c>
      <c r="G81" s="230">
        <v>4</v>
      </c>
      <c r="H81" s="395">
        <f>G81/H$69</f>
        <v>0.21052631578947367</v>
      </c>
      <c r="I81" s="283">
        <v>3</v>
      </c>
      <c r="J81" s="216">
        <f>I81/J$69</f>
        <v>0.15789473684210525</v>
      </c>
      <c r="K81" s="283">
        <v>4</v>
      </c>
      <c r="L81" s="221">
        <f>K81/L$69</f>
        <v>0.2</v>
      </c>
      <c r="M81" s="230">
        <f>3+1</f>
        <v>4</v>
      </c>
      <c r="N81" s="216">
        <f>M81/N$69</f>
        <v>0.21052631578947367</v>
      </c>
      <c r="O81" s="283">
        <v>4</v>
      </c>
      <c r="P81" s="216">
        <f>O81/P$69</f>
        <v>0.22222222222222221</v>
      </c>
      <c r="Q81" s="283">
        <v>4</v>
      </c>
      <c r="R81" s="216">
        <f>Q81/R$69</f>
        <v>0.21052631578947367</v>
      </c>
      <c r="S81" s="283">
        <f>1+3</f>
        <v>4</v>
      </c>
      <c r="T81" s="216">
        <f>S81/T$69</f>
        <v>0.21052631578947367</v>
      </c>
      <c r="U81" s="283">
        <v>4</v>
      </c>
      <c r="V81" s="216">
        <f>U81/V$69</f>
        <v>0.19047619047619047</v>
      </c>
      <c r="W81" s="283">
        <v>5</v>
      </c>
      <c r="X81" s="216">
        <f>W81/X$69</f>
        <v>0.25</v>
      </c>
      <c r="Y81" s="283">
        <v>4</v>
      </c>
      <c r="Z81" s="1494">
        <f>Y81/Z$69</f>
        <v>0.2</v>
      </c>
      <c r="AA81" s="955"/>
      <c r="AB81" s="1016">
        <f t="shared" si="11"/>
        <v>4.2</v>
      </c>
      <c r="AC81" s="863">
        <f t="shared" si="12"/>
        <v>0.21230576441102755</v>
      </c>
    </row>
    <row r="82" spans="1:31" s="3" customFormat="1" ht="12" x14ac:dyDescent="0.2">
      <c r="B82" s="343" t="s">
        <v>137</v>
      </c>
      <c r="C82" s="219"/>
      <c r="D82" s="216"/>
      <c r="E82" s="227"/>
      <c r="F82" s="311"/>
      <c r="G82" s="315"/>
      <c r="H82" s="395"/>
      <c r="I82" s="285"/>
      <c r="J82" s="216"/>
      <c r="K82" s="285"/>
      <c r="L82" s="221"/>
      <c r="M82" s="315"/>
      <c r="N82" s="216"/>
      <c r="O82" s="285"/>
      <c r="P82" s="216"/>
      <c r="Q82" s="285"/>
      <c r="R82" s="216"/>
      <c r="S82" s="285"/>
      <c r="T82" s="216"/>
      <c r="U82" s="285"/>
      <c r="V82" s="216"/>
      <c r="W82" s="285"/>
      <c r="X82" s="216"/>
      <c r="Y82" s="285"/>
      <c r="Z82" s="1494"/>
      <c r="AA82" s="955"/>
      <c r="AB82" s="1016"/>
      <c r="AC82" s="863"/>
    </row>
    <row r="83" spans="1:31" s="3" customFormat="1" ht="12" x14ac:dyDescent="0.2">
      <c r="B83" s="75" t="s">
        <v>126</v>
      </c>
      <c r="C83" s="224">
        <v>12</v>
      </c>
      <c r="D83" s="216">
        <f t="shared" si="13"/>
        <v>0.6</v>
      </c>
      <c r="E83" s="223">
        <v>10</v>
      </c>
      <c r="F83" s="311">
        <f>E83/F$69</f>
        <v>0.55555555555555558</v>
      </c>
      <c r="G83" s="230">
        <v>10</v>
      </c>
      <c r="H83" s="395">
        <f>G83/H$69</f>
        <v>0.52631578947368418</v>
      </c>
      <c r="I83" s="283">
        <v>10</v>
      </c>
      <c r="J83" s="216">
        <f>I83/J$69</f>
        <v>0.52631578947368418</v>
      </c>
      <c r="K83" s="283">
        <v>12</v>
      </c>
      <c r="L83" s="221">
        <f>K83/L$69</f>
        <v>0.6</v>
      </c>
      <c r="M83" s="230">
        <v>12</v>
      </c>
      <c r="N83" s="216">
        <f>M83/N$69</f>
        <v>0.63157894736842102</v>
      </c>
      <c r="O83" s="283">
        <v>12</v>
      </c>
      <c r="P83" s="216">
        <f>O83/P$69</f>
        <v>0.66666666666666663</v>
      </c>
      <c r="Q83" s="283">
        <v>13</v>
      </c>
      <c r="R83" s="216">
        <f>Q83/R$69</f>
        <v>0.68421052631578949</v>
      </c>
      <c r="S83" s="283">
        <f>0+13</f>
        <v>13</v>
      </c>
      <c r="T83" s="216">
        <f>S83/T$69</f>
        <v>0.68421052631578949</v>
      </c>
      <c r="U83" s="283">
        <v>15</v>
      </c>
      <c r="V83" s="216">
        <f>U83/V$69</f>
        <v>0.7142857142857143</v>
      </c>
      <c r="W83" s="283">
        <v>14</v>
      </c>
      <c r="X83" s="216">
        <f>W83/X$69</f>
        <v>0.7</v>
      </c>
      <c r="Y83" s="283">
        <v>14</v>
      </c>
      <c r="Z83" s="1494">
        <f>Y83/Z$69</f>
        <v>0.7</v>
      </c>
      <c r="AA83" s="955"/>
      <c r="AB83" s="1016">
        <f t="shared" si="11"/>
        <v>13.8</v>
      </c>
      <c r="AC83" s="863">
        <f t="shared" si="12"/>
        <v>0.69654135338345868</v>
      </c>
    </row>
    <row r="84" spans="1:31" s="3" customFormat="1" ht="12" x14ac:dyDescent="0.2">
      <c r="B84" s="75" t="s">
        <v>127</v>
      </c>
      <c r="C84" s="224">
        <v>3</v>
      </c>
      <c r="D84" s="216">
        <f t="shared" si="13"/>
        <v>0.15</v>
      </c>
      <c r="E84" s="223">
        <v>4</v>
      </c>
      <c r="F84" s="311">
        <f>E84/F$69</f>
        <v>0.22222222222222221</v>
      </c>
      <c r="G84" s="230">
        <v>5</v>
      </c>
      <c r="H84" s="395">
        <f>G84/H$69</f>
        <v>0.26315789473684209</v>
      </c>
      <c r="I84" s="283">
        <v>5</v>
      </c>
      <c r="J84" s="216">
        <f>I84/J$69</f>
        <v>0.26315789473684209</v>
      </c>
      <c r="K84" s="283">
        <v>5</v>
      </c>
      <c r="L84" s="221">
        <f>K84/L$69</f>
        <v>0.25</v>
      </c>
      <c r="M84" s="230">
        <v>5</v>
      </c>
      <c r="N84" s="216">
        <f>M84/N$69</f>
        <v>0.26315789473684209</v>
      </c>
      <c r="O84" s="283">
        <v>4</v>
      </c>
      <c r="P84" s="216">
        <f>O84/P$69</f>
        <v>0.22222222222222221</v>
      </c>
      <c r="Q84" s="283">
        <v>3</v>
      </c>
      <c r="R84" s="216">
        <f>Q84/R$69</f>
        <v>0.15789473684210525</v>
      </c>
      <c r="S84" s="283">
        <f>0+4</f>
        <v>4</v>
      </c>
      <c r="T84" s="216">
        <f>S84/T$69</f>
        <v>0.21052631578947367</v>
      </c>
      <c r="U84" s="283">
        <v>1</v>
      </c>
      <c r="V84" s="216">
        <f>U84/V$69</f>
        <v>4.7619047619047616E-2</v>
      </c>
      <c r="W84" s="283">
        <v>2</v>
      </c>
      <c r="X84" s="216">
        <f>W84/X$69</f>
        <v>0.1</v>
      </c>
      <c r="Y84" s="283">
        <v>4</v>
      </c>
      <c r="Z84" s="1494">
        <f>Y84/Z$69</f>
        <v>0.2</v>
      </c>
      <c r="AA84" s="955"/>
      <c r="AB84" s="1016">
        <f t="shared" si="11"/>
        <v>2.8</v>
      </c>
      <c r="AC84" s="863">
        <f t="shared" si="12"/>
        <v>0.14320802005012531</v>
      </c>
    </row>
    <row r="85" spans="1:31" s="3" customFormat="1" ht="12" x14ac:dyDescent="0.2">
      <c r="B85" s="75" t="s">
        <v>128</v>
      </c>
      <c r="C85" s="224">
        <v>5</v>
      </c>
      <c r="D85" s="216">
        <f t="shared" si="13"/>
        <v>0.25</v>
      </c>
      <c r="E85" s="223">
        <v>4</v>
      </c>
      <c r="F85" s="311">
        <f>E85/F$69</f>
        <v>0.22222222222222221</v>
      </c>
      <c r="G85" s="230">
        <v>4</v>
      </c>
      <c r="H85" s="395">
        <f>G85/H$69</f>
        <v>0.21052631578947367</v>
      </c>
      <c r="I85" s="283">
        <v>4</v>
      </c>
      <c r="J85" s="216">
        <f>I85/J$69</f>
        <v>0.21052631578947367</v>
      </c>
      <c r="K85" s="283">
        <v>3</v>
      </c>
      <c r="L85" s="221">
        <f>K85/L$69</f>
        <v>0.15</v>
      </c>
      <c r="M85" s="230">
        <f>1+1</f>
        <v>2</v>
      </c>
      <c r="N85" s="216">
        <f>M85/N$69</f>
        <v>0.10526315789473684</v>
      </c>
      <c r="O85" s="283">
        <v>2</v>
      </c>
      <c r="P85" s="216">
        <f>O85/P$69</f>
        <v>0.1111111111111111</v>
      </c>
      <c r="Q85" s="283">
        <v>3</v>
      </c>
      <c r="R85" s="216">
        <f>Q85/R$69</f>
        <v>0.15789473684210525</v>
      </c>
      <c r="S85" s="283">
        <f>1+1</f>
        <v>2</v>
      </c>
      <c r="T85" s="216">
        <f>S85/T$69</f>
        <v>0.10526315789473684</v>
      </c>
      <c r="U85" s="283">
        <v>5</v>
      </c>
      <c r="V85" s="216">
        <f>U85/V$69</f>
        <v>0.23809523809523808</v>
      </c>
      <c r="W85" s="283">
        <v>4</v>
      </c>
      <c r="X85" s="216">
        <f>W85/X$69</f>
        <v>0.2</v>
      </c>
      <c r="Y85" s="283">
        <v>2</v>
      </c>
      <c r="Z85" s="1494">
        <f>Y85/Z$69</f>
        <v>0.1</v>
      </c>
      <c r="AA85" s="955"/>
      <c r="AB85" s="1016">
        <f t="shared" si="11"/>
        <v>3.2</v>
      </c>
      <c r="AC85" s="863">
        <f t="shared" si="12"/>
        <v>0.16025062656641603</v>
      </c>
    </row>
    <row r="86" spans="1:31" s="3" customFormat="1" ht="12" x14ac:dyDescent="0.2">
      <c r="B86" s="343" t="s">
        <v>138</v>
      </c>
      <c r="C86" s="219"/>
      <c r="D86" s="216"/>
      <c r="E86" s="227"/>
      <c r="F86" s="311"/>
      <c r="G86" s="315"/>
      <c r="H86" s="395"/>
      <c r="I86" s="285"/>
      <c r="J86" s="216"/>
      <c r="K86" s="285"/>
      <c r="L86" s="221"/>
      <c r="M86" s="315"/>
      <c r="N86" s="216"/>
      <c r="O86" s="285"/>
      <c r="P86" s="216"/>
      <c r="Q86" s="285"/>
      <c r="R86" s="216"/>
      <c r="S86" s="285"/>
      <c r="T86" s="216"/>
      <c r="U86" s="285"/>
      <c r="V86" s="216"/>
      <c r="W86" s="285"/>
      <c r="X86" s="216"/>
      <c r="Y86" s="285"/>
      <c r="Z86" s="1494"/>
      <c r="AA86" s="955"/>
      <c r="AB86" s="1016"/>
      <c r="AC86" s="863"/>
    </row>
    <row r="87" spans="1:31" s="3" customFormat="1" ht="12" x14ac:dyDescent="0.2">
      <c r="B87" s="75" t="s">
        <v>129</v>
      </c>
      <c r="C87" s="224">
        <v>18</v>
      </c>
      <c r="D87" s="216">
        <f t="shared" si="13"/>
        <v>0.9</v>
      </c>
      <c r="E87" s="223">
        <v>17</v>
      </c>
      <c r="F87" s="311">
        <f>E87/F$69</f>
        <v>0.94444444444444442</v>
      </c>
      <c r="G87" s="230">
        <v>17</v>
      </c>
      <c r="H87" s="395">
        <f>G87/H$69</f>
        <v>0.89473684210526316</v>
      </c>
      <c r="I87" s="283">
        <v>17</v>
      </c>
      <c r="J87" s="216">
        <f>I87/J$69</f>
        <v>0.89473684210526316</v>
      </c>
      <c r="K87" s="283">
        <v>19</v>
      </c>
      <c r="L87" s="221">
        <f>K87/L$69</f>
        <v>0.95</v>
      </c>
      <c r="M87" s="230">
        <f>17+1</f>
        <v>18</v>
      </c>
      <c r="N87" s="216">
        <f>M87/N$69</f>
        <v>0.94736842105263153</v>
      </c>
      <c r="O87" s="283">
        <v>17</v>
      </c>
      <c r="P87" s="216">
        <f>O87/P$69</f>
        <v>0.94444444444444442</v>
      </c>
      <c r="Q87" s="283">
        <v>18</v>
      </c>
      <c r="R87" s="216">
        <f>Q87/R$69</f>
        <v>0.94736842105263153</v>
      </c>
      <c r="S87" s="283">
        <f>1+17</f>
        <v>18</v>
      </c>
      <c r="T87" s="216">
        <f>S87/T$69</f>
        <v>0.94736842105263153</v>
      </c>
      <c r="U87" s="283">
        <v>20</v>
      </c>
      <c r="V87" s="216">
        <f>U87/V$69</f>
        <v>0.95238095238095233</v>
      </c>
      <c r="W87" s="283">
        <v>19</v>
      </c>
      <c r="X87" s="216">
        <f>W87/X$69</f>
        <v>0.95</v>
      </c>
      <c r="Y87" s="283">
        <v>19</v>
      </c>
      <c r="Z87" s="1494">
        <f>Y87/Z$69</f>
        <v>0.95</v>
      </c>
      <c r="AA87" s="955"/>
      <c r="AB87" s="1016">
        <f t="shared" si="11"/>
        <v>18.8</v>
      </c>
      <c r="AC87" s="863">
        <f t="shared" si="12"/>
        <v>0.94942355889724317</v>
      </c>
    </row>
    <row r="88" spans="1:31" s="3" customFormat="1" ht="12" x14ac:dyDescent="0.2">
      <c r="B88" s="75" t="s">
        <v>130</v>
      </c>
      <c r="C88" s="224">
        <v>1</v>
      </c>
      <c r="D88" s="216">
        <f t="shared" si="13"/>
        <v>0.05</v>
      </c>
      <c r="E88" s="223">
        <v>0</v>
      </c>
      <c r="F88" s="311">
        <f>E88/F$69</f>
        <v>0</v>
      </c>
      <c r="G88" s="230">
        <v>1</v>
      </c>
      <c r="H88" s="395">
        <f>G88/H$69</f>
        <v>5.2631578947368418E-2</v>
      </c>
      <c r="I88" s="283">
        <v>1</v>
      </c>
      <c r="J88" s="216">
        <f>I88/J$69</f>
        <v>5.2631578947368418E-2</v>
      </c>
      <c r="K88" s="283">
        <v>1</v>
      </c>
      <c r="L88" s="221">
        <f>K88/L$69</f>
        <v>0.05</v>
      </c>
      <c r="M88" s="230">
        <v>1</v>
      </c>
      <c r="N88" s="216">
        <f>M88/N$69</f>
        <v>5.2631578947368418E-2</v>
      </c>
      <c r="O88" s="283">
        <v>1</v>
      </c>
      <c r="P88" s="216">
        <f>O88/P$69</f>
        <v>5.5555555555555552E-2</v>
      </c>
      <c r="Q88" s="283">
        <v>1</v>
      </c>
      <c r="R88" s="216">
        <f>Q88/R$69</f>
        <v>5.2631578947368418E-2</v>
      </c>
      <c r="S88" s="283">
        <f>0+1</f>
        <v>1</v>
      </c>
      <c r="T88" s="216">
        <f>S88/T$69</f>
        <v>5.2631578947368418E-2</v>
      </c>
      <c r="U88" s="283">
        <v>1</v>
      </c>
      <c r="V88" s="216">
        <f>U88/V$69</f>
        <v>4.7619047619047616E-2</v>
      </c>
      <c r="W88" s="283">
        <v>1</v>
      </c>
      <c r="X88" s="216">
        <f>W88/X$69</f>
        <v>0.05</v>
      </c>
      <c r="Y88" s="283">
        <v>1</v>
      </c>
      <c r="Z88" s="1494">
        <f>Y88/Z$69</f>
        <v>0.05</v>
      </c>
      <c r="AA88" s="955"/>
      <c r="AB88" s="1016">
        <f t="shared" si="11"/>
        <v>1</v>
      </c>
      <c r="AC88" s="863">
        <f t="shared" si="12"/>
        <v>5.0576441102756886E-2</v>
      </c>
    </row>
    <row r="89" spans="1:31" s="3" customFormat="1" ht="12" x14ac:dyDescent="0.2">
      <c r="B89" s="75" t="s">
        <v>131</v>
      </c>
      <c r="C89" s="224">
        <v>1</v>
      </c>
      <c r="D89" s="216">
        <f t="shared" si="13"/>
        <v>0.05</v>
      </c>
      <c r="E89" s="223">
        <v>1</v>
      </c>
      <c r="F89" s="311">
        <f>E89/F$69</f>
        <v>5.5555555555555552E-2</v>
      </c>
      <c r="G89" s="230">
        <v>1</v>
      </c>
      <c r="H89" s="395">
        <f>G89/H$69</f>
        <v>5.2631578947368418E-2</v>
      </c>
      <c r="I89" s="283">
        <v>1</v>
      </c>
      <c r="J89" s="216">
        <f>I89/J$69</f>
        <v>5.2631578947368418E-2</v>
      </c>
      <c r="K89" s="283">
        <v>0</v>
      </c>
      <c r="L89" s="221">
        <f>K89/L$69</f>
        <v>0</v>
      </c>
      <c r="M89" s="230">
        <v>0</v>
      </c>
      <c r="N89" s="216">
        <f>M89/N$69</f>
        <v>0</v>
      </c>
      <c r="O89" s="283">
        <v>0</v>
      </c>
      <c r="P89" s="216">
        <f>O89/P$69</f>
        <v>0</v>
      </c>
      <c r="Q89" s="283">
        <v>0</v>
      </c>
      <c r="R89" s="216">
        <f>Q89/R$69</f>
        <v>0</v>
      </c>
      <c r="S89" s="283">
        <f>0</f>
        <v>0</v>
      </c>
      <c r="T89" s="216">
        <f>S89/T$69</f>
        <v>0</v>
      </c>
      <c r="U89" s="283">
        <v>0</v>
      </c>
      <c r="V89" s="216">
        <f>U89/V$69</f>
        <v>0</v>
      </c>
      <c r="W89" s="283">
        <v>0</v>
      </c>
      <c r="X89" s="216">
        <f>W89/X$69</f>
        <v>0</v>
      </c>
      <c r="Y89" s="283">
        <v>0</v>
      </c>
      <c r="Z89" s="1494">
        <f>Y89/Z$69</f>
        <v>0</v>
      </c>
      <c r="AB89" s="1016">
        <f t="shared" si="11"/>
        <v>0</v>
      </c>
      <c r="AC89" s="863">
        <f t="shared" si="12"/>
        <v>0</v>
      </c>
    </row>
    <row r="90" spans="1:31" s="3" customFormat="1" thickBot="1" x14ac:dyDescent="0.25">
      <c r="B90" s="344" t="s">
        <v>132</v>
      </c>
      <c r="C90" s="61">
        <v>0</v>
      </c>
      <c r="D90" s="220">
        <f t="shared" si="13"/>
        <v>0</v>
      </c>
      <c r="E90" s="228">
        <v>0</v>
      </c>
      <c r="F90" s="312">
        <f>E90/F$69</f>
        <v>0</v>
      </c>
      <c r="G90" s="375">
        <v>0</v>
      </c>
      <c r="H90" s="397">
        <f>G90/H$69</f>
        <v>0</v>
      </c>
      <c r="I90" s="284">
        <v>0</v>
      </c>
      <c r="J90" s="220">
        <f>I90/J$69</f>
        <v>0</v>
      </c>
      <c r="K90" s="284">
        <v>0</v>
      </c>
      <c r="L90" s="222">
        <f>K90/L$69</f>
        <v>0</v>
      </c>
      <c r="M90" s="375">
        <v>0</v>
      </c>
      <c r="N90" s="220">
        <f>M90/N$69</f>
        <v>0</v>
      </c>
      <c r="O90" s="284">
        <v>0</v>
      </c>
      <c r="P90" s="220">
        <f>O90/P$69</f>
        <v>0</v>
      </c>
      <c r="Q90" s="284">
        <v>0</v>
      </c>
      <c r="R90" s="220">
        <f>Q90/R$69</f>
        <v>0</v>
      </c>
      <c r="S90" s="284">
        <v>0</v>
      </c>
      <c r="T90" s="220">
        <f>S90/T$69</f>
        <v>0</v>
      </c>
      <c r="U90" s="284">
        <v>0</v>
      </c>
      <c r="V90" s="220">
        <f>U90/V$69</f>
        <v>0</v>
      </c>
      <c r="W90" s="284">
        <v>0</v>
      </c>
      <c r="X90" s="220">
        <f>W90/X$69</f>
        <v>0</v>
      </c>
      <c r="Y90" s="284">
        <v>0</v>
      </c>
      <c r="Z90" s="1495">
        <f>Y90/Z$69</f>
        <v>0</v>
      </c>
      <c r="AB90" s="1016">
        <f t="shared" si="11"/>
        <v>0</v>
      </c>
      <c r="AC90" s="863">
        <f t="shared" si="12"/>
        <v>0</v>
      </c>
    </row>
    <row r="91" spans="1:31" ht="14.25" thickTop="1" thickBot="1" x14ac:dyDescent="0.25">
      <c r="A91" s="1"/>
      <c r="B91" s="956" t="s">
        <v>186</v>
      </c>
      <c r="C91" s="1992" t="s">
        <v>51</v>
      </c>
      <c r="D91" s="1993"/>
      <c r="E91" s="1992" t="s">
        <v>52</v>
      </c>
      <c r="F91" s="1993"/>
      <c r="G91" s="1989" t="s">
        <v>184</v>
      </c>
      <c r="H91" s="1990"/>
      <c r="I91" s="1989" t="s">
        <v>185</v>
      </c>
      <c r="J91" s="1990"/>
      <c r="K91" s="1989" t="s">
        <v>202</v>
      </c>
      <c r="L91" s="1990"/>
      <c r="M91" s="1991" t="s">
        <v>203</v>
      </c>
      <c r="N91" s="1979"/>
      <c r="O91" s="1970" t="s">
        <v>228</v>
      </c>
      <c r="P91" s="1979"/>
      <c r="Q91" s="1970" t="s">
        <v>238</v>
      </c>
      <c r="R91" s="1979"/>
      <c r="S91" s="1970" t="s">
        <v>273</v>
      </c>
      <c r="T91" s="1979"/>
      <c r="U91" s="1970" t="s">
        <v>275</v>
      </c>
      <c r="V91" s="1979"/>
      <c r="W91" s="1970" t="s">
        <v>281</v>
      </c>
      <c r="X91" s="1979"/>
      <c r="Y91" s="1970" t="s">
        <v>291</v>
      </c>
      <c r="Z91" s="1976"/>
      <c r="AB91" s="2003" t="s">
        <v>213</v>
      </c>
      <c r="AC91" s="2004"/>
    </row>
    <row r="92" spans="1:31" x14ac:dyDescent="0.2">
      <c r="A92" s="1"/>
      <c r="B92" s="957"/>
      <c r="C92" s="958"/>
      <c r="D92" s="959"/>
      <c r="E92" s="1273" t="s">
        <v>133</v>
      </c>
      <c r="F92" s="1180" t="s">
        <v>17</v>
      </c>
      <c r="G92" s="958" t="s">
        <v>133</v>
      </c>
      <c r="H92" s="1242" t="s">
        <v>17</v>
      </c>
      <c r="I92" s="1273" t="s">
        <v>133</v>
      </c>
      <c r="J92" s="1242" t="s">
        <v>17</v>
      </c>
      <c r="K92" s="1273" t="s">
        <v>133</v>
      </c>
      <c r="L92" s="1242" t="s">
        <v>17</v>
      </c>
      <c r="M92" s="1273" t="s">
        <v>133</v>
      </c>
      <c r="N92" s="1242" t="s">
        <v>17</v>
      </c>
      <c r="O92" s="1273" t="s">
        <v>133</v>
      </c>
      <c r="P92" s="959" t="s">
        <v>17</v>
      </c>
      <c r="Q92" s="1400" t="s">
        <v>133</v>
      </c>
      <c r="R92" s="959" t="s">
        <v>17</v>
      </c>
      <c r="S92" s="1400" t="s">
        <v>133</v>
      </c>
      <c r="T92" s="959" t="s">
        <v>17</v>
      </c>
      <c r="U92" s="1787" t="s">
        <v>133</v>
      </c>
      <c r="V92" s="959" t="s">
        <v>17</v>
      </c>
      <c r="W92" s="1787" t="s">
        <v>133</v>
      </c>
      <c r="X92" s="959" t="s">
        <v>17</v>
      </c>
      <c r="Y92" s="1787" t="s">
        <v>133</v>
      </c>
      <c r="Z92" s="954" t="s">
        <v>17</v>
      </c>
      <c r="AB92" s="953" t="s">
        <v>133</v>
      </c>
      <c r="AC92" s="954" t="s">
        <v>17</v>
      </c>
      <c r="AE92" s="1" t="s">
        <v>29</v>
      </c>
    </row>
    <row r="93" spans="1:31" x14ac:dyDescent="0.2">
      <c r="A93" s="1"/>
      <c r="B93" s="341" t="s">
        <v>187</v>
      </c>
      <c r="C93" s="960">
        <v>21</v>
      </c>
      <c r="D93" s="961">
        <v>10.6</v>
      </c>
      <c r="E93" s="960">
        <v>26</v>
      </c>
      <c r="F93" s="961">
        <v>12.1</v>
      </c>
      <c r="G93" s="960">
        <v>28</v>
      </c>
      <c r="H93" s="961">
        <v>12.4</v>
      </c>
      <c r="I93" s="960">
        <v>26</v>
      </c>
      <c r="J93" s="961">
        <v>12.4</v>
      </c>
      <c r="K93" s="960">
        <v>34</v>
      </c>
      <c r="L93" s="961">
        <v>16.399999999999999</v>
      </c>
      <c r="M93" s="960">
        <v>28</v>
      </c>
      <c r="N93" s="961">
        <v>13.4</v>
      </c>
      <c r="O93" s="960">
        <v>36</v>
      </c>
      <c r="P93" s="961">
        <v>16.55</v>
      </c>
      <c r="Q93" s="960">
        <v>31</v>
      </c>
      <c r="R93" s="961">
        <v>15.5</v>
      </c>
      <c r="S93" s="960">
        <v>39</v>
      </c>
      <c r="T93" s="961">
        <v>19.5</v>
      </c>
      <c r="U93" s="960">
        <v>36</v>
      </c>
      <c r="V93" s="961">
        <v>16.2</v>
      </c>
      <c r="W93" s="960">
        <v>23</v>
      </c>
      <c r="X93" s="961">
        <v>11.4</v>
      </c>
      <c r="Y93" s="960">
        <v>18</v>
      </c>
      <c r="Z93" s="1517">
        <v>8.5</v>
      </c>
      <c r="AB93" s="1115">
        <f t="shared" ref="AB93:AC95" si="14">AVERAGE(U93,S93,Q93,Y93,W93)</f>
        <v>29.4</v>
      </c>
      <c r="AC93" s="1116">
        <f t="shared" si="14"/>
        <v>14.220000000000002</v>
      </c>
    </row>
    <row r="94" spans="1:31" x14ac:dyDescent="0.2">
      <c r="A94" s="1"/>
      <c r="B94" s="341" t="s">
        <v>188</v>
      </c>
      <c r="C94" s="960">
        <v>25</v>
      </c>
      <c r="D94" s="961">
        <v>13</v>
      </c>
      <c r="E94" s="960">
        <v>29</v>
      </c>
      <c r="F94" s="961">
        <v>13.9</v>
      </c>
      <c r="G94" s="960">
        <v>41</v>
      </c>
      <c r="H94" s="961">
        <v>19.399999999999999</v>
      </c>
      <c r="I94" s="960">
        <v>41</v>
      </c>
      <c r="J94" s="961">
        <v>19.600000000000001</v>
      </c>
      <c r="K94" s="960">
        <v>40</v>
      </c>
      <c r="L94" s="961">
        <v>19.600000000000001</v>
      </c>
      <c r="M94" s="960">
        <v>47</v>
      </c>
      <c r="N94" s="961">
        <v>23</v>
      </c>
      <c r="O94" s="960">
        <v>36</v>
      </c>
      <c r="P94" s="961">
        <v>15.15</v>
      </c>
      <c r="Q94" s="960">
        <v>30</v>
      </c>
      <c r="R94" s="961">
        <v>14.2</v>
      </c>
      <c r="S94" s="960">
        <v>24</v>
      </c>
      <c r="T94" s="961">
        <v>12</v>
      </c>
      <c r="U94" s="960">
        <v>39</v>
      </c>
      <c r="V94" s="961">
        <v>18.3</v>
      </c>
      <c r="W94" s="960">
        <v>40</v>
      </c>
      <c r="X94" s="961">
        <v>19.7</v>
      </c>
      <c r="Y94" s="960">
        <v>43</v>
      </c>
      <c r="Z94" s="1517">
        <v>21</v>
      </c>
      <c r="AB94" s="1115">
        <f t="shared" si="14"/>
        <v>35.200000000000003</v>
      </c>
      <c r="AC94" s="1116">
        <f t="shared" si="14"/>
        <v>17.04</v>
      </c>
    </row>
    <row r="95" spans="1:31" ht="13.5" thickBot="1" x14ac:dyDescent="0.25">
      <c r="A95" s="1"/>
      <c r="B95" s="344" t="s">
        <v>211</v>
      </c>
      <c r="C95" s="962">
        <v>0</v>
      </c>
      <c r="D95" s="963">
        <v>0</v>
      </c>
      <c r="E95" s="964">
        <v>0</v>
      </c>
      <c r="F95" s="963">
        <v>0</v>
      </c>
      <c r="G95" s="964">
        <v>0</v>
      </c>
      <c r="H95" s="963">
        <v>0</v>
      </c>
      <c r="I95" s="964">
        <v>0</v>
      </c>
      <c r="J95" s="963">
        <v>0</v>
      </c>
      <c r="K95" s="964">
        <v>0</v>
      </c>
      <c r="L95" s="963">
        <v>0</v>
      </c>
      <c r="M95" s="964">
        <v>0</v>
      </c>
      <c r="N95" s="963">
        <v>0</v>
      </c>
      <c r="O95" s="964">
        <v>0</v>
      </c>
      <c r="P95" s="963">
        <v>0</v>
      </c>
      <c r="Q95" s="964">
        <v>0</v>
      </c>
      <c r="R95" s="963">
        <v>0</v>
      </c>
      <c r="S95" s="964">
        <v>0</v>
      </c>
      <c r="T95" s="963">
        <v>0</v>
      </c>
      <c r="U95" s="964">
        <v>0</v>
      </c>
      <c r="V95" s="963">
        <v>0</v>
      </c>
      <c r="W95" s="964">
        <v>0</v>
      </c>
      <c r="X95" s="963">
        <v>0</v>
      </c>
      <c r="Y95" s="964">
        <v>0</v>
      </c>
      <c r="Z95" s="1518">
        <v>0</v>
      </c>
      <c r="AB95" s="1115">
        <f t="shared" si="14"/>
        <v>0</v>
      </c>
      <c r="AC95" s="1116">
        <f t="shared" si="14"/>
        <v>0</v>
      </c>
    </row>
    <row r="96" spans="1:31" ht="17.25" thickTop="1" thickBot="1" x14ac:dyDescent="0.3">
      <c r="A96" s="966"/>
      <c r="B96" s="967"/>
      <c r="C96" s="1992" t="s">
        <v>51</v>
      </c>
      <c r="D96" s="1993"/>
      <c r="E96" s="1992" t="s">
        <v>52</v>
      </c>
      <c r="F96" s="1993"/>
      <c r="G96" s="1989" t="s">
        <v>184</v>
      </c>
      <c r="H96" s="1990"/>
      <c r="I96" s="1989" t="s">
        <v>185</v>
      </c>
      <c r="J96" s="1990"/>
      <c r="K96" s="1989" t="s">
        <v>202</v>
      </c>
      <c r="L96" s="1990"/>
      <c r="M96" s="1991" t="s">
        <v>203</v>
      </c>
      <c r="N96" s="1979"/>
      <c r="O96" s="1970" t="s">
        <v>254</v>
      </c>
      <c r="P96" s="1979"/>
      <c r="Q96" s="1970" t="s">
        <v>238</v>
      </c>
      <c r="R96" s="1979"/>
      <c r="S96" s="1970" t="s">
        <v>273</v>
      </c>
      <c r="T96" s="1979"/>
      <c r="U96" s="1970" t="s">
        <v>275</v>
      </c>
      <c r="V96" s="1979"/>
      <c r="W96" s="1970" t="s">
        <v>281</v>
      </c>
      <c r="X96" s="1979"/>
      <c r="Y96" s="1970" t="s">
        <v>291</v>
      </c>
      <c r="Z96" s="1976"/>
      <c r="AA96" s="968"/>
      <c r="AB96" s="1987"/>
      <c r="AC96" s="1988"/>
      <c r="AD96" s="3"/>
      <c r="AE96" s="3"/>
    </row>
    <row r="97" spans="1:31" x14ac:dyDescent="0.2">
      <c r="A97" s="3"/>
      <c r="B97" s="342" t="s">
        <v>210</v>
      </c>
      <c r="C97" s="3"/>
      <c r="D97" s="969"/>
      <c r="E97" s="970"/>
      <c r="F97" s="971"/>
      <c r="G97" s="972"/>
      <c r="H97" s="973"/>
      <c r="I97" s="974"/>
      <c r="J97" s="593"/>
      <c r="K97" s="975"/>
      <c r="L97" s="976"/>
      <c r="M97" s="975"/>
      <c r="N97" s="991"/>
      <c r="O97" s="117"/>
      <c r="P97" s="1422"/>
      <c r="Q97" s="975"/>
      <c r="R97" s="991"/>
      <c r="S97" s="975"/>
      <c r="T97" s="991"/>
      <c r="U97" s="117"/>
      <c r="V97" s="1422"/>
      <c r="W97" s="975"/>
      <c r="X97" s="991"/>
      <c r="Y97" s="975"/>
      <c r="Z97" s="977"/>
      <c r="AA97" s="28"/>
      <c r="AB97" s="28"/>
      <c r="AC97" s="28"/>
      <c r="AD97" s="3"/>
      <c r="AE97" s="3"/>
    </row>
    <row r="98" spans="1:31" x14ac:dyDescent="0.2">
      <c r="A98" s="930"/>
      <c r="B98" s="979" t="s">
        <v>192</v>
      </c>
      <c r="C98" s="1983">
        <v>7.6</v>
      </c>
      <c r="D98" s="1984"/>
      <c r="E98" s="980"/>
      <c r="F98" s="981"/>
      <c r="G98" s="982"/>
      <c r="H98" s="983"/>
      <c r="I98" s="1983">
        <v>6.5</v>
      </c>
      <c r="J98" s="1984"/>
      <c r="K98" s="984"/>
      <c r="L98" s="985"/>
      <c r="M98" s="984"/>
      <c r="N98" s="991"/>
      <c r="O98" s="136"/>
      <c r="P98" s="1401">
        <v>7</v>
      </c>
      <c r="Q98" s="984"/>
      <c r="R98" s="991"/>
      <c r="S98" s="984"/>
      <c r="T98" s="991"/>
      <c r="U98" s="136"/>
      <c r="V98" s="1401">
        <v>16</v>
      </c>
      <c r="W98" s="984"/>
      <c r="X98" s="991"/>
      <c r="Y98" s="984"/>
      <c r="Z98" s="977"/>
      <c r="AA98" s="28"/>
      <c r="AB98" s="28"/>
      <c r="AC98" s="1106"/>
      <c r="AD98" s="3"/>
      <c r="AE98" s="3"/>
    </row>
    <row r="99" spans="1:31" x14ac:dyDescent="0.2">
      <c r="A99" s="930"/>
      <c r="B99" s="986" t="s">
        <v>193</v>
      </c>
      <c r="C99" s="1983"/>
      <c r="D99" s="1984"/>
      <c r="E99" s="980"/>
      <c r="F99" s="981"/>
      <c r="G99" s="982"/>
      <c r="H99" s="983"/>
      <c r="I99" s="1983"/>
      <c r="J99" s="1984"/>
      <c r="K99" s="984"/>
      <c r="L99" s="985"/>
      <c r="M99" s="984"/>
      <c r="N99" s="991"/>
      <c r="O99" s="136"/>
      <c r="P99" s="1401"/>
      <c r="Q99" s="984"/>
      <c r="R99" s="991"/>
      <c r="S99" s="984"/>
      <c r="T99" s="991"/>
      <c r="U99" s="136"/>
      <c r="V99" s="1401"/>
      <c r="W99" s="984"/>
      <c r="X99" s="991"/>
      <c r="Y99" s="984"/>
      <c r="Z99" s="977"/>
      <c r="AA99" s="28"/>
      <c r="AB99" s="28"/>
      <c r="AC99" s="1106"/>
      <c r="AD99" s="3"/>
      <c r="AE99" s="3"/>
    </row>
    <row r="100" spans="1:31" x14ac:dyDescent="0.2">
      <c r="A100" s="930"/>
      <c r="B100" s="986" t="s">
        <v>194</v>
      </c>
      <c r="C100" s="1983">
        <v>10.5</v>
      </c>
      <c r="D100" s="1984"/>
      <c r="E100" s="980"/>
      <c r="F100" s="981"/>
      <c r="G100" s="982"/>
      <c r="H100" s="983"/>
      <c r="I100" s="1983">
        <v>17.100000000000001</v>
      </c>
      <c r="J100" s="1984"/>
      <c r="K100" s="984"/>
      <c r="L100" s="985"/>
      <c r="M100" s="984"/>
      <c r="N100" s="991"/>
      <c r="O100" s="136"/>
      <c r="P100" s="1401">
        <v>15.3</v>
      </c>
      <c r="Q100" s="984"/>
      <c r="R100" s="991"/>
      <c r="S100" s="984"/>
      <c r="T100" s="991"/>
      <c r="U100" s="136"/>
      <c r="V100" s="1401">
        <v>17.3</v>
      </c>
      <c r="W100" s="984"/>
      <c r="X100" s="991"/>
      <c r="Y100" s="984"/>
      <c r="Z100" s="977"/>
      <c r="AA100" s="28"/>
      <c r="AB100" s="28"/>
      <c r="AC100" s="1106"/>
      <c r="AD100" s="3"/>
      <c r="AE100" s="3"/>
    </row>
    <row r="101" spans="1:31" x14ac:dyDescent="0.2">
      <c r="A101" s="930"/>
      <c r="B101" s="979" t="s">
        <v>195</v>
      </c>
      <c r="C101" s="1983">
        <v>3.5</v>
      </c>
      <c r="D101" s="1984"/>
      <c r="E101" s="980"/>
      <c r="F101" s="981"/>
      <c r="G101" s="982"/>
      <c r="H101" s="983"/>
      <c r="I101" s="1983">
        <v>2</v>
      </c>
      <c r="J101" s="1984"/>
      <c r="K101" s="984"/>
      <c r="L101" s="985"/>
      <c r="M101" s="984"/>
      <c r="N101" s="991"/>
      <c r="O101" s="136"/>
      <c r="P101" s="1401">
        <v>2.1</v>
      </c>
      <c r="Q101" s="984"/>
      <c r="R101" s="991"/>
      <c r="S101" s="984"/>
      <c r="T101" s="991"/>
      <c r="U101" s="136"/>
      <c r="V101" s="1401">
        <v>1</v>
      </c>
      <c r="W101" s="984"/>
      <c r="X101" s="991"/>
      <c r="Y101" s="984"/>
      <c r="Z101" s="977"/>
      <c r="AA101" s="28"/>
      <c r="AB101" s="28"/>
      <c r="AC101" s="1106"/>
      <c r="AD101" s="3"/>
      <c r="AE101" s="3"/>
    </row>
    <row r="102" spans="1:31" x14ac:dyDescent="0.2">
      <c r="A102" s="930"/>
      <c r="B102" s="987" t="s">
        <v>196</v>
      </c>
      <c r="C102" s="1983">
        <v>4.9000000000000004</v>
      </c>
      <c r="D102" s="1984"/>
      <c r="E102" s="980"/>
      <c r="F102" s="981"/>
      <c r="G102" s="982"/>
      <c r="H102" s="983"/>
      <c r="I102" s="1983">
        <v>3.65</v>
      </c>
      <c r="J102" s="1984"/>
      <c r="K102" s="984"/>
      <c r="L102" s="985"/>
      <c r="M102" s="984"/>
      <c r="N102" s="991"/>
      <c r="O102" s="136"/>
      <c r="P102" s="1401">
        <f>3.2+1.6+2.4</f>
        <v>7.2000000000000011</v>
      </c>
      <c r="Q102" s="984"/>
      <c r="R102" s="991"/>
      <c r="S102" s="984"/>
      <c r="T102" s="991"/>
      <c r="U102" s="136"/>
      <c r="V102" s="1401">
        <f>1.9+4.1+1.8</f>
        <v>7.8</v>
      </c>
      <c r="W102" s="984"/>
      <c r="X102" s="991"/>
      <c r="Y102" s="984"/>
      <c r="Z102" s="977"/>
      <c r="AA102" s="28"/>
      <c r="AB102" s="28"/>
      <c r="AC102" s="1106"/>
      <c r="AD102" s="3"/>
      <c r="AE102" s="3"/>
    </row>
    <row r="103" spans="1:31" x14ac:dyDescent="0.2">
      <c r="A103" s="930"/>
      <c r="B103" s="987" t="s">
        <v>197</v>
      </c>
      <c r="C103" s="1983">
        <f>SUM(C98:D102)</f>
        <v>26.5</v>
      </c>
      <c r="D103" s="1984"/>
      <c r="E103" s="980"/>
      <c r="F103" s="981"/>
      <c r="G103" s="982"/>
      <c r="H103" s="983"/>
      <c r="I103" s="1983">
        <f>SUM(I98:J102)</f>
        <v>29.25</v>
      </c>
      <c r="J103" s="1984"/>
      <c r="K103" s="984"/>
      <c r="L103" s="985"/>
      <c r="M103" s="984"/>
      <c r="N103" s="991"/>
      <c r="O103" s="136"/>
      <c r="P103" s="1401">
        <f>SUM(P98:P102)</f>
        <v>31.6</v>
      </c>
      <c r="Q103" s="984"/>
      <c r="R103" s="991"/>
      <c r="S103" s="984"/>
      <c r="T103" s="991"/>
      <c r="U103" s="136"/>
      <c r="V103" s="1401">
        <f>SUM(V98:V102)</f>
        <v>42.099999999999994</v>
      </c>
      <c r="W103" s="984"/>
      <c r="X103" s="991"/>
      <c r="Y103" s="984"/>
      <c r="Z103" s="977"/>
      <c r="AA103" s="28"/>
      <c r="AB103" s="28"/>
      <c r="AC103" s="1106"/>
      <c r="AD103" s="3"/>
      <c r="AE103" s="3"/>
    </row>
    <row r="104" spans="1:31" ht="13.5" thickBot="1" x14ac:dyDescent="0.25">
      <c r="A104" s="930"/>
      <c r="B104" s="988" t="s">
        <v>204</v>
      </c>
      <c r="C104" s="2056"/>
      <c r="D104" s="2055"/>
      <c r="E104" s="989"/>
      <c r="F104" s="990"/>
      <c r="G104" s="975"/>
      <c r="H104" s="991"/>
      <c r="I104" s="2056"/>
      <c r="J104" s="2055"/>
      <c r="K104" s="984"/>
      <c r="L104" s="985"/>
      <c r="M104" s="984"/>
      <c r="N104" s="991"/>
      <c r="O104" s="136"/>
      <c r="P104" s="1422"/>
      <c r="Q104" s="984"/>
      <c r="R104" s="991"/>
      <c r="S104" s="984"/>
      <c r="T104" s="991"/>
      <c r="U104" s="136"/>
      <c r="V104" s="1422"/>
      <c r="W104" s="984"/>
      <c r="X104" s="991"/>
      <c r="Y104" s="984"/>
      <c r="Z104" s="977"/>
      <c r="AA104" s="28"/>
      <c r="AB104" s="28"/>
      <c r="AC104" s="1106"/>
      <c r="AD104" s="3"/>
      <c r="AE104" s="3"/>
    </row>
    <row r="105" spans="1:31" x14ac:dyDescent="0.2">
      <c r="A105" s="930"/>
      <c r="B105" s="979" t="s">
        <v>198</v>
      </c>
      <c r="C105" s="2043">
        <v>3633</v>
      </c>
      <c r="D105" s="2044"/>
      <c r="E105" s="992"/>
      <c r="F105" s="993"/>
      <c r="G105" s="994"/>
      <c r="H105" s="995"/>
      <c r="I105" s="2043">
        <v>1756</v>
      </c>
      <c r="J105" s="2044"/>
      <c r="K105" s="984"/>
      <c r="L105" s="985"/>
      <c r="M105" s="984"/>
      <c r="N105" s="991"/>
      <c r="O105" s="134"/>
      <c r="P105" s="1462">
        <v>2143</v>
      </c>
      <c r="Q105" s="984"/>
      <c r="R105" s="991"/>
      <c r="S105" s="984"/>
      <c r="T105" s="991"/>
      <c r="U105" s="136"/>
      <c r="V105" s="1462">
        <v>3194</v>
      </c>
      <c r="W105" s="984"/>
      <c r="X105" s="991"/>
      <c r="Y105" s="984"/>
      <c r="Z105" s="977"/>
      <c r="AA105" s="28"/>
      <c r="AB105" s="28"/>
      <c r="AC105" s="1473"/>
      <c r="AD105" s="3"/>
      <c r="AE105" s="3"/>
    </row>
    <row r="106" spans="1:31" x14ac:dyDescent="0.2">
      <c r="A106" s="930"/>
      <c r="B106" s="987" t="s">
        <v>199</v>
      </c>
      <c r="C106" s="2043">
        <v>0</v>
      </c>
      <c r="D106" s="2044"/>
      <c r="E106" s="992"/>
      <c r="F106" s="993"/>
      <c r="G106" s="994"/>
      <c r="H106" s="995"/>
      <c r="I106" s="2043">
        <v>452</v>
      </c>
      <c r="J106" s="2044"/>
      <c r="K106" s="984"/>
      <c r="L106" s="985"/>
      <c r="M106" s="984"/>
      <c r="N106" s="991"/>
      <c r="O106" s="134"/>
      <c r="P106" s="1462">
        <v>474</v>
      </c>
      <c r="Q106" s="984"/>
      <c r="R106" s="991"/>
      <c r="S106" s="984"/>
      <c r="T106" s="991"/>
      <c r="U106" s="136"/>
      <c r="V106" s="1462">
        <v>266</v>
      </c>
      <c r="W106" s="984"/>
      <c r="X106" s="991"/>
      <c r="Y106" s="984"/>
      <c r="Z106" s="977"/>
      <c r="AA106" s="28"/>
      <c r="AB106" s="28"/>
      <c r="AC106" s="1473"/>
      <c r="AD106" s="3"/>
      <c r="AE106" s="3"/>
    </row>
    <row r="107" spans="1:31" x14ac:dyDescent="0.2">
      <c r="A107" s="930"/>
      <c r="B107" s="987" t="s">
        <v>200</v>
      </c>
      <c r="C107" s="2043">
        <v>4496</v>
      </c>
      <c r="D107" s="2044"/>
      <c r="E107" s="992"/>
      <c r="F107" s="993"/>
      <c r="G107" s="994"/>
      <c r="H107" s="995"/>
      <c r="I107" s="2043">
        <v>6425</v>
      </c>
      <c r="J107" s="2044"/>
      <c r="K107" s="984"/>
      <c r="L107" s="985"/>
      <c r="M107" s="984"/>
      <c r="N107" s="991"/>
      <c r="O107" s="134"/>
      <c r="P107" s="1462">
        <f>5424+891+132</f>
        <v>6447</v>
      </c>
      <c r="Q107" s="984"/>
      <c r="R107" s="991"/>
      <c r="S107" s="984"/>
      <c r="T107" s="991"/>
      <c r="U107" s="136"/>
      <c r="V107" s="1462">
        <f>5374+994+253</f>
        <v>6621</v>
      </c>
      <c r="W107" s="984"/>
      <c r="X107" s="991"/>
      <c r="Y107" s="984"/>
      <c r="Z107" s="977"/>
      <c r="AA107" s="28"/>
      <c r="AB107" s="28"/>
      <c r="AC107" s="1473"/>
      <c r="AD107" s="3"/>
      <c r="AE107" s="3"/>
    </row>
    <row r="108" spans="1:31" x14ac:dyDescent="0.2">
      <c r="A108" s="930"/>
      <c r="B108" s="987" t="s">
        <v>209</v>
      </c>
      <c r="C108" s="2043">
        <f>SUM(C105:D107)</f>
        <v>8129</v>
      </c>
      <c r="D108" s="2044"/>
      <c r="E108" s="992"/>
      <c r="F108" s="993"/>
      <c r="G108" s="994"/>
      <c r="H108" s="995"/>
      <c r="I108" s="2043">
        <f>SUM(I105:J107)</f>
        <v>8633</v>
      </c>
      <c r="J108" s="2044"/>
      <c r="K108" s="984"/>
      <c r="L108" s="985"/>
      <c r="M108" s="984"/>
      <c r="N108" s="991"/>
      <c r="O108" s="134"/>
      <c r="P108" s="1462">
        <f>SUM(P105:P107)</f>
        <v>9064</v>
      </c>
      <c r="Q108" s="984"/>
      <c r="R108" s="991"/>
      <c r="S108" s="984"/>
      <c r="T108" s="991"/>
      <c r="U108" s="136"/>
      <c r="V108" s="1462">
        <f>SUM(V105:V107)</f>
        <v>10081</v>
      </c>
      <c r="W108" s="984"/>
      <c r="X108" s="991"/>
      <c r="Y108" s="984"/>
      <c r="Z108" s="977"/>
      <c r="AA108" s="28"/>
      <c r="AB108" s="28"/>
      <c r="AC108" s="1473"/>
      <c r="AD108" s="3"/>
      <c r="AE108" s="3"/>
    </row>
    <row r="109" spans="1:31" ht="13.5" thickBot="1" x14ac:dyDescent="0.25">
      <c r="A109" s="930"/>
      <c r="B109" s="988" t="s">
        <v>205</v>
      </c>
      <c r="C109" s="2056"/>
      <c r="D109" s="2055"/>
      <c r="E109" s="989"/>
      <c r="F109" s="990"/>
      <c r="G109" s="975"/>
      <c r="H109" s="991"/>
      <c r="I109" s="2056"/>
      <c r="J109" s="2055"/>
      <c r="K109" s="984"/>
      <c r="L109" s="985"/>
      <c r="M109" s="984"/>
      <c r="N109" s="991"/>
      <c r="O109" s="134"/>
      <c r="P109" s="1462"/>
      <c r="Q109" s="984"/>
      <c r="R109" s="991"/>
      <c r="S109" s="984"/>
      <c r="T109" s="991"/>
      <c r="U109" s="136"/>
      <c r="V109" s="1462"/>
      <c r="W109" s="984"/>
      <c r="X109" s="991"/>
      <c r="Y109" s="984"/>
      <c r="Z109" s="977"/>
      <c r="AA109" s="28"/>
      <c r="AB109" s="28"/>
      <c r="AC109" s="1106"/>
      <c r="AD109" s="28"/>
      <c r="AE109" s="28"/>
    </row>
    <row r="110" spans="1:31" x14ac:dyDescent="0.2">
      <c r="A110" s="930"/>
      <c r="B110" s="979" t="s">
        <v>206</v>
      </c>
      <c r="C110" s="1985">
        <f>C105/C98</f>
        <v>478.0263157894737</v>
      </c>
      <c r="D110" s="1986"/>
      <c r="E110" s="996"/>
      <c r="F110" s="997"/>
      <c r="G110" s="998"/>
      <c r="H110" s="999"/>
      <c r="I110" s="1985">
        <f>I105/I98</f>
        <v>270.15384615384613</v>
      </c>
      <c r="J110" s="1986"/>
      <c r="K110" s="1000"/>
      <c r="L110" s="1001"/>
      <c r="M110" s="1000"/>
      <c r="N110" s="999"/>
      <c r="O110" s="494"/>
      <c r="P110" s="1402">
        <f>P105/P98</f>
        <v>306.14285714285717</v>
      </c>
      <c r="Q110" s="1000"/>
      <c r="R110" s="999"/>
      <c r="S110" s="1000"/>
      <c r="T110" s="999"/>
      <c r="U110" s="494"/>
      <c r="V110" s="1402">
        <f>V105/V98</f>
        <v>199.625</v>
      </c>
      <c r="W110" s="1000"/>
      <c r="X110" s="999"/>
      <c r="Y110" s="1000"/>
      <c r="Z110" s="1460"/>
      <c r="AA110" s="668"/>
      <c r="AB110" s="668"/>
      <c r="AC110" s="1106"/>
      <c r="AD110" s="21"/>
      <c r="AE110" s="21"/>
    </row>
    <row r="111" spans="1:31" x14ac:dyDescent="0.2">
      <c r="A111" s="930"/>
      <c r="B111" s="987" t="s">
        <v>207</v>
      </c>
      <c r="C111" s="1985">
        <f>C106/C100</f>
        <v>0</v>
      </c>
      <c r="D111" s="1986"/>
      <c r="E111" s="996"/>
      <c r="F111" s="997"/>
      <c r="G111" s="998"/>
      <c r="H111" s="999"/>
      <c r="I111" s="1985">
        <f>I106/I100</f>
        <v>26.432748538011694</v>
      </c>
      <c r="J111" s="1986"/>
      <c r="K111" s="1000"/>
      <c r="L111" s="1001"/>
      <c r="M111" s="1000"/>
      <c r="N111" s="999"/>
      <c r="O111" s="494"/>
      <c r="P111" s="1402">
        <f>P106/P100</f>
        <v>30.980392156862745</v>
      </c>
      <c r="Q111" s="1000"/>
      <c r="R111" s="999"/>
      <c r="S111" s="1000"/>
      <c r="T111" s="999"/>
      <c r="U111" s="494"/>
      <c r="V111" s="1402">
        <f>V106/(V100+V101)</f>
        <v>14.535519125683059</v>
      </c>
      <c r="W111" s="1000"/>
      <c r="X111" s="999"/>
      <c r="Y111" s="1000"/>
      <c r="Z111" s="1460"/>
      <c r="AA111" s="668"/>
      <c r="AB111" s="668"/>
      <c r="AC111" s="1106"/>
      <c r="AD111" s="21"/>
      <c r="AE111" s="21"/>
    </row>
    <row r="112" spans="1:31" x14ac:dyDescent="0.2">
      <c r="A112" s="930"/>
      <c r="B112" s="987" t="s">
        <v>208</v>
      </c>
      <c r="C112" s="1985">
        <f>C107/C102</f>
        <v>917.55102040816325</v>
      </c>
      <c r="D112" s="1986"/>
      <c r="E112" s="996"/>
      <c r="F112" s="997"/>
      <c r="G112" s="998"/>
      <c r="H112" s="999"/>
      <c r="I112" s="1985">
        <f>I107/I102</f>
        <v>1760.2739726027398</v>
      </c>
      <c r="J112" s="1986"/>
      <c r="K112" s="1000"/>
      <c r="L112" s="1001"/>
      <c r="M112" s="1000"/>
      <c r="N112" s="999"/>
      <c r="O112" s="494"/>
      <c r="P112" s="1402">
        <f>P107/P102</f>
        <v>895.41666666666652</v>
      </c>
      <c r="Q112" s="1000"/>
      <c r="R112" s="999"/>
      <c r="S112" s="1000"/>
      <c r="T112" s="999"/>
      <c r="U112" s="494"/>
      <c r="V112" s="1402">
        <f>V107/V102</f>
        <v>848.84615384615381</v>
      </c>
      <c r="W112" s="1000"/>
      <c r="X112" s="999"/>
      <c r="Y112" s="1000"/>
      <c r="Z112" s="1460"/>
      <c r="AA112" s="668"/>
      <c r="AB112" s="668"/>
      <c r="AC112" s="1106"/>
      <c r="AD112" s="21"/>
      <c r="AE112" s="21"/>
    </row>
    <row r="113" spans="1:31" ht="13.5" thickBot="1" x14ac:dyDescent="0.25">
      <c r="A113" s="930"/>
      <c r="B113" s="1002" t="s">
        <v>201</v>
      </c>
      <c r="C113" s="2045">
        <f>C108/C103</f>
        <v>306.75471698113205</v>
      </c>
      <c r="D113" s="2046"/>
      <c r="E113" s="1003"/>
      <c r="F113" s="1004"/>
      <c r="G113" s="1005"/>
      <c r="H113" s="1006"/>
      <c r="I113" s="2045">
        <f>I108/I103</f>
        <v>295.14529914529913</v>
      </c>
      <c r="J113" s="2046"/>
      <c r="K113" s="1005"/>
      <c r="L113" s="1006"/>
      <c r="M113" s="1005"/>
      <c r="N113" s="1006"/>
      <c r="O113" s="1233"/>
      <c r="P113" s="1423">
        <f>P108/P103</f>
        <v>286.8354430379747</v>
      </c>
      <c r="Q113" s="1005"/>
      <c r="R113" s="1006"/>
      <c r="S113" s="1005"/>
      <c r="T113" s="1006"/>
      <c r="U113" s="1233"/>
      <c r="V113" s="1423">
        <f>V108/V103</f>
        <v>239.4536817102138</v>
      </c>
      <c r="W113" s="1005"/>
      <c r="X113" s="1006"/>
      <c r="Y113" s="1005"/>
      <c r="Z113" s="1461"/>
      <c r="AA113" s="668"/>
      <c r="AB113" s="668"/>
      <c r="AC113" s="1106"/>
      <c r="AD113" s="21"/>
      <c r="AE113" s="21"/>
    </row>
    <row r="114" spans="1:31" ht="13.5" thickTop="1" x14ac:dyDescent="0.2">
      <c r="B114" t="str">
        <f>Dean_AS!B169</f>
        <v>*Note: Beginning with the 2009 collection cycle, Instructional FTE was defined according to the national Delaware Study of Instructional Costs and Productivity</v>
      </c>
    </row>
    <row r="117" spans="1:31" x14ac:dyDescent="0.2">
      <c r="P117" s="1" t="s">
        <v>29</v>
      </c>
    </row>
  </sheetData>
  <mergeCells count="141">
    <mergeCell ref="AB7:AC7"/>
    <mergeCell ref="AB20:AC20"/>
    <mergeCell ref="AB35:AC35"/>
    <mergeCell ref="AB28:AC28"/>
    <mergeCell ref="C113:D113"/>
    <mergeCell ref="I113:J113"/>
    <mergeCell ref="AB61:AC61"/>
    <mergeCell ref="AB31:AC31"/>
    <mergeCell ref="C110:D110"/>
    <mergeCell ref="I110:J110"/>
    <mergeCell ref="U91:V91"/>
    <mergeCell ref="U96:V96"/>
    <mergeCell ref="U7:V7"/>
    <mergeCell ref="U20:V20"/>
    <mergeCell ref="U28:V28"/>
    <mergeCell ref="U31:V31"/>
    <mergeCell ref="U35:V35"/>
    <mergeCell ref="U61:V61"/>
    <mergeCell ref="W91:X91"/>
    <mergeCell ref="W96:X96"/>
    <mergeCell ref="W7:X7"/>
    <mergeCell ref="W20:X20"/>
    <mergeCell ref="C102:D102"/>
    <mergeCell ref="I102:J102"/>
    <mergeCell ref="C103:D103"/>
    <mergeCell ref="I103:J103"/>
    <mergeCell ref="C100:D100"/>
    <mergeCell ref="I100:J100"/>
    <mergeCell ref="C101:D101"/>
    <mergeCell ref="I101:J101"/>
    <mergeCell ref="W35:X35"/>
    <mergeCell ref="W61:X61"/>
    <mergeCell ref="C111:D111"/>
    <mergeCell ref="I111:J111"/>
    <mergeCell ref="C104:D104"/>
    <mergeCell ref="I104:J104"/>
    <mergeCell ref="C105:D105"/>
    <mergeCell ref="I105:J105"/>
    <mergeCell ref="I91:J91"/>
    <mergeCell ref="C106:D106"/>
    <mergeCell ref="I106:J106"/>
    <mergeCell ref="C98:D98"/>
    <mergeCell ref="I98:J98"/>
    <mergeCell ref="C99:D99"/>
    <mergeCell ref="I99:J99"/>
    <mergeCell ref="C112:D112"/>
    <mergeCell ref="I112:J112"/>
    <mergeCell ref="C107:D107"/>
    <mergeCell ref="I107:J107"/>
    <mergeCell ref="C108:D108"/>
    <mergeCell ref="I108:J108"/>
    <mergeCell ref="C109:D109"/>
    <mergeCell ref="I109:J109"/>
    <mergeCell ref="AB91:AC91"/>
    <mergeCell ref="C96:D96"/>
    <mergeCell ref="E96:F96"/>
    <mergeCell ref="G96:H96"/>
    <mergeCell ref="I96:J96"/>
    <mergeCell ref="K96:L96"/>
    <mergeCell ref="M96:N96"/>
    <mergeCell ref="AB96:AC96"/>
    <mergeCell ref="K91:L91"/>
    <mergeCell ref="Q91:R91"/>
    <mergeCell ref="S91:T91"/>
    <mergeCell ref="S96:T96"/>
    <mergeCell ref="M91:N91"/>
    <mergeCell ref="C91:D91"/>
    <mergeCell ref="E91:F91"/>
    <mergeCell ref="G91:H91"/>
    <mergeCell ref="M7:N7"/>
    <mergeCell ref="M20:N20"/>
    <mergeCell ref="M35:N35"/>
    <mergeCell ref="M61:N61"/>
    <mergeCell ref="M28:N28"/>
    <mergeCell ref="M31:N31"/>
    <mergeCell ref="C35:D35"/>
    <mergeCell ref="G35:H35"/>
    <mergeCell ref="C29:D29"/>
    <mergeCell ref="E29:F29"/>
    <mergeCell ref="E31:F31"/>
    <mergeCell ref="E28:F28"/>
    <mergeCell ref="G28:H28"/>
    <mergeCell ref="K7:L7"/>
    <mergeCell ref="K20:L20"/>
    <mergeCell ref="K35:L35"/>
    <mergeCell ref="G29:H29"/>
    <mergeCell ref="G30:H30"/>
    <mergeCell ref="K28:L28"/>
    <mergeCell ref="I7:J7"/>
    <mergeCell ref="C61:D61"/>
    <mergeCell ref="E61:F61"/>
    <mergeCell ref="G31:H31"/>
    <mergeCell ref="C20:D20"/>
    <mergeCell ref="E20:F20"/>
    <mergeCell ref="G20:H20"/>
    <mergeCell ref="I20:J20"/>
    <mergeCell ref="I35:J35"/>
    <mergeCell ref="K31:L31"/>
    <mergeCell ref="K61:L61"/>
    <mergeCell ref="E35:F35"/>
    <mergeCell ref="I28:J28"/>
    <mergeCell ref="I29:J29"/>
    <mergeCell ref="I30:J30"/>
    <mergeCell ref="I31:J31"/>
    <mergeCell ref="C31:D31"/>
    <mergeCell ref="C30:D30"/>
    <mergeCell ref="E30:F30"/>
    <mergeCell ref="C28:D28"/>
    <mergeCell ref="I61:J61"/>
    <mergeCell ref="G61:H61"/>
    <mergeCell ref="O91:P91"/>
    <mergeCell ref="O96:P96"/>
    <mergeCell ref="Q96:R96"/>
    <mergeCell ref="Q7:R7"/>
    <mergeCell ref="Q20:R20"/>
    <mergeCell ref="Q28:R28"/>
    <mergeCell ref="Q31:R31"/>
    <mergeCell ref="Q35:R35"/>
    <mergeCell ref="Q61:R61"/>
    <mergeCell ref="O7:P7"/>
    <mergeCell ref="O20:P20"/>
    <mergeCell ref="O28:P28"/>
    <mergeCell ref="O31:P31"/>
    <mergeCell ref="O35:P35"/>
    <mergeCell ref="O61:P61"/>
    <mergeCell ref="Y7:Z7"/>
    <mergeCell ref="Y20:Z20"/>
    <mergeCell ref="Y28:Z28"/>
    <mergeCell ref="Y31:Z31"/>
    <mergeCell ref="Y35:Z35"/>
    <mergeCell ref="Y61:Z61"/>
    <mergeCell ref="Y91:Z91"/>
    <mergeCell ref="Y96:Z96"/>
    <mergeCell ref="S7:T7"/>
    <mergeCell ref="S20:T20"/>
    <mergeCell ref="S28:T28"/>
    <mergeCell ref="S31:T31"/>
    <mergeCell ref="S35:T35"/>
    <mergeCell ref="S61:T61"/>
    <mergeCell ref="W28:X28"/>
    <mergeCell ref="W31:X31"/>
  </mergeCells>
  <phoneticPr fontId="3" type="noConversion"/>
  <printOptions horizontalCentered="1"/>
  <pageMargins left="0.5" right="0.5" top="0.5" bottom="0.5" header="0.5" footer="0.25"/>
  <pageSetup scale="70" orientation="landscape" r:id="rId1"/>
  <headerFooter alignWithMargins="0">
    <oddFooter>&amp;R&amp;P of &amp;N
&amp;D</oddFooter>
  </headerFooter>
  <rowBreaks count="1" manualBreakCount="1">
    <brk id="58" max="20" man="1"/>
  </rowBreaks>
  <ignoredErrors>
    <ignoredError sqref="S71:S89 M81 K71:M80 K82:M86 K81:L8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5"/>
  <sheetViews>
    <sheetView view="pageBreakPreview" zoomScaleNormal="100" workbookViewId="0">
      <pane xSplit="2" ySplit="1" topLeftCell="C2" activePane="bottomRight" state="frozen"/>
      <selection activeCell="AF81" sqref="AF81"/>
      <selection pane="topRight" activeCell="AF81" sqref="AF81"/>
      <selection pane="bottomLeft" activeCell="AF81" sqref="AF81"/>
      <selection pane="bottomRight" activeCell="AF81" sqref="AF81"/>
    </sheetView>
  </sheetViews>
  <sheetFormatPr defaultColWidth="10.28515625" defaultRowHeight="12.75" x14ac:dyDescent="0.2"/>
  <cols>
    <col min="1" max="1" width="3.7109375" customWidth="1"/>
    <col min="2" max="2" width="29.7109375" customWidth="1"/>
    <col min="3" max="3" width="7.7109375" hidden="1" customWidth="1"/>
    <col min="4" max="4" width="10.140625" hidden="1" customWidth="1"/>
    <col min="5" max="5" width="7.7109375" hidden="1" customWidth="1"/>
    <col min="6" max="6" width="10.28515625" hidden="1" customWidth="1"/>
    <col min="7" max="7" width="7.7109375" style="115" hidden="1" customWidth="1"/>
    <col min="8" max="8" width="10.28515625" style="115" hidden="1" customWidth="1"/>
    <col min="9" max="9" width="7.7109375" style="115" hidden="1" customWidth="1"/>
    <col min="10" max="10" width="10.28515625" style="115" hidden="1" customWidth="1"/>
    <col min="11" max="11" width="7.7109375" hidden="1" customWidth="1"/>
    <col min="12" max="12" width="10" hidden="1" customWidth="1"/>
    <col min="13" max="13" width="7.7109375" hidden="1" customWidth="1"/>
    <col min="14" max="14" width="10" hidden="1" customWidth="1"/>
    <col min="15" max="15" width="7.7109375" customWidth="1"/>
    <col min="16" max="16" width="10" customWidth="1"/>
    <col min="17" max="17" width="7.7109375" customWidth="1"/>
    <col min="18" max="18" width="10" customWidth="1"/>
    <col min="19" max="19" width="7.7109375" customWidth="1"/>
    <col min="20" max="20" width="10" customWidth="1"/>
    <col min="21" max="21" width="7.7109375" customWidth="1"/>
    <col min="22" max="22" width="10" customWidth="1"/>
    <col min="23" max="23" width="7.7109375" customWidth="1"/>
    <col min="24" max="24" width="10" customWidth="1"/>
    <col min="25" max="25" width="7.7109375" customWidth="1"/>
    <col min="26" max="26" width="10" customWidth="1"/>
    <col min="27" max="27" width="1.85546875" customWidth="1"/>
    <col min="28" max="28" width="7.7109375" customWidth="1"/>
    <col min="29" max="29" width="10.28515625" customWidth="1"/>
    <col min="30" max="30" width="1.42578125" customWidth="1"/>
  </cols>
  <sheetData>
    <row r="1" spans="1:29" ht="18" x14ac:dyDescent="0.25">
      <c r="A1" s="1183" t="str">
        <f>Dean_AS!A1</f>
        <v>Department Profile Report - FY 2015</v>
      </c>
      <c r="B1" s="1183"/>
      <c r="C1" s="1183"/>
      <c r="D1" s="1183"/>
      <c r="E1" s="1183"/>
      <c r="F1" s="1183"/>
      <c r="G1" s="1183"/>
      <c r="H1" s="1183"/>
      <c r="I1" s="1181"/>
      <c r="J1" s="1181"/>
      <c r="K1" s="1182"/>
      <c r="L1" s="1182"/>
      <c r="M1" s="1182"/>
      <c r="N1" s="1182"/>
      <c r="O1" s="1182"/>
      <c r="P1" s="1182"/>
      <c r="Q1" s="1182"/>
      <c r="R1" s="1182"/>
      <c r="S1" s="1182"/>
      <c r="T1" s="1182"/>
      <c r="U1" s="1182"/>
      <c r="V1" s="1182"/>
      <c r="W1" s="1182"/>
      <c r="X1" s="1182"/>
      <c r="Y1" s="1182"/>
      <c r="Z1" s="1182"/>
      <c r="AA1" s="1182"/>
      <c r="AB1" s="1182"/>
      <c r="AC1" s="1182"/>
    </row>
    <row r="2" spans="1:29" x14ac:dyDescent="0.2">
      <c r="A2" s="3"/>
      <c r="B2" s="3"/>
      <c r="C2" s="3"/>
      <c r="D2" s="3"/>
      <c r="E2" s="3"/>
      <c r="F2" s="3"/>
      <c r="G2" s="117"/>
      <c r="H2" s="117"/>
      <c r="I2" s="117"/>
      <c r="J2" s="117"/>
    </row>
    <row r="3" spans="1:29" x14ac:dyDescent="0.2">
      <c r="A3" s="2" t="s">
        <v>283</v>
      </c>
      <c r="B3" s="117"/>
      <c r="C3" s="3"/>
      <c r="D3" s="3"/>
      <c r="E3" s="3"/>
      <c r="F3" s="3"/>
      <c r="G3" s="117"/>
      <c r="H3" s="117"/>
      <c r="I3" s="117"/>
      <c r="J3" s="117"/>
    </row>
    <row r="4" spans="1:29" ht="6.75" customHeight="1" x14ac:dyDescent="0.2">
      <c r="A4" s="3"/>
      <c r="B4" s="3"/>
      <c r="C4" s="3"/>
      <c r="D4" s="3"/>
      <c r="E4" s="3"/>
      <c r="F4" s="3"/>
      <c r="G4" s="117"/>
      <c r="H4" s="117"/>
      <c r="I4" s="117"/>
      <c r="J4" s="117"/>
    </row>
    <row r="5" spans="1:29" x14ac:dyDescent="0.2">
      <c r="A5" s="2" t="s">
        <v>77</v>
      </c>
      <c r="B5" s="3"/>
      <c r="C5" s="3"/>
      <c r="D5" s="3"/>
      <c r="E5" s="3"/>
      <c r="F5" s="3"/>
      <c r="G5" s="117"/>
      <c r="H5" s="117"/>
      <c r="I5" s="117"/>
      <c r="J5" s="117"/>
    </row>
    <row r="6" spans="1:29" ht="13.5" thickBot="1" x14ac:dyDescent="0.25">
      <c r="A6" s="4"/>
      <c r="B6" s="3"/>
      <c r="C6" s="3"/>
      <c r="D6" s="3"/>
      <c r="E6" s="3"/>
      <c r="F6" s="3"/>
      <c r="G6" s="117"/>
      <c r="H6" s="117"/>
      <c r="I6" s="117"/>
      <c r="J6" s="117"/>
    </row>
    <row r="7" spans="1:29" ht="14.25" thickTop="1" thickBot="1" x14ac:dyDescent="0.25">
      <c r="A7" s="3"/>
      <c r="B7" s="1541"/>
      <c r="C7" s="29" t="s">
        <v>49</v>
      </c>
      <c r="D7" s="51"/>
      <c r="E7" s="29" t="s">
        <v>50</v>
      </c>
      <c r="F7" s="7"/>
      <c r="G7" s="302" t="s">
        <v>141</v>
      </c>
      <c r="H7" s="121"/>
      <c r="I7" s="1994" t="s">
        <v>152</v>
      </c>
      <c r="J7" s="1968"/>
      <c r="K7" s="1994" t="s">
        <v>154</v>
      </c>
      <c r="L7" s="1968"/>
      <c r="M7" s="1994" t="s">
        <v>171</v>
      </c>
      <c r="N7" s="1980"/>
      <c r="O7" s="1968" t="s">
        <v>227</v>
      </c>
      <c r="P7" s="1980"/>
      <c r="Q7" s="1968" t="s">
        <v>237</v>
      </c>
      <c r="R7" s="1980"/>
      <c r="S7" s="1968" t="s">
        <v>272</v>
      </c>
      <c r="T7" s="1980"/>
      <c r="U7" s="1968" t="s">
        <v>274</v>
      </c>
      <c r="V7" s="1980"/>
      <c r="W7" s="1968" t="s">
        <v>280</v>
      </c>
      <c r="X7" s="1980"/>
      <c r="Y7" s="1968" t="s">
        <v>290</v>
      </c>
      <c r="Z7" s="1969"/>
      <c r="AB7" s="2003" t="s">
        <v>213</v>
      </c>
      <c r="AC7" s="2004"/>
    </row>
    <row r="8" spans="1:29" x14ac:dyDescent="0.2">
      <c r="A8" s="3"/>
      <c r="B8" s="831"/>
      <c r="C8" s="42" t="s">
        <v>1</v>
      </c>
      <c r="D8" s="47" t="s">
        <v>2</v>
      </c>
      <c r="E8" s="42" t="s">
        <v>1</v>
      </c>
      <c r="F8" s="8" t="s">
        <v>2</v>
      </c>
      <c r="G8" s="303" t="s">
        <v>1</v>
      </c>
      <c r="H8" s="125" t="s">
        <v>2</v>
      </c>
      <c r="I8" s="303" t="s">
        <v>1</v>
      </c>
      <c r="J8" s="300" t="s">
        <v>2</v>
      </c>
      <c r="K8" s="303" t="s">
        <v>1</v>
      </c>
      <c r="L8" s="300" t="s">
        <v>2</v>
      </c>
      <c r="M8" s="303" t="s">
        <v>1</v>
      </c>
      <c r="N8" s="125" t="s">
        <v>2</v>
      </c>
      <c r="O8" s="124" t="s">
        <v>1</v>
      </c>
      <c r="P8" s="125" t="s">
        <v>2</v>
      </c>
      <c r="Q8" s="124" t="s">
        <v>1</v>
      </c>
      <c r="R8" s="125" t="s">
        <v>2</v>
      </c>
      <c r="S8" s="124" t="s">
        <v>1</v>
      </c>
      <c r="T8" s="125" t="s">
        <v>2</v>
      </c>
      <c r="U8" s="124" t="s">
        <v>1</v>
      </c>
      <c r="V8" s="125" t="s">
        <v>2</v>
      </c>
      <c r="W8" s="124" t="s">
        <v>1</v>
      </c>
      <c r="X8" s="125" t="s">
        <v>2</v>
      </c>
      <c r="Y8" s="124" t="s">
        <v>1</v>
      </c>
      <c r="Z8" s="126" t="s">
        <v>2</v>
      </c>
      <c r="AB8" s="921" t="s">
        <v>214</v>
      </c>
      <c r="AC8" s="922" t="s">
        <v>215</v>
      </c>
    </row>
    <row r="9" spans="1:29" ht="13.5" thickBot="1" x14ac:dyDescent="0.25">
      <c r="A9" s="3"/>
      <c r="B9" s="1542"/>
      <c r="C9" s="46" t="s">
        <v>3</v>
      </c>
      <c r="D9" s="48" t="s">
        <v>4</v>
      </c>
      <c r="E9" s="46" t="s">
        <v>3</v>
      </c>
      <c r="F9" s="26" t="s">
        <v>4</v>
      </c>
      <c r="G9" s="304" t="s">
        <v>3</v>
      </c>
      <c r="H9" s="123" t="s">
        <v>4</v>
      </c>
      <c r="I9" s="304" t="s">
        <v>3</v>
      </c>
      <c r="J9" s="301" t="s">
        <v>4</v>
      </c>
      <c r="K9" s="304" t="s">
        <v>3</v>
      </c>
      <c r="L9" s="301" t="s">
        <v>4</v>
      </c>
      <c r="M9" s="304" t="s">
        <v>3</v>
      </c>
      <c r="N9" s="123" t="s">
        <v>4</v>
      </c>
      <c r="O9" s="127" t="s">
        <v>3</v>
      </c>
      <c r="P9" s="123" t="s">
        <v>4</v>
      </c>
      <c r="Q9" s="127" t="s">
        <v>3</v>
      </c>
      <c r="R9" s="123" t="s">
        <v>4</v>
      </c>
      <c r="S9" s="127" t="s">
        <v>3</v>
      </c>
      <c r="T9" s="123" t="s">
        <v>4</v>
      </c>
      <c r="U9" s="127" t="s">
        <v>3</v>
      </c>
      <c r="V9" s="123" t="s">
        <v>4</v>
      </c>
      <c r="W9" s="127" t="s">
        <v>3</v>
      </c>
      <c r="X9" s="123" t="s">
        <v>4</v>
      </c>
      <c r="Y9" s="127" t="s">
        <v>3</v>
      </c>
      <c r="Z9" s="128" t="s">
        <v>4</v>
      </c>
      <c r="AB9" s="923" t="s">
        <v>3</v>
      </c>
      <c r="AC9" s="924" t="s">
        <v>4</v>
      </c>
    </row>
    <row r="10" spans="1:29" x14ac:dyDescent="0.2">
      <c r="A10" s="3"/>
      <c r="B10" s="23" t="s">
        <v>5</v>
      </c>
      <c r="C10" s="15"/>
      <c r="D10" s="49"/>
      <c r="E10" s="15"/>
      <c r="F10" s="13"/>
      <c r="G10" s="305"/>
      <c r="H10" s="131"/>
      <c r="I10" s="305"/>
      <c r="J10" s="150"/>
      <c r="K10" s="305"/>
      <c r="L10" s="150"/>
      <c r="M10" s="305"/>
      <c r="N10" s="131"/>
      <c r="O10" s="130"/>
      <c r="P10" s="131"/>
      <c r="Q10" s="130"/>
      <c r="R10" s="131"/>
      <c r="S10" s="130"/>
      <c r="T10" s="131"/>
      <c r="U10" s="130"/>
      <c r="V10" s="131"/>
      <c r="W10" s="130"/>
      <c r="X10" s="131"/>
      <c r="Y10" s="130"/>
      <c r="Z10" s="296"/>
      <c r="AB10" s="925"/>
      <c r="AC10" s="581"/>
    </row>
    <row r="11" spans="1:29" x14ac:dyDescent="0.2">
      <c r="A11" s="3"/>
      <c r="B11" s="1543" t="s">
        <v>158</v>
      </c>
      <c r="C11" s="349"/>
      <c r="D11" s="348"/>
      <c r="E11" s="349"/>
      <c r="F11" s="446"/>
      <c r="G11" s="447"/>
      <c r="H11" s="437"/>
      <c r="I11" s="447"/>
      <c r="J11" s="457"/>
      <c r="K11" s="447"/>
      <c r="L11" s="457"/>
      <c r="M11" s="447"/>
      <c r="N11" s="437"/>
      <c r="O11" s="448"/>
      <c r="P11" s="437"/>
      <c r="Q11" s="448"/>
      <c r="R11" s="437"/>
      <c r="S11" s="448"/>
      <c r="T11" s="437"/>
      <c r="U11" s="448"/>
      <c r="V11" s="437"/>
      <c r="W11" s="448"/>
      <c r="X11" s="437"/>
      <c r="Y11" s="448"/>
      <c r="Z11" s="445"/>
      <c r="AB11" s="926"/>
      <c r="AC11" s="927"/>
    </row>
    <row r="12" spans="1:29" s="617" customFormat="1" x14ac:dyDescent="0.2">
      <c r="A12" s="618"/>
      <c r="B12" s="1544" t="s">
        <v>221</v>
      </c>
      <c r="C12" s="722">
        <v>24</v>
      </c>
      <c r="D12" s="723">
        <v>10</v>
      </c>
      <c r="E12" s="722">
        <f>34+5</f>
        <v>39</v>
      </c>
      <c r="F12" s="728">
        <f>3+2</f>
        <v>5</v>
      </c>
      <c r="G12" s="776">
        <v>40</v>
      </c>
      <c r="H12" s="659">
        <v>9</v>
      </c>
      <c r="I12" s="776">
        <f>45+4</f>
        <v>49</v>
      </c>
      <c r="J12" s="726">
        <v>12</v>
      </c>
      <c r="K12" s="776">
        <v>52</v>
      </c>
      <c r="L12" s="726">
        <f>15+1</f>
        <v>16</v>
      </c>
      <c r="M12" s="776">
        <f>53+7</f>
        <v>60</v>
      </c>
      <c r="N12" s="659">
        <v>11</v>
      </c>
      <c r="O12" s="777">
        <v>81</v>
      </c>
      <c r="P12" s="659">
        <f>16+1</f>
        <v>17</v>
      </c>
      <c r="Q12" s="777">
        <v>92</v>
      </c>
      <c r="R12" s="659">
        <v>25</v>
      </c>
      <c r="S12" s="777">
        <v>107</v>
      </c>
      <c r="T12" s="659">
        <v>24</v>
      </c>
      <c r="U12" s="777">
        <v>106</v>
      </c>
      <c r="V12" s="659">
        <v>24</v>
      </c>
      <c r="W12" s="777">
        <v>126</v>
      </c>
      <c r="X12" s="659">
        <v>34</v>
      </c>
      <c r="Y12" s="777">
        <v>126</v>
      </c>
      <c r="Z12" s="1671"/>
      <c r="AB12" s="926">
        <f>AVERAGE(W12,U12,Q12,S12,Y12)</f>
        <v>111.4</v>
      </c>
      <c r="AC12" s="928">
        <f>AVERAGE(X12,V12,R12,T12,P12)</f>
        <v>24.8</v>
      </c>
    </row>
    <row r="13" spans="1:29" s="617" customFormat="1" x14ac:dyDescent="0.2">
      <c r="A13" s="618"/>
      <c r="B13" s="1545" t="s">
        <v>80</v>
      </c>
      <c r="C13" s="777">
        <v>3</v>
      </c>
      <c r="D13" s="723">
        <v>0</v>
      </c>
      <c r="E13" s="722">
        <v>3</v>
      </c>
      <c r="F13" s="728">
        <v>1</v>
      </c>
      <c r="G13" s="776">
        <v>1</v>
      </c>
      <c r="H13" s="659">
        <v>2</v>
      </c>
      <c r="I13" s="776">
        <v>0</v>
      </c>
      <c r="J13" s="726">
        <v>1</v>
      </c>
      <c r="K13" s="776">
        <v>0</v>
      </c>
      <c r="L13" s="726">
        <v>2</v>
      </c>
      <c r="M13" s="776">
        <v>4</v>
      </c>
      <c r="N13" s="659">
        <v>4</v>
      </c>
      <c r="O13" s="777">
        <v>7</v>
      </c>
      <c r="P13" s="659">
        <v>4</v>
      </c>
      <c r="Q13" s="777">
        <v>15</v>
      </c>
      <c r="R13" s="659">
        <v>6</v>
      </c>
      <c r="S13" s="777">
        <v>14</v>
      </c>
      <c r="T13" s="659">
        <v>3</v>
      </c>
      <c r="U13" s="777">
        <v>11</v>
      </c>
      <c r="V13" s="659">
        <v>3</v>
      </c>
      <c r="W13" s="777">
        <v>16</v>
      </c>
      <c r="X13" s="659">
        <v>5</v>
      </c>
      <c r="Y13" s="777">
        <v>16</v>
      </c>
      <c r="Z13" s="1671"/>
      <c r="AB13" s="926">
        <f t="shared" ref="AB13:AB14" si="0">AVERAGE(W13,U13,Q13,S13,Y13)</f>
        <v>14.4</v>
      </c>
      <c r="AC13" s="928">
        <f t="shared" ref="AC13:AC14" si="1">AVERAGE(X13,V13,R13,T13,P13)</f>
        <v>4.2</v>
      </c>
    </row>
    <row r="14" spans="1:29" s="617" customFormat="1" ht="13.5" thickBot="1" x14ac:dyDescent="0.25">
      <c r="A14" s="618"/>
      <c r="B14" s="1549" t="s">
        <v>167</v>
      </c>
      <c r="C14" s="714">
        <v>35</v>
      </c>
      <c r="D14" s="712">
        <v>18</v>
      </c>
      <c r="E14" s="714">
        <v>27</v>
      </c>
      <c r="F14" s="713">
        <v>11</v>
      </c>
      <c r="G14" s="715">
        <v>34</v>
      </c>
      <c r="H14" s="716">
        <f>8+1</f>
        <v>9</v>
      </c>
      <c r="I14" s="715">
        <v>36</v>
      </c>
      <c r="J14" s="718">
        <v>17</v>
      </c>
      <c r="K14" s="715">
        <v>33</v>
      </c>
      <c r="L14" s="718">
        <v>12</v>
      </c>
      <c r="M14" s="715">
        <v>38</v>
      </c>
      <c r="N14" s="716">
        <v>8</v>
      </c>
      <c r="O14" s="715">
        <v>20</v>
      </c>
      <c r="P14" s="716">
        <v>14</v>
      </c>
      <c r="Q14" s="717">
        <v>17</v>
      </c>
      <c r="R14" s="716">
        <v>6</v>
      </c>
      <c r="S14" s="717">
        <v>17</v>
      </c>
      <c r="T14" s="716">
        <v>6</v>
      </c>
      <c r="U14" s="717">
        <v>19</v>
      </c>
      <c r="V14" s="716">
        <v>8</v>
      </c>
      <c r="W14" s="717">
        <v>18</v>
      </c>
      <c r="X14" s="716">
        <v>7</v>
      </c>
      <c r="Y14" s="717">
        <v>20</v>
      </c>
      <c r="Z14" s="1648"/>
      <c r="AB14" s="929">
        <f t="shared" si="0"/>
        <v>18.2</v>
      </c>
      <c r="AC14" s="1021">
        <f t="shared" si="1"/>
        <v>8.1999999999999993</v>
      </c>
    </row>
    <row r="15" spans="1:29" ht="13.5" thickTop="1" x14ac:dyDescent="0.2">
      <c r="A15" s="3"/>
      <c r="B15" s="70" t="s">
        <v>170</v>
      </c>
      <c r="C15" s="33"/>
      <c r="D15" s="34"/>
      <c r="E15" s="33"/>
      <c r="F15" s="34"/>
      <c r="G15" s="133"/>
      <c r="H15" s="135"/>
      <c r="I15" s="133"/>
      <c r="J15" s="135"/>
      <c r="K15" s="133"/>
      <c r="L15" s="135"/>
      <c r="M15" s="133"/>
      <c r="N15" s="135"/>
      <c r="O15" s="133"/>
      <c r="P15" s="135"/>
      <c r="Q15" s="133"/>
      <c r="R15" s="135"/>
      <c r="S15" s="133"/>
      <c r="T15" s="135"/>
      <c r="U15" s="133"/>
      <c r="V15" s="135"/>
      <c r="W15" s="133"/>
      <c r="X15" s="135"/>
      <c r="Y15" s="133"/>
      <c r="Z15" s="135"/>
    </row>
    <row r="16" spans="1:29" ht="13.5" thickBot="1" x14ac:dyDescent="0.25">
      <c r="A16" s="3"/>
      <c r="B16" s="3"/>
      <c r="C16" s="3"/>
      <c r="D16" s="3"/>
      <c r="E16" s="3"/>
      <c r="F16" s="3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</row>
    <row r="17" spans="1:32" ht="14.25" thickTop="1" thickBot="1" x14ac:dyDescent="0.25">
      <c r="A17" s="3"/>
      <c r="B17" s="19"/>
      <c r="C17" s="2013" t="s">
        <v>49</v>
      </c>
      <c r="D17" s="2014"/>
      <c r="E17" s="2015" t="s">
        <v>50</v>
      </c>
      <c r="F17" s="2015"/>
      <c r="G17" s="2002" t="s">
        <v>141</v>
      </c>
      <c r="H17" s="1982"/>
      <c r="I17" s="2002" t="s">
        <v>152</v>
      </c>
      <c r="J17" s="1974"/>
      <c r="K17" s="2002" t="s">
        <v>154</v>
      </c>
      <c r="L17" s="1974"/>
      <c r="M17" s="2002" t="s">
        <v>171</v>
      </c>
      <c r="N17" s="1982"/>
      <c r="O17" s="1974" t="s">
        <v>227</v>
      </c>
      <c r="P17" s="1982"/>
      <c r="Q17" s="1974" t="s">
        <v>237</v>
      </c>
      <c r="R17" s="1982"/>
      <c r="S17" s="1974" t="s">
        <v>272</v>
      </c>
      <c r="T17" s="1982"/>
      <c r="U17" s="1974" t="s">
        <v>274</v>
      </c>
      <c r="V17" s="1982"/>
      <c r="W17" s="1974" t="s">
        <v>280</v>
      </c>
      <c r="X17" s="1982"/>
      <c r="Y17" s="1974" t="s">
        <v>290</v>
      </c>
      <c r="Z17" s="1975"/>
      <c r="AB17" s="2003" t="s">
        <v>213</v>
      </c>
      <c r="AC17" s="2004"/>
    </row>
    <row r="18" spans="1:32" x14ac:dyDescent="0.2">
      <c r="A18" s="3"/>
      <c r="B18" s="81" t="s">
        <v>7</v>
      </c>
      <c r="C18" s="54"/>
      <c r="D18" s="92"/>
      <c r="E18" s="30"/>
      <c r="F18" s="30"/>
      <c r="G18" s="243"/>
      <c r="H18" s="244"/>
      <c r="I18" s="138"/>
      <c r="J18" s="138"/>
      <c r="K18" s="243"/>
      <c r="L18" s="138"/>
      <c r="M18" s="243"/>
      <c r="N18" s="244"/>
      <c r="O18" s="138"/>
      <c r="P18" s="244"/>
      <c r="Q18" s="138"/>
      <c r="R18" s="244"/>
      <c r="S18" s="138"/>
      <c r="T18" s="244"/>
      <c r="U18" s="138"/>
      <c r="V18" s="244"/>
      <c r="W18" s="138"/>
      <c r="X18" s="244"/>
      <c r="Y18" s="138"/>
      <c r="Z18" s="140"/>
      <c r="AB18" s="831"/>
      <c r="AC18" s="930"/>
    </row>
    <row r="19" spans="1:32" x14ac:dyDescent="0.2">
      <c r="A19" s="3"/>
      <c r="B19" s="78" t="s">
        <v>8</v>
      </c>
      <c r="C19" s="184"/>
      <c r="D19" s="93"/>
      <c r="E19" s="31"/>
      <c r="F19" s="31"/>
      <c r="G19" s="239"/>
      <c r="H19" s="245"/>
      <c r="I19" s="139"/>
      <c r="J19" s="139"/>
      <c r="K19" s="239"/>
      <c r="L19" s="139"/>
      <c r="M19" s="239"/>
      <c r="N19" s="245"/>
      <c r="O19" s="139"/>
      <c r="P19" s="245"/>
      <c r="Q19" s="139"/>
      <c r="R19" s="245"/>
      <c r="S19" s="139"/>
      <c r="T19" s="245"/>
      <c r="U19" s="139"/>
      <c r="V19" s="245"/>
      <c r="W19" s="139"/>
      <c r="X19" s="245" t="s">
        <v>29</v>
      </c>
      <c r="Y19" s="139"/>
      <c r="Z19" s="141" t="s">
        <v>29</v>
      </c>
      <c r="AB19" s="831"/>
      <c r="AC19" s="930"/>
    </row>
    <row r="20" spans="1:32" x14ac:dyDescent="0.2">
      <c r="A20" s="3"/>
      <c r="B20" s="78" t="s">
        <v>9</v>
      </c>
      <c r="C20" s="184"/>
      <c r="D20" s="165">
        <v>6688</v>
      </c>
      <c r="E20" s="31"/>
      <c r="F20" s="171">
        <v>6754</v>
      </c>
      <c r="G20" s="239"/>
      <c r="H20" s="261">
        <v>6583</v>
      </c>
      <c r="I20" s="139"/>
      <c r="J20" s="183">
        <v>6524</v>
      </c>
      <c r="K20" s="239"/>
      <c r="L20" s="183">
        <v>6331</v>
      </c>
      <c r="M20" s="239"/>
      <c r="N20" s="261">
        <v>6375</v>
      </c>
      <c r="O20" s="139"/>
      <c r="P20" s="261">
        <v>5945</v>
      </c>
      <c r="Q20" s="139"/>
      <c r="R20" s="261">
        <f>328+3441+2641</f>
        <v>6410</v>
      </c>
      <c r="S20" s="139"/>
      <c r="T20" s="261">
        <f>307+3493+2829</f>
        <v>6629</v>
      </c>
      <c r="U20" s="139"/>
      <c r="V20" s="261">
        <v>7269</v>
      </c>
      <c r="W20" s="139"/>
      <c r="X20" s="261">
        <v>7423</v>
      </c>
      <c r="Y20" s="139"/>
      <c r="Z20" s="1649"/>
      <c r="AB20" s="24"/>
      <c r="AC20" s="947">
        <f t="shared" ref="AC20:AC22" si="2">AVERAGE(X20,V20,R20,T20,P20)</f>
        <v>6735.2</v>
      </c>
      <c r="AE20" t="s">
        <v>29</v>
      </c>
    </row>
    <row r="21" spans="1:32" x14ac:dyDescent="0.2">
      <c r="A21" s="3"/>
      <c r="B21" s="78" t="s">
        <v>10</v>
      </c>
      <c r="C21" s="184"/>
      <c r="D21" s="165">
        <v>4241</v>
      </c>
      <c r="E21" s="31"/>
      <c r="F21" s="171">
        <v>4579</v>
      </c>
      <c r="G21" s="239"/>
      <c r="H21" s="261">
        <v>5050</v>
      </c>
      <c r="I21" s="139"/>
      <c r="J21" s="183">
        <v>5145</v>
      </c>
      <c r="K21" s="239"/>
      <c r="L21" s="183">
        <v>4388</v>
      </c>
      <c r="M21" s="239"/>
      <c r="N21" s="261">
        <v>5049</v>
      </c>
      <c r="O21" s="139"/>
      <c r="P21" s="261">
        <v>4991</v>
      </c>
      <c r="Q21" s="139"/>
      <c r="R21" s="261">
        <f>672+2187+2103</f>
        <v>4962</v>
      </c>
      <c r="S21" s="139"/>
      <c r="T21" s="261">
        <f>528+1881+1983</f>
        <v>4392</v>
      </c>
      <c r="U21" s="139"/>
      <c r="V21" s="261">
        <v>4605</v>
      </c>
      <c r="W21" s="139"/>
      <c r="X21" s="261">
        <v>4161</v>
      </c>
      <c r="Y21" s="139"/>
      <c r="Z21" s="1649"/>
      <c r="AB21" s="12"/>
      <c r="AC21" s="947">
        <f t="shared" si="2"/>
        <v>4622.2</v>
      </c>
    </row>
    <row r="22" spans="1:32" x14ac:dyDescent="0.2">
      <c r="A22" s="3"/>
      <c r="B22" s="78" t="s">
        <v>11</v>
      </c>
      <c r="C22" s="184"/>
      <c r="D22" s="165">
        <v>237</v>
      </c>
      <c r="E22" s="31"/>
      <c r="F22" s="171">
        <v>188</v>
      </c>
      <c r="G22" s="239"/>
      <c r="H22" s="261">
        <v>213</v>
      </c>
      <c r="I22" s="139"/>
      <c r="J22" s="183">
        <v>244</v>
      </c>
      <c r="K22" s="239"/>
      <c r="L22" s="183">
        <v>284</v>
      </c>
      <c r="M22" s="239"/>
      <c r="N22" s="261">
        <v>315</v>
      </c>
      <c r="O22" s="139"/>
      <c r="P22" s="261">
        <v>283</v>
      </c>
      <c r="Q22" s="139"/>
      <c r="R22" s="261">
        <f>23+128+89</f>
        <v>240</v>
      </c>
      <c r="S22" s="139"/>
      <c r="T22" s="261">
        <f>11+112+38</f>
        <v>161</v>
      </c>
      <c r="U22" s="139"/>
      <c r="V22" s="261">
        <v>239</v>
      </c>
      <c r="W22" s="139"/>
      <c r="X22" s="261">
        <v>191</v>
      </c>
      <c r="Y22" s="139"/>
      <c r="Z22" s="1649"/>
      <c r="AB22" s="12"/>
      <c r="AC22" s="947">
        <f t="shared" si="2"/>
        <v>222.8</v>
      </c>
    </row>
    <row r="23" spans="1:32" x14ac:dyDescent="0.2">
      <c r="A23" s="3"/>
      <c r="B23" s="78" t="s">
        <v>12</v>
      </c>
      <c r="C23" s="184"/>
      <c r="D23" s="94"/>
      <c r="E23" s="31"/>
      <c r="F23" s="39"/>
      <c r="G23" s="239"/>
      <c r="H23" s="240"/>
      <c r="I23" s="139"/>
      <c r="J23" s="241"/>
      <c r="K23" s="239"/>
      <c r="L23" s="241"/>
      <c r="M23" s="239"/>
      <c r="N23" s="240"/>
      <c r="O23" s="139"/>
      <c r="P23" s="240"/>
      <c r="Q23" s="139"/>
      <c r="R23" s="240"/>
      <c r="S23" s="139"/>
      <c r="T23" s="240"/>
      <c r="U23" s="139"/>
      <c r="V23" s="240"/>
      <c r="W23" s="139"/>
      <c r="X23" s="240"/>
      <c r="Y23" s="139"/>
      <c r="Z23" s="1650"/>
      <c r="AB23" s="12"/>
      <c r="AC23" s="947"/>
    </row>
    <row r="24" spans="1:32" ht="13.5" thickBot="1" x14ac:dyDescent="0.25">
      <c r="A24" s="3"/>
      <c r="B24" s="79" t="s">
        <v>13</v>
      </c>
      <c r="C24" s="185"/>
      <c r="D24" s="186">
        <f>SUM(D20:D23)</f>
        <v>11166</v>
      </c>
      <c r="E24" s="90"/>
      <c r="F24" s="58">
        <f>SUM(F20:F23)</f>
        <v>11521</v>
      </c>
      <c r="G24" s="246"/>
      <c r="H24" s="247">
        <f>SUM(H20:H23)</f>
        <v>11846</v>
      </c>
      <c r="I24" s="164"/>
      <c r="J24" s="242">
        <f>SUM(J20:J23)</f>
        <v>11913</v>
      </c>
      <c r="K24" s="246"/>
      <c r="L24" s="242">
        <f>SUM(L20:L23)</f>
        <v>11003</v>
      </c>
      <c r="M24" s="246"/>
      <c r="N24" s="247">
        <f>SUM(N20:N23)</f>
        <v>11739</v>
      </c>
      <c r="O24" s="164"/>
      <c r="P24" s="247">
        <f>SUM(P20:P23)</f>
        <v>11219</v>
      </c>
      <c r="Q24" s="164"/>
      <c r="R24" s="247">
        <f>SUM(R20:R23)</f>
        <v>11612</v>
      </c>
      <c r="S24" s="164"/>
      <c r="T24" s="247">
        <f>SUM(T20:T23)</f>
        <v>11182</v>
      </c>
      <c r="U24" s="164"/>
      <c r="V24" s="247">
        <f>SUM(V20:V23)</f>
        <v>12113</v>
      </c>
      <c r="W24" s="164"/>
      <c r="X24" s="247">
        <f>SUM(X20:X23)</f>
        <v>11775</v>
      </c>
      <c r="Y24" s="164"/>
      <c r="Z24" s="1651"/>
      <c r="AA24" s="1031"/>
      <c r="AB24" s="946"/>
      <c r="AC24" s="1008">
        <f>AVERAGE(X24,V24,R24,T24,P24)</f>
        <v>11580.2</v>
      </c>
    </row>
    <row r="25" spans="1:32" ht="12" customHeight="1" thickTop="1" thickBot="1" x14ac:dyDescent="0.25">
      <c r="A25" s="930"/>
      <c r="B25" s="931" t="s">
        <v>212</v>
      </c>
      <c r="C25" s="1992" t="s">
        <v>51</v>
      </c>
      <c r="D25" s="1997"/>
      <c r="E25" s="1992" t="s">
        <v>52</v>
      </c>
      <c r="F25" s="1997"/>
      <c r="G25" s="1989" t="s">
        <v>184</v>
      </c>
      <c r="H25" s="1981"/>
      <c r="I25" s="1989" t="s">
        <v>185</v>
      </c>
      <c r="J25" s="2005"/>
      <c r="K25" s="1989" t="s">
        <v>202</v>
      </c>
      <c r="L25" s="2005"/>
      <c r="M25" s="1991" t="s">
        <v>203</v>
      </c>
      <c r="N25" s="1981"/>
      <c r="O25" s="1970" t="s">
        <v>228</v>
      </c>
      <c r="P25" s="1981"/>
      <c r="Q25" s="1970" t="s">
        <v>238</v>
      </c>
      <c r="R25" s="1981"/>
      <c r="S25" s="1970" t="s">
        <v>273</v>
      </c>
      <c r="T25" s="1981"/>
      <c r="U25" s="1970" t="s">
        <v>275</v>
      </c>
      <c r="V25" s="1981"/>
      <c r="W25" s="1970" t="s">
        <v>281</v>
      </c>
      <c r="X25" s="1981"/>
      <c r="Y25" s="1970" t="s">
        <v>291</v>
      </c>
      <c r="Z25" s="1971"/>
      <c r="AA25" s="932"/>
      <c r="AB25" s="2009"/>
      <c r="AC25" s="2010"/>
      <c r="AD25" s="293"/>
      <c r="AE25" s="293"/>
      <c r="AF25" s="21"/>
    </row>
    <row r="26" spans="1:32" ht="12" customHeight="1" x14ac:dyDescent="0.2">
      <c r="A26" s="930"/>
      <c r="B26" s="933" t="s">
        <v>189</v>
      </c>
      <c r="C26" s="2016"/>
      <c r="D26" s="2017"/>
      <c r="E26" s="1995"/>
      <c r="F26" s="1996"/>
      <c r="G26" s="1995"/>
      <c r="H26" s="1996"/>
      <c r="I26" s="2031"/>
      <c r="J26" s="2041"/>
      <c r="K26" s="1635"/>
      <c r="L26" s="1636"/>
      <c r="M26" s="1637"/>
      <c r="N26" s="1638"/>
      <c r="O26" s="1639"/>
      <c r="P26" s="1638"/>
      <c r="Q26" s="1639"/>
      <c r="R26" s="1638"/>
      <c r="S26" s="1639"/>
      <c r="T26" s="1638"/>
      <c r="U26" s="1271"/>
      <c r="V26" s="1178">
        <v>9.7000000000000003E-2</v>
      </c>
      <c r="W26" s="1271"/>
      <c r="X26" s="1178">
        <v>0.11700000000000001</v>
      </c>
      <c r="Y26" s="1271"/>
      <c r="Z26" s="1479">
        <v>0.11600000000000001</v>
      </c>
      <c r="AA26" s="937"/>
      <c r="AB26" s="1951"/>
      <c r="AC26" s="1952"/>
      <c r="AD26" s="293"/>
      <c r="AE26" s="293"/>
      <c r="AF26" s="21"/>
    </row>
    <row r="27" spans="1:32" ht="12" customHeight="1" x14ac:dyDescent="0.2">
      <c r="A27" s="930"/>
      <c r="B27" s="940" t="s">
        <v>190</v>
      </c>
      <c r="C27" s="2018"/>
      <c r="D27" s="2019"/>
      <c r="E27" s="2000"/>
      <c r="F27" s="2001"/>
      <c r="G27" s="2000"/>
      <c r="H27" s="2001"/>
      <c r="I27" s="2034"/>
      <c r="J27" s="2035"/>
      <c r="K27" s="1640"/>
      <c r="L27" s="1641"/>
      <c r="M27" s="1640"/>
      <c r="N27" s="1641"/>
      <c r="O27" s="1642"/>
      <c r="P27" s="1641"/>
      <c r="Q27" s="1642"/>
      <c r="R27" s="1641"/>
      <c r="S27" s="1642"/>
      <c r="T27" s="1641"/>
      <c r="U27" s="1272"/>
      <c r="V27" s="1179">
        <v>1.4999999999999999E-2</v>
      </c>
      <c r="W27" s="1272"/>
      <c r="X27" s="1179">
        <v>1.6E-2</v>
      </c>
      <c r="Y27" s="1272"/>
      <c r="Z27" s="1480">
        <v>1.7999999999999999E-2</v>
      </c>
      <c r="AA27" s="937"/>
      <c r="AB27" s="1951"/>
      <c r="AC27" s="1952"/>
      <c r="AD27" s="293"/>
      <c r="AE27" s="293"/>
      <c r="AF27" s="21"/>
    </row>
    <row r="28" spans="1:32" ht="12" customHeight="1" thickBot="1" x14ac:dyDescent="0.25">
      <c r="A28" s="3"/>
      <c r="B28" s="943" t="s">
        <v>191</v>
      </c>
      <c r="C28" s="1998"/>
      <c r="D28" s="1999"/>
      <c r="E28" s="1998"/>
      <c r="F28" s="1999"/>
      <c r="G28" s="1998"/>
      <c r="H28" s="1999"/>
      <c r="I28" s="2027"/>
      <c r="J28" s="2028"/>
      <c r="K28" s="2027"/>
      <c r="L28" s="2028"/>
      <c r="M28" s="2027"/>
      <c r="N28" s="2028"/>
      <c r="O28" s="2027"/>
      <c r="P28" s="2028"/>
      <c r="Q28" s="2027"/>
      <c r="R28" s="2028"/>
      <c r="S28" s="2066"/>
      <c r="T28" s="2028"/>
      <c r="U28" s="1972">
        <f>1-V26-V27</f>
        <v>0.88800000000000001</v>
      </c>
      <c r="V28" s="1973"/>
      <c r="W28" s="1972">
        <f>1-X26-X27</f>
        <v>0.86699999999999999</v>
      </c>
      <c r="X28" s="1973"/>
      <c r="Y28" s="1972">
        <f>1-Z26-Z27</f>
        <v>0.86599999999999999</v>
      </c>
      <c r="Z28" s="2042"/>
      <c r="AA28" s="937"/>
      <c r="AB28" s="2065"/>
      <c r="AC28" s="2066"/>
      <c r="AD28" s="1050"/>
      <c r="AE28" s="293"/>
      <c r="AF28" s="21"/>
    </row>
    <row r="29" spans="1:32" s="3" customFormat="1" thickTop="1" x14ac:dyDescent="0.2">
      <c r="B29" s="109"/>
      <c r="C29" s="110"/>
      <c r="D29" s="111"/>
      <c r="E29" s="110"/>
      <c r="F29" s="111"/>
      <c r="G29" s="146"/>
      <c r="H29" s="147"/>
      <c r="I29" s="146"/>
      <c r="J29" s="147"/>
      <c r="K29" s="146"/>
      <c r="L29" s="147"/>
      <c r="M29" s="146"/>
      <c r="N29" s="147"/>
      <c r="O29" s="146"/>
      <c r="P29" s="147"/>
      <c r="Q29" s="146"/>
      <c r="R29" s="147"/>
      <c r="S29" s="146"/>
      <c r="T29" s="147"/>
      <c r="U29" s="146"/>
      <c r="V29" s="147"/>
      <c r="W29" s="146"/>
      <c r="X29" s="147"/>
      <c r="Y29" s="146"/>
      <c r="Z29" s="147"/>
      <c r="AC29" s="578"/>
    </row>
    <row r="30" spans="1:32" s="3" customFormat="1" x14ac:dyDescent="0.2">
      <c r="A30" s="112" t="s">
        <v>68</v>
      </c>
      <c r="B30" s="96"/>
      <c r="C30" s="28"/>
      <c r="D30" s="28"/>
      <c r="E30" s="28"/>
      <c r="F30" s="28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</row>
    <row r="31" spans="1:32" s="3" customFormat="1" ht="13.5" thickBot="1" x14ac:dyDescent="0.25">
      <c r="A31" s="112"/>
      <c r="B31" s="96"/>
      <c r="C31" s="28"/>
      <c r="D31" s="28"/>
      <c r="E31" s="28"/>
      <c r="F31" s="28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</row>
    <row r="32" spans="1:32" s="3" customFormat="1" ht="14.25" thickTop="1" thickBot="1" x14ac:dyDescent="0.25">
      <c r="A32" s="2"/>
      <c r="B32" s="357" t="s">
        <v>69</v>
      </c>
      <c r="C32" s="2013" t="s">
        <v>49</v>
      </c>
      <c r="D32" s="2014"/>
      <c r="E32" s="2015" t="s">
        <v>50</v>
      </c>
      <c r="F32" s="2015"/>
      <c r="G32" s="2002" t="s">
        <v>141</v>
      </c>
      <c r="H32" s="1982"/>
      <c r="I32" s="2002" t="s">
        <v>152</v>
      </c>
      <c r="J32" s="1974"/>
      <c r="K32" s="2002" t="s">
        <v>154</v>
      </c>
      <c r="L32" s="1974"/>
      <c r="M32" s="2002" t="s">
        <v>171</v>
      </c>
      <c r="N32" s="1982"/>
      <c r="O32" s="1974" t="s">
        <v>227</v>
      </c>
      <c r="P32" s="1982"/>
      <c r="Q32" s="1974" t="s">
        <v>237</v>
      </c>
      <c r="R32" s="1982"/>
      <c r="S32" s="1974" t="s">
        <v>272</v>
      </c>
      <c r="T32" s="1982"/>
      <c r="U32" s="1974" t="s">
        <v>274</v>
      </c>
      <c r="V32" s="1982"/>
      <c r="W32" s="1974" t="s">
        <v>280</v>
      </c>
      <c r="X32" s="1982"/>
      <c r="Y32" s="1974" t="s">
        <v>290</v>
      </c>
      <c r="Z32" s="1975"/>
      <c r="AB32" s="2003" t="s">
        <v>213</v>
      </c>
      <c r="AC32" s="2004"/>
    </row>
    <row r="33" spans="1:29" s="3" customFormat="1" x14ac:dyDescent="0.2">
      <c r="A33" s="2"/>
      <c r="B33" s="330" t="s">
        <v>70</v>
      </c>
      <c r="C33" s="184"/>
      <c r="D33" s="93"/>
      <c r="E33" s="31"/>
      <c r="F33" s="31"/>
      <c r="G33" s="239"/>
      <c r="H33" s="245"/>
      <c r="I33" s="138"/>
      <c r="J33" s="138"/>
      <c r="K33" s="243"/>
      <c r="L33" s="138"/>
      <c r="M33" s="243"/>
      <c r="N33" s="244"/>
      <c r="O33" s="138"/>
      <c r="P33" s="244"/>
      <c r="Q33" s="138"/>
      <c r="R33" s="244"/>
      <c r="S33" s="138"/>
      <c r="T33" s="244"/>
      <c r="U33" s="138"/>
      <c r="V33" s="244"/>
      <c r="W33" s="138"/>
      <c r="X33" s="244"/>
      <c r="Y33" s="138"/>
      <c r="Z33" s="140"/>
      <c r="AB33" s="831"/>
      <c r="AC33" s="930"/>
    </row>
    <row r="34" spans="1:29" s="3" customFormat="1" x14ac:dyDescent="0.2">
      <c r="A34" s="2"/>
      <c r="B34" s="331" t="s">
        <v>71</v>
      </c>
      <c r="C34" s="54"/>
      <c r="D34" s="188"/>
      <c r="E34" s="30"/>
      <c r="F34" s="205"/>
      <c r="G34" s="243"/>
      <c r="H34" s="369"/>
      <c r="I34" s="138"/>
      <c r="J34" s="451"/>
      <c r="K34" s="1749"/>
      <c r="L34" s="1821"/>
      <c r="M34" s="243"/>
      <c r="N34" s="416">
        <v>2043375</v>
      </c>
      <c r="O34" s="138"/>
      <c r="P34" s="416">
        <v>2008525</v>
      </c>
      <c r="Q34" s="138"/>
      <c r="R34" s="416">
        <v>2060562</v>
      </c>
      <c r="S34" s="138"/>
      <c r="T34" s="416">
        <v>2071784</v>
      </c>
      <c r="U34" s="138"/>
      <c r="V34" s="416">
        <v>873088</v>
      </c>
      <c r="W34" s="138"/>
      <c r="X34" s="416">
        <v>947080</v>
      </c>
      <c r="Y34" s="138"/>
      <c r="Z34" s="294">
        <v>1082348</v>
      </c>
      <c r="AB34" s="24"/>
      <c r="AC34" s="947">
        <f t="shared" ref="AC34:AC37" si="3">AVERAGE(X34,V34,R34,T34,Z34)</f>
        <v>1406972.4</v>
      </c>
    </row>
    <row r="35" spans="1:29" s="3" customFormat="1" x14ac:dyDescent="0.2">
      <c r="A35" s="2"/>
      <c r="B35" s="331" t="s">
        <v>247</v>
      </c>
      <c r="C35" s="54"/>
      <c r="D35" s="188"/>
      <c r="E35" s="30"/>
      <c r="F35" s="205"/>
      <c r="G35" s="243"/>
      <c r="H35" s="1440"/>
      <c r="I35" s="138"/>
      <c r="J35" s="451"/>
      <c r="K35" s="1749"/>
      <c r="L35" s="1821"/>
      <c r="M35" s="243"/>
      <c r="N35" s="416">
        <v>1200</v>
      </c>
      <c r="O35" s="138"/>
      <c r="P35" s="416">
        <v>1200</v>
      </c>
      <c r="Q35" s="138"/>
      <c r="R35" s="416">
        <v>1200</v>
      </c>
      <c r="S35" s="138"/>
      <c r="T35" s="416">
        <v>1200</v>
      </c>
      <c r="U35" s="138"/>
      <c r="V35" s="416">
        <v>1200</v>
      </c>
      <c r="W35" s="138"/>
      <c r="X35" s="416">
        <v>1200</v>
      </c>
      <c r="Y35" s="138"/>
      <c r="Z35" s="294">
        <v>1200</v>
      </c>
      <c r="AB35" s="24"/>
      <c r="AC35" s="947">
        <f>AVERAGE(X35,V35,R35,T35,Z35)</f>
        <v>1200</v>
      </c>
    </row>
    <row r="36" spans="1:29" s="3" customFormat="1" ht="36" x14ac:dyDescent="0.2">
      <c r="A36" s="2"/>
      <c r="B36" s="332" t="s">
        <v>250</v>
      </c>
      <c r="C36" s="184"/>
      <c r="D36" s="189"/>
      <c r="E36" s="31"/>
      <c r="F36" s="206"/>
      <c r="G36" s="239"/>
      <c r="H36" s="369"/>
      <c r="I36" s="139"/>
      <c r="J36" s="347"/>
      <c r="K36" s="1750"/>
      <c r="L36" s="1822"/>
      <c r="M36" s="239"/>
      <c r="N36" s="369">
        <v>66098</v>
      </c>
      <c r="O36" s="139"/>
      <c r="P36" s="369">
        <v>121333</v>
      </c>
      <c r="Q36" s="139"/>
      <c r="R36" s="369">
        <v>89920</v>
      </c>
      <c r="S36" s="139"/>
      <c r="T36" s="369">
        <v>168625</v>
      </c>
      <c r="U36" s="139"/>
      <c r="V36" s="369">
        <v>79570</v>
      </c>
      <c r="W36" s="139"/>
      <c r="X36" s="369">
        <v>123160</v>
      </c>
      <c r="Y36" s="139"/>
      <c r="Z36" s="282">
        <v>174617</v>
      </c>
      <c r="AB36" s="12"/>
      <c r="AC36" s="947">
        <f t="shared" si="3"/>
        <v>127178.4</v>
      </c>
    </row>
    <row r="37" spans="1:29" s="3" customFormat="1" x14ac:dyDescent="0.2">
      <c r="A37" s="2"/>
      <c r="B37" s="333" t="s">
        <v>72</v>
      </c>
      <c r="C37" s="187"/>
      <c r="D37" s="190">
        <f>SUM(D34:D36)</f>
        <v>0</v>
      </c>
      <c r="E37" s="90"/>
      <c r="F37" s="207">
        <f>SUM(F34:F36)</f>
        <v>0</v>
      </c>
      <c r="G37" s="262"/>
      <c r="H37" s="263">
        <f>SUM(H34:H36)</f>
        <v>0</v>
      </c>
      <c r="I37" s="250"/>
      <c r="J37" s="249">
        <f>SUM(J34:J36)</f>
        <v>0</v>
      </c>
      <c r="K37" s="1823"/>
      <c r="L37" s="1824">
        <f>SUM(L34:L36)</f>
        <v>0</v>
      </c>
      <c r="M37" s="262"/>
      <c r="N37" s="263">
        <f>SUM(N34:N36)</f>
        <v>2110673</v>
      </c>
      <c r="O37" s="250"/>
      <c r="P37" s="263">
        <f>SUM(P34:P36)</f>
        <v>2131058</v>
      </c>
      <c r="Q37" s="250"/>
      <c r="R37" s="263">
        <f>SUM(R34:R36)</f>
        <v>2151682</v>
      </c>
      <c r="S37" s="250"/>
      <c r="T37" s="263">
        <f>SUM(T34:T36)</f>
        <v>2241609</v>
      </c>
      <c r="U37" s="250"/>
      <c r="V37" s="263">
        <f>SUM(V34:V36)</f>
        <v>953858</v>
      </c>
      <c r="W37" s="250"/>
      <c r="X37" s="263">
        <f>SUM(X34:X36)</f>
        <v>1071440</v>
      </c>
      <c r="Y37" s="250"/>
      <c r="Z37" s="149">
        <f>SUM(Z34:Z36)</f>
        <v>1258165</v>
      </c>
      <c r="AB37" s="12"/>
      <c r="AC37" s="1008">
        <f t="shared" si="3"/>
        <v>1535350.8</v>
      </c>
    </row>
    <row r="38" spans="1:29" s="3" customFormat="1" x14ac:dyDescent="0.2">
      <c r="A38" s="2"/>
      <c r="B38" s="330" t="s">
        <v>73</v>
      </c>
      <c r="C38" s="184"/>
      <c r="D38" s="189"/>
      <c r="E38" s="31"/>
      <c r="F38" s="206"/>
      <c r="G38" s="239"/>
      <c r="H38" s="369"/>
      <c r="I38" s="139"/>
      <c r="J38" s="347"/>
      <c r="K38" s="1750"/>
      <c r="L38" s="1822"/>
      <c r="M38" s="239"/>
      <c r="N38" s="369"/>
      <c r="O38" s="139"/>
      <c r="P38" s="369"/>
      <c r="Q38" s="139"/>
      <c r="R38" s="369"/>
      <c r="S38" s="139"/>
      <c r="T38" s="369"/>
      <c r="U38" s="139"/>
      <c r="V38" s="369"/>
      <c r="W38" s="139"/>
      <c r="X38" s="369"/>
      <c r="Y38" s="139"/>
      <c r="Z38" s="282"/>
      <c r="AB38" s="12"/>
      <c r="AC38" s="947"/>
    </row>
    <row r="39" spans="1:29" s="3" customFormat="1" x14ac:dyDescent="0.2">
      <c r="A39" s="2"/>
      <c r="B39" s="331" t="s">
        <v>71</v>
      </c>
      <c r="C39" s="184"/>
      <c r="D39" s="189"/>
      <c r="E39" s="31"/>
      <c r="F39" s="206"/>
      <c r="G39" s="239"/>
      <c r="H39" s="369"/>
      <c r="I39" s="139"/>
      <c r="J39" s="347"/>
      <c r="K39" s="1750"/>
      <c r="L39" s="1822"/>
      <c r="M39" s="239"/>
      <c r="N39" s="369"/>
      <c r="O39" s="139"/>
      <c r="P39" s="369"/>
      <c r="Q39" s="139"/>
      <c r="R39" s="369"/>
      <c r="S39" s="139"/>
      <c r="T39" s="369"/>
      <c r="U39" s="139"/>
      <c r="V39" s="369"/>
      <c r="W39" s="139"/>
      <c r="X39" s="369"/>
      <c r="Y39" s="139"/>
      <c r="Z39" s="282"/>
      <c r="AB39" s="12"/>
      <c r="AC39" s="947"/>
    </row>
    <row r="40" spans="1:29" s="3" customFormat="1" x14ac:dyDescent="0.2">
      <c r="A40" s="2"/>
      <c r="B40" s="331" t="s">
        <v>247</v>
      </c>
      <c r="C40" s="184"/>
      <c r="D40" s="189"/>
      <c r="E40" s="31"/>
      <c r="F40" s="206"/>
      <c r="G40" s="239"/>
      <c r="H40" s="369"/>
      <c r="I40" s="139"/>
      <c r="J40" s="347"/>
      <c r="K40" s="1750"/>
      <c r="L40" s="1822"/>
      <c r="M40" s="239"/>
      <c r="N40" s="369"/>
      <c r="O40" s="139"/>
      <c r="P40" s="369"/>
      <c r="Q40" s="139"/>
      <c r="R40" s="369"/>
      <c r="S40" s="139"/>
      <c r="T40" s="369"/>
      <c r="U40" s="139"/>
      <c r="V40" s="369"/>
      <c r="W40" s="139"/>
      <c r="X40" s="369"/>
      <c r="Y40" s="139"/>
      <c r="Z40" s="282"/>
      <c r="AB40" s="12"/>
      <c r="AC40" s="947"/>
    </row>
    <row r="41" spans="1:29" s="3" customFormat="1" ht="36" x14ac:dyDescent="0.2">
      <c r="A41" s="2"/>
      <c r="B41" s="332" t="s">
        <v>250</v>
      </c>
      <c r="C41" s="184"/>
      <c r="D41" s="189"/>
      <c r="E41" s="31"/>
      <c r="F41" s="206"/>
      <c r="G41" s="239"/>
      <c r="H41" s="369"/>
      <c r="I41" s="139"/>
      <c r="J41" s="347"/>
      <c r="K41" s="1750"/>
      <c r="L41" s="1822"/>
      <c r="M41" s="239"/>
      <c r="N41" s="369"/>
      <c r="O41" s="139"/>
      <c r="P41" s="369"/>
      <c r="Q41" s="139"/>
      <c r="R41" s="369"/>
      <c r="S41" s="139"/>
      <c r="T41" s="369"/>
      <c r="U41" s="139"/>
      <c r="V41" s="369"/>
      <c r="W41" s="139"/>
      <c r="X41" s="369"/>
      <c r="Y41" s="139"/>
      <c r="Z41" s="282"/>
      <c r="AB41" s="12"/>
      <c r="AC41" s="947"/>
    </row>
    <row r="42" spans="1:29" s="3" customFormat="1" x14ac:dyDescent="0.2">
      <c r="A42" s="2"/>
      <c r="B42" s="333" t="s">
        <v>74</v>
      </c>
      <c r="C42" s="187"/>
      <c r="D42" s="190">
        <f>SUM(D39:D41)</f>
        <v>0</v>
      </c>
      <c r="E42" s="90"/>
      <c r="F42" s="207">
        <f>SUM(F39:F41)</f>
        <v>0</v>
      </c>
      <c r="G42" s="262"/>
      <c r="H42" s="263">
        <f>SUM(H39:H41)</f>
        <v>0</v>
      </c>
      <c r="I42" s="250"/>
      <c r="J42" s="249">
        <f>SUM(J39:J41)</f>
        <v>0</v>
      </c>
      <c r="K42" s="1823"/>
      <c r="L42" s="1824">
        <f>SUM(L39:L41)</f>
        <v>0</v>
      </c>
      <c r="M42" s="262"/>
      <c r="N42" s="263">
        <f>SUM(N39:N41)</f>
        <v>0</v>
      </c>
      <c r="O42" s="250"/>
      <c r="P42" s="263">
        <f>SUM(P39:P41)</f>
        <v>0</v>
      </c>
      <c r="Q42" s="250"/>
      <c r="R42" s="263">
        <f>SUM(R39:R41)</f>
        <v>0</v>
      </c>
      <c r="S42" s="250"/>
      <c r="T42" s="263">
        <f>SUM(T39:T41)</f>
        <v>0</v>
      </c>
      <c r="U42" s="250"/>
      <c r="V42" s="263">
        <f>SUM(V39:V41)</f>
        <v>0</v>
      </c>
      <c r="W42" s="250"/>
      <c r="X42" s="263">
        <f>SUM(X39:X41)</f>
        <v>0</v>
      </c>
      <c r="Y42" s="250"/>
      <c r="Z42" s="149">
        <f>SUM(Z39:Z41)</f>
        <v>0</v>
      </c>
      <c r="AB42" s="12"/>
      <c r="AC42" s="947">
        <f t="shared" ref="AC42" si="4">AVERAGE(X42,V42,R42,T42,Z42)</f>
        <v>0</v>
      </c>
    </row>
    <row r="43" spans="1:29" s="3" customFormat="1" ht="13.5" thickBot="1" x14ac:dyDescent="0.25">
      <c r="A43" s="2"/>
      <c r="B43" s="1493" t="s">
        <v>75</v>
      </c>
      <c r="C43" s="184"/>
      <c r="D43" s="190">
        <f>SUM(D37,D42)</f>
        <v>0</v>
      </c>
      <c r="E43" s="31"/>
      <c r="F43" s="207">
        <f>SUM(F37,F42)</f>
        <v>0</v>
      </c>
      <c r="G43" s="239"/>
      <c r="H43" s="263">
        <f>SUM(H37,H42)</f>
        <v>0</v>
      </c>
      <c r="I43" s="139"/>
      <c r="J43" s="249">
        <f>SUM(J37,J42)</f>
        <v>0</v>
      </c>
      <c r="K43" s="1750"/>
      <c r="L43" s="1824">
        <f>SUM(L37,L42)</f>
        <v>0</v>
      </c>
      <c r="M43" s="239"/>
      <c r="N43" s="263">
        <f>SUM(N37,N42)</f>
        <v>2110673</v>
      </c>
      <c r="O43" s="139"/>
      <c r="P43" s="263">
        <f>SUM(P37,P42)</f>
        <v>2131058</v>
      </c>
      <c r="Q43" s="139"/>
      <c r="R43" s="263">
        <f>SUM(R37,R42)</f>
        <v>2151682</v>
      </c>
      <c r="S43" s="139"/>
      <c r="T43" s="263">
        <f>SUM(T37,T42)</f>
        <v>2241609</v>
      </c>
      <c r="U43" s="139"/>
      <c r="V43" s="605">
        <f>SUM(V37,V42)</f>
        <v>953858</v>
      </c>
      <c r="W43" s="139"/>
      <c r="X43" s="263">
        <f>SUM(X37,X42)</f>
        <v>1071440</v>
      </c>
      <c r="Y43" s="139"/>
      <c r="Z43" s="149">
        <f>SUM(Z37,Z42)</f>
        <v>1258165</v>
      </c>
      <c r="AB43" s="948"/>
      <c r="AC43" s="947">
        <f>AVERAGE(X43,V43,R43,T43,Z43)</f>
        <v>1535350.8</v>
      </c>
    </row>
    <row r="44" spans="1:29" s="3" customFormat="1" ht="12" x14ac:dyDescent="0.2">
      <c r="B44" s="81" t="s">
        <v>259</v>
      </c>
      <c r="C44" s="265"/>
      <c r="D44" s="248"/>
      <c r="E44" s="36"/>
      <c r="F44" s="36"/>
      <c r="G44" s="265"/>
      <c r="H44" s="248"/>
      <c r="I44" s="151"/>
      <c r="J44" s="151"/>
      <c r="K44" s="1825"/>
      <c r="L44" s="1797"/>
      <c r="M44" s="1825"/>
      <c r="N44" s="1837"/>
      <c r="O44" s="1797"/>
      <c r="P44" s="1837"/>
      <c r="Q44" s="1797"/>
      <c r="R44" s="1837"/>
      <c r="S44" s="151"/>
      <c r="T44" s="248"/>
      <c r="U44" s="151"/>
      <c r="V44" s="248"/>
      <c r="W44" s="151"/>
      <c r="X44" s="248"/>
      <c r="Y44" s="151"/>
      <c r="Z44" s="152"/>
      <c r="AB44" s="831"/>
      <c r="AC44" s="978"/>
    </row>
    <row r="45" spans="1:29" x14ac:dyDescent="0.2">
      <c r="A45" s="3"/>
      <c r="B45" s="78" t="s">
        <v>14</v>
      </c>
      <c r="C45" s="266"/>
      <c r="D45" s="460"/>
      <c r="E45" s="38"/>
      <c r="F45" s="376"/>
      <c r="G45" s="266"/>
      <c r="H45" s="434"/>
      <c r="I45" s="153"/>
      <c r="J45" s="376"/>
      <c r="K45" s="1826"/>
      <c r="L45" s="1827"/>
      <c r="M45" s="1826"/>
      <c r="N45" s="1777"/>
      <c r="O45" s="1838"/>
      <c r="P45" s="1777"/>
      <c r="Q45" s="1799"/>
      <c r="R45" s="1777"/>
      <c r="S45" s="525"/>
      <c r="T45" s="1140">
        <v>2595204</v>
      </c>
      <c r="U45" s="525"/>
      <c r="V45" s="1140">
        <v>1374764</v>
      </c>
      <c r="W45" s="525"/>
      <c r="X45" s="1140">
        <v>1367924.87</v>
      </c>
      <c r="Y45" s="525"/>
      <c r="Z45" s="1568"/>
      <c r="AB45" s="24"/>
      <c r="AC45" s="949"/>
    </row>
    <row r="46" spans="1:29" ht="13.5" thickBot="1" x14ac:dyDescent="0.25">
      <c r="A46" s="3"/>
      <c r="B46" s="336" t="s">
        <v>15</v>
      </c>
      <c r="C46" s="268"/>
      <c r="D46" s="467"/>
      <c r="E46" s="40"/>
      <c r="F46" s="378"/>
      <c r="G46" s="268"/>
      <c r="H46" s="517"/>
      <c r="I46" s="237"/>
      <c r="J46" s="516"/>
      <c r="K46" s="1828"/>
      <c r="L46" s="1829"/>
      <c r="M46" s="1839"/>
      <c r="N46" s="1840"/>
      <c r="O46" s="1841"/>
      <c r="P46" s="1840"/>
      <c r="Q46" s="1801"/>
      <c r="R46" s="1842"/>
      <c r="S46" s="1481"/>
      <c r="T46" s="1152">
        <v>6670.25</v>
      </c>
      <c r="U46" s="1481"/>
      <c r="V46" s="1152">
        <v>10730</v>
      </c>
      <c r="W46" s="1481"/>
      <c r="X46" s="1152">
        <v>809.37</v>
      </c>
      <c r="Y46" s="1481"/>
      <c r="Z46" s="1569"/>
      <c r="AB46" s="63"/>
      <c r="AC46" s="949"/>
    </row>
    <row r="47" spans="1:29" x14ac:dyDescent="0.2">
      <c r="A47" s="3"/>
      <c r="B47" s="77"/>
      <c r="C47" s="193" t="s">
        <v>133</v>
      </c>
      <c r="D47" s="194" t="s">
        <v>139</v>
      </c>
      <c r="E47" s="166" t="s">
        <v>133</v>
      </c>
      <c r="F47" s="84" t="s">
        <v>139</v>
      </c>
      <c r="G47" s="308" t="s">
        <v>133</v>
      </c>
      <c r="H47" s="417" t="s">
        <v>139</v>
      </c>
      <c r="I47" s="414" t="s">
        <v>133</v>
      </c>
      <c r="J47" s="352" t="s">
        <v>139</v>
      </c>
      <c r="K47" s="1830" t="s">
        <v>133</v>
      </c>
      <c r="L47" s="1818" t="s">
        <v>139</v>
      </c>
      <c r="M47" s="308" t="s">
        <v>133</v>
      </c>
      <c r="N47" s="417" t="s">
        <v>139</v>
      </c>
      <c r="O47" s="414" t="s">
        <v>133</v>
      </c>
      <c r="P47" s="417" t="s">
        <v>139</v>
      </c>
      <c r="Q47" s="414" t="s">
        <v>133</v>
      </c>
      <c r="R47" s="417" t="s">
        <v>139</v>
      </c>
      <c r="S47" s="414" t="s">
        <v>133</v>
      </c>
      <c r="T47" s="417" t="s">
        <v>139</v>
      </c>
      <c r="U47" s="414" t="s">
        <v>133</v>
      </c>
      <c r="V47" s="417" t="s">
        <v>139</v>
      </c>
      <c r="W47" s="414" t="s">
        <v>133</v>
      </c>
      <c r="X47" s="417" t="s">
        <v>139</v>
      </c>
      <c r="Y47" s="414" t="s">
        <v>133</v>
      </c>
      <c r="Z47" s="295" t="s">
        <v>139</v>
      </c>
      <c r="AB47" s="950"/>
      <c r="AC47" s="295"/>
    </row>
    <row r="48" spans="1:29" s="3" customFormat="1" ht="11.45" customHeight="1" x14ac:dyDescent="0.2">
      <c r="B48" s="80" t="s">
        <v>67</v>
      </c>
      <c r="C48" s="475"/>
      <c r="D48" s="1135"/>
      <c r="E48" s="108"/>
      <c r="F48" s="1139"/>
      <c r="G48" s="476"/>
      <c r="H48" s="1140"/>
      <c r="I48" s="477"/>
      <c r="J48" s="1123"/>
      <c r="K48" s="1831"/>
      <c r="L48" s="1832"/>
      <c r="M48" s="1843"/>
      <c r="N48" s="1777"/>
      <c r="O48" s="1843"/>
      <c r="P48" s="1844"/>
      <c r="Q48" s="1769"/>
      <c r="R48" s="1845"/>
      <c r="S48" s="1769"/>
      <c r="T48" s="1845"/>
      <c r="U48" s="477">
        <v>1</v>
      </c>
      <c r="V48" s="1140">
        <v>88283</v>
      </c>
      <c r="W48" s="477">
        <v>0</v>
      </c>
      <c r="X48" s="1140">
        <v>0</v>
      </c>
      <c r="Y48" s="1769"/>
      <c r="Z48" s="1770"/>
      <c r="AA48" s="1124"/>
      <c r="AB48" s="108"/>
      <c r="AC48" s="949"/>
    </row>
    <row r="49" spans="1:29" s="3" customFormat="1" ht="11.45" customHeight="1" x14ac:dyDescent="0.2">
      <c r="B49" s="80"/>
      <c r="C49" s="916"/>
      <c r="D49" s="1136"/>
      <c r="E49" s="838"/>
      <c r="F49" s="1126"/>
      <c r="G49" s="551"/>
      <c r="H49" s="1127"/>
      <c r="I49" s="255"/>
      <c r="J49" s="1128"/>
      <c r="K49" s="1833"/>
      <c r="L49" s="1834"/>
      <c r="M49" s="1846"/>
      <c r="N49" s="1847"/>
      <c r="O49" s="1846"/>
      <c r="P49" s="1847"/>
      <c r="Q49" s="1771"/>
      <c r="R49" s="1778"/>
      <c r="S49" s="1771"/>
      <c r="T49" s="1778"/>
      <c r="U49" s="255"/>
      <c r="V49" s="1915"/>
      <c r="W49" s="255"/>
      <c r="X49" s="1915"/>
      <c r="Y49" s="1771"/>
      <c r="Z49" s="1772"/>
      <c r="AA49" s="1124"/>
      <c r="AB49" s="1013"/>
      <c r="AC49" s="949"/>
    </row>
    <row r="50" spans="1:29" s="3" customFormat="1" thickBot="1" x14ac:dyDescent="0.25">
      <c r="B50" s="167" t="s">
        <v>16</v>
      </c>
      <c r="C50" s="913"/>
      <c r="D50" s="1137"/>
      <c r="E50" s="839"/>
      <c r="F50" s="322"/>
      <c r="G50" s="552"/>
      <c r="H50" s="442"/>
      <c r="I50" s="550"/>
      <c r="J50" s="456"/>
      <c r="K50" s="1835"/>
      <c r="L50" s="1836"/>
      <c r="M50" s="1835"/>
      <c r="N50" s="1840"/>
      <c r="O50" s="1835"/>
      <c r="P50" s="1840"/>
      <c r="Q50" s="1773"/>
      <c r="R50" s="1848"/>
      <c r="S50" s="1773"/>
      <c r="T50" s="1848"/>
      <c r="U50" s="477">
        <v>0</v>
      </c>
      <c r="V50" s="1152">
        <v>0</v>
      </c>
      <c r="W50" s="477">
        <v>0</v>
      </c>
      <c r="X50" s="1152">
        <v>0</v>
      </c>
      <c r="Y50" s="1773"/>
      <c r="Z50" s="1781"/>
      <c r="AA50" s="1124"/>
      <c r="AB50" s="839"/>
      <c r="AC50" s="949"/>
    </row>
    <row r="51" spans="1:29" s="3" customFormat="1" thickTop="1" x14ac:dyDescent="0.2">
      <c r="B51" s="81" t="s">
        <v>84</v>
      </c>
      <c r="C51" s="199"/>
      <c r="D51" s="209"/>
      <c r="E51" s="45"/>
      <c r="F51" s="323"/>
      <c r="G51" s="269"/>
      <c r="H51" s="419"/>
      <c r="I51" s="156"/>
      <c r="J51" s="307"/>
      <c r="K51" s="269"/>
      <c r="L51" s="307"/>
      <c r="M51" s="269"/>
      <c r="N51" s="419"/>
      <c r="O51" s="156"/>
      <c r="P51" s="419"/>
      <c r="Q51" s="156"/>
      <c r="R51" s="419"/>
      <c r="S51" s="156"/>
      <c r="T51" s="419"/>
      <c r="U51" s="156"/>
      <c r="V51" s="419"/>
      <c r="W51" s="156"/>
      <c r="X51" s="419"/>
      <c r="Y51" s="156"/>
      <c r="Z51" s="158"/>
      <c r="AA51" s="955"/>
      <c r="AB51" s="109"/>
      <c r="AC51" s="1030"/>
    </row>
    <row r="52" spans="1:29" s="3" customFormat="1" ht="12" x14ac:dyDescent="0.2">
      <c r="B52" s="337" t="s">
        <v>35</v>
      </c>
      <c r="C52" s="201"/>
      <c r="D52" s="210"/>
      <c r="E52" s="97"/>
      <c r="F52" s="34"/>
      <c r="G52" s="271"/>
      <c r="H52" s="420"/>
      <c r="I52" s="157"/>
      <c r="J52" s="135"/>
      <c r="K52" s="271"/>
      <c r="L52" s="135"/>
      <c r="M52" s="271"/>
      <c r="N52" s="420"/>
      <c r="O52" s="157"/>
      <c r="P52" s="420"/>
      <c r="Q52" s="157"/>
      <c r="R52" s="420"/>
      <c r="S52" s="157"/>
      <c r="T52" s="420"/>
      <c r="U52" s="157"/>
      <c r="V52" s="420"/>
      <c r="W52" s="157"/>
      <c r="X52" s="420"/>
      <c r="Y52" s="157"/>
      <c r="Z52" s="287"/>
      <c r="AA52" s="955"/>
      <c r="AB52" s="720"/>
      <c r="AC52" s="1011"/>
    </row>
    <row r="53" spans="1:29" s="3" customFormat="1" ht="12" x14ac:dyDescent="0.2">
      <c r="B53" s="338" t="s">
        <v>85</v>
      </c>
      <c r="C53" s="202"/>
      <c r="D53" s="232">
        <v>4067.69</v>
      </c>
      <c r="E53" s="35"/>
      <c r="F53" s="345">
        <v>4340.1899999999996</v>
      </c>
      <c r="G53" s="272"/>
      <c r="H53" s="534">
        <v>5032.1899999999996</v>
      </c>
      <c r="I53" s="254"/>
      <c r="J53" s="542"/>
      <c r="K53" s="559"/>
      <c r="L53" s="555">
        <v>3915.19</v>
      </c>
      <c r="M53" s="559"/>
      <c r="N53" s="546">
        <v>4355.1899999999996</v>
      </c>
      <c r="O53" s="553"/>
      <c r="P53" s="546">
        <v>6336.44</v>
      </c>
      <c r="Q53" s="553"/>
      <c r="R53" s="546">
        <v>7718.65</v>
      </c>
      <c r="S53" s="553"/>
      <c r="T53" s="546">
        <v>4885.8500000000004</v>
      </c>
      <c r="U53" s="553"/>
      <c r="V53" s="546">
        <v>5818.17</v>
      </c>
      <c r="W53" s="553"/>
      <c r="X53" s="546">
        <v>10097.61</v>
      </c>
      <c r="Y53" s="553"/>
      <c r="Z53" s="1577"/>
      <c r="AA53" s="955"/>
      <c r="AB53" s="1013"/>
      <c r="AC53" s="949">
        <f>AVERAGE(X53,V53,R53,T53,P53)</f>
        <v>6971.3440000000001</v>
      </c>
    </row>
    <row r="54" spans="1:29" s="3" customFormat="1" thickBot="1" x14ac:dyDescent="0.25">
      <c r="B54" s="339" t="s">
        <v>86</v>
      </c>
      <c r="C54" s="204"/>
      <c r="D54" s="211">
        <v>0</v>
      </c>
      <c r="E54" s="37"/>
      <c r="F54" s="324">
        <v>0</v>
      </c>
      <c r="G54" s="274"/>
      <c r="H54" s="485">
        <v>0</v>
      </c>
      <c r="I54" s="260"/>
      <c r="J54" s="455"/>
      <c r="K54" s="274"/>
      <c r="L54" s="455">
        <v>0</v>
      </c>
      <c r="M54" s="274"/>
      <c r="N54" s="485">
        <v>0</v>
      </c>
      <c r="O54" s="260"/>
      <c r="P54" s="485">
        <v>0</v>
      </c>
      <c r="Q54" s="260"/>
      <c r="R54" s="485">
        <v>0</v>
      </c>
      <c r="S54" s="260"/>
      <c r="T54" s="485">
        <v>0</v>
      </c>
      <c r="U54" s="260"/>
      <c r="V54" s="485">
        <v>0</v>
      </c>
      <c r="W54" s="260"/>
      <c r="X54" s="485">
        <v>0</v>
      </c>
      <c r="Y54" s="260"/>
      <c r="Z54" s="1578"/>
      <c r="AB54" s="1015"/>
      <c r="AC54" s="1024">
        <f>AVERAGE(X54,V54,R54,T54,P54)</f>
        <v>0</v>
      </c>
    </row>
    <row r="55" spans="1:29" s="3" customFormat="1" thickTop="1" x14ac:dyDescent="0.2">
      <c r="B55" s="364"/>
      <c r="C55" s="97"/>
      <c r="D55" s="98"/>
      <c r="E55" s="97"/>
      <c r="F55" s="365"/>
      <c r="G55" s="157"/>
      <c r="H55" s="366"/>
      <c r="I55" s="157"/>
      <c r="J55" s="366"/>
      <c r="K55" s="157"/>
      <c r="L55" s="366"/>
      <c r="M55" s="157"/>
      <c r="N55" s="366"/>
      <c r="O55" s="157"/>
      <c r="P55" s="366"/>
      <c r="Q55" s="157"/>
      <c r="R55" s="366"/>
      <c r="S55" s="157"/>
      <c r="T55" s="366"/>
      <c r="U55" s="157"/>
      <c r="V55" s="366"/>
      <c r="W55" s="157"/>
      <c r="X55" s="366"/>
      <c r="Y55" s="157"/>
      <c r="Z55" s="366"/>
    </row>
    <row r="56" spans="1:29" x14ac:dyDescent="0.2">
      <c r="A56" s="3"/>
      <c r="B56" s="96"/>
      <c r="C56" s="97"/>
      <c r="D56" s="98"/>
      <c r="E56" s="97"/>
      <c r="F56" s="34"/>
      <c r="G56" s="157"/>
      <c r="H56" s="135"/>
      <c r="I56" s="157"/>
      <c r="J56" s="135"/>
      <c r="K56" s="157"/>
      <c r="L56" s="135"/>
      <c r="M56" s="157"/>
      <c r="N56" s="135"/>
      <c r="O56" s="157"/>
      <c r="P56" s="135"/>
      <c r="Q56" s="157"/>
      <c r="R56" s="135"/>
      <c r="S56" s="157"/>
      <c r="T56" s="135"/>
      <c r="U56" s="157"/>
      <c r="V56" s="135"/>
      <c r="W56" s="157"/>
      <c r="X56" s="135"/>
      <c r="Y56" s="157"/>
      <c r="Z56" s="135"/>
    </row>
    <row r="57" spans="1:29" x14ac:dyDescent="0.2">
      <c r="A57" s="2" t="s">
        <v>76</v>
      </c>
      <c r="B57" s="96"/>
      <c r="C57" s="97"/>
      <c r="D57" s="98"/>
      <c r="E57" s="97"/>
      <c r="F57" s="34"/>
      <c r="G57" s="157"/>
      <c r="H57" s="135"/>
      <c r="I57" s="157"/>
      <c r="J57" s="135"/>
      <c r="K57" s="157"/>
      <c r="L57" s="135"/>
      <c r="M57" s="157"/>
      <c r="N57" s="135"/>
      <c r="O57" s="157"/>
      <c r="P57" s="135"/>
      <c r="Q57" s="157"/>
      <c r="R57" s="135"/>
      <c r="S57" s="157"/>
      <c r="T57" s="135"/>
      <c r="U57" s="157"/>
      <c r="V57" s="135"/>
      <c r="W57" s="157"/>
      <c r="X57" s="135"/>
      <c r="Y57" s="157"/>
      <c r="Z57" s="135"/>
    </row>
    <row r="58" spans="1:29" ht="13.5" thickBot="1" x14ac:dyDescent="0.25">
      <c r="A58" s="3"/>
      <c r="B58" s="96"/>
      <c r="C58" s="97"/>
      <c r="D58" s="98"/>
      <c r="E58" s="97"/>
      <c r="F58" s="34"/>
      <c r="G58" s="157"/>
      <c r="H58" s="135"/>
      <c r="I58" s="157"/>
      <c r="J58" s="135"/>
      <c r="K58" s="157"/>
      <c r="L58" s="135"/>
      <c r="M58" s="157"/>
      <c r="N58" s="135"/>
      <c r="O58" s="157"/>
      <c r="P58" s="135"/>
      <c r="Q58" s="157"/>
      <c r="R58" s="135"/>
      <c r="S58" s="157"/>
      <c r="T58" s="135"/>
      <c r="U58" s="157"/>
      <c r="V58" s="135"/>
      <c r="W58" s="157"/>
      <c r="X58" s="135"/>
      <c r="Y58" s="157"/>
      <c r="Z58" s="135"/>
    </row>
    <row r="59" spans="1:29" s="3" customFormat="1" ht="14.25" customHeight="1" thickTop="1" thickBot="1" x14ac:dyDescent="0.25">
      <c r="B59" s="340"/>
      <c r="C59" s="2013" t="s">
        <v>49</v>
      </c>
      <c r="D59" s="2014"/>
      <c r="E59" s="2015" t="s">
        <v>50</v>
      </c>
      <c r="F59" s="2015"/>
      <c r="G59" s="2002" t="s">
        <v>141</v>
      </c>
      <c r="H59" s="1982"/>
      <c r="I59" s="2070" t="s">
        <v>152</v>
      </c>
      <c r="J59" s="2063"/>
      <c r="K59" s="2070" t="s">
        <v>154</v>
      </c>
      <c r="L59" s="2063"/>
      <c r="M59" s="2070" t="s">
        <v>171</v>
      </c>
      <c r="N59" s="2064"/>
      <c r="O59" s="2063" t="s">
        <v>227</v>
      </c>
      <c r="P59" s="2064"/>
      <c r="Q59" s="2063" t="s">
        <v>237</v>
      </c>
      <c r="R59" s="2064"/>
      <c r="S59" s="2063" t="s">
        <v>272</v>
      </c>
      <c r="T59" s="2064"/>
      <c r="U59" s="1974" t="s">
        <v>274</v>
      </c>
      <c r="V59" s="1982"/>
      <c r="W59" s="1974" t="s">
        <v>280</v>
      </c>
      <c r="X59" s="1982"/>
      <c r="Y59" s="1974" t="s">
        <v>290</v>
      </c>
      <c r="Z59" s="1975"/>
      <c r="AB59" s="2003" t="s">
        <v>213</v>
      </c>
      <c r="AC59" s="2004"/>
    </row>
    <row r="60" spans="1:29" s="3" customFormat="1" ht="12" x14ac:dyDescent="0.2">
      <c r="B60" s="73" t="s">
        <v>53</v>
      </c>
      <c r="C60" s="54"/>
      <c r="D60" s="92"/>
      <c r="E60" s="30"/>
      <c r="F60" s="30"/>
      <c r="G60" s="243"/>
      <c r="H60" s="248"/>
      <c r="I60" s="1741"/>
      <c r="J60" s="1741"/>
      <c r="K60" s="1749"/>
      <c r="L60" s="1741"/>
      <c r="M60" s="1749"/>
      <c r="N60" s="1742"/>
      <c r="O60" s="1741"/>
      <c r="P60" s="1742"/>
      <c r="Q60" s="1741"/>
      <c r="R60" s="1742"/>
      <c r="S60" s="1741"/>
      <c r="T60" s="1742"/>
      <c r="U60" s="138"/>
      <c r="V60" s="244"/>
      <c r="W60" s="138"/>
      <c r="X60" s="244"/>
      <c r="Y60" s="138"/>
      <c r="Z60" s="140"/>
      <c r="AB60" s="831"/>
      <c r="AC60" s="930"/>
    </row>
    <row r="61" spans="1:29" s="3" customFormat="1" ht="12" x14ac:dyDescent="0.2">
      <c r="B61" s="74" t="s">
        <v>54</v>
      </c>
      <c r="C61" s="184"/>
      <c r="D61" s="165"/>
      <c r="E61" s="31"/>
      <c r="F61" s="171"/>
      <c r="G61" s="239"/>
      <c r="H61" s="261"/>
      <c r="I61" s="1743"/>
      <c r="J61" s="1676"/>
      <c r="K61" s="1750"/>
      <c r="L61" s="1676"/>
      <c r="M61" s="1750"/>
      <c r="N61" s="1656"/>
      <c r="O61" s="1743"/>
      <c r="P61" s="1656"/>
      <c r="Q61" s="1743"/>
      <c r="R61" s="1656"/>
      <c r="S61" s="1743"/>
      <c r="T61" s="1656"/>
      <c r="U61" s="139"/>
      <c r="V61" s="261"/>
      <c r="W61" s="139"/>
      <c r="X61" s="261"/>
      <c r="Y61" s="139"/>
      <c r="Z61" s="142"/>
      <c r="AB61" s="24"/>
      <c r="AC61" s="579"/>
    </row>
    <row r="62" spans="1:29" s="3" customFormat="1" ht="12" x14ac:dyDescent="0.2">
      <c r="B62" s="75" t="s">
        <v>55</v>
      </c>
      <c r="C62" s="184"/>
      <c r="D62" s="165"/>
      <c r="E62" s="31"/>
      <c r="F62" s="171"/>
      <c r="G62" s="239"/>
      <c r="H62" s="261"/>
      <c r="I62" s="1743"/>
      <c r="J62" s="1676"/>
      <c r="K62" s="1750"/>
      <c r="L62" s="1676"/>
      <c r="M62" s="1750"/>
      <c r="N62" s="1656"/>
      <c r="O62" s="1743"/>
      <c r="P62" s="1656"/>
      <c r="Q62" s="1743"/>
      <c r="R62" s="1656"/>
      <c r="S62" s="1743"/>
      <c r="T62" s="1656"/>
      <c r="U62" s="139"/>
      <c r="V62" s="261">
        <v>12</v>
      </c>
      <c r="W62" s="139"/>
      <c r="X62" s="261">
        <v>11</v>
      </c>
      <c r="Y62" s="139"/>
      <c r="Z62" s="142">
        <v>11</v>
      </c>
      <c r="AB62" s="12"/>
      <c r="AC62" s="1113"/>
    </row>
    <row r="63" spans="1:29" s="3" customFormat="1" ht="12" x14ac:dyDescent="0.2">
      <c r="B63" s="75" t="s">
        <v>181</v>
      </c>
      <c r="C63" s="184"/>
      <c r="D63" s="165"/>
      <c r="E63" s="31"/>
      <c r="F63" s="171"/>
      <c r="G63" s="239"/>
      <c r="H63" s="261"/>
      <c r="I63" s="1743"/>
      <c r="J63" s="1676"/>
      <c r="K63" s="1750"/>
      <c r="L63" s="1676"/>
      <c r="M63" s="1750"/>
      <c r="N63" s="1656"/>
      <c r="O63" s="1743"/>
      <c r="P63" s="1656"/>
      <c r="Q63" s="1743"/>
      <c r="R63" s="1656"/>
      <c r="S63" s="1743"/>
      <c r="T63" s="1656"/>
      <c r="U63" s="139"/>
      <c r="V63" s="261">
        <v>3</v>
      </c>
      <c r="W63" s="139"/>
      <c r="X63" s="261">
        <v>2</v>
      </c>
      <c r="Y63" s="139"/>
      <c r="Z63" s="142">
        <v>4</v>
      </c>
      <c r="AB63" s="12"/>
      <c r="AC63" s="1113"/>
    </row>
    <row r="64" spans="1:29" s="3" customFormat="1" ht="12" x14ac:dyDescent="0.2">
      <c r="B64" s="74" t="s">
        <v>57</v>
      </c>
      <c r="C64" s="184"/>
      <c r="D64" s="94"/>
      <c r="E64" s="31"/>
      <c r="F64" s="39"/>
      <c r="G64" s="239"/>
      <c r="H64" s="240"/>
      <c r="I64" s="1743"/>
      <c r="J64" s="1762"/>
      <c r="K64" s="1750"/>
      <c r="L64" s="1762"/>
      <c r="M64" s="1750"/>
      <c r="N64" s="1685"/>
      <c r="O64" s="1743"/>
      <c r="P64" s="1685"/>
      <c r="Q64" s="1743"/>
      <c r="R64" s="1685"/>
      <c r="S64" s="1743"/>
      <c r="T64" s="1685"/>
      <c r="U64" s="139"/>
      <c r="V64" s="240"/>
      <c r="W64" s="139"/>
      <c r="X64" s="240"/>
      <c r="Y64" s="139"/>
      <c r="Z64" s="143"/>
      <c r="AB64" s="12"/>
      <c r="AC64" s="1113"/>
    </row>
    <row r="65" spans="2:29" s="3" customFormat="1" ht="12" x14ac:dyDescent="0.2">
      <c r="B65" s="75" t="s">
        <v>55</v>
      </c>
      <c r="C65" s="184"/>
      <c r="D65" s="94"/>
      <c r="E65" s="31"/>
      <c r="F65" s="39"/>
      <c r="G65" s="239"/>
      <c r="H65" s="240"/>
      <c r="I65" s="1743"/>
      <c r="J65" s="1762"/>
      <c r="K65" s="1750"/>
      <c r="L65" s="1762"/>
      <c r="M65" s="1750"/>
      <c r="N65" s="1685"/>
      <c r="O65" s="1743"/>
      <c r="P65" s="1685"/>
      <c r="Q65" s="1743"/>
      <c r="R65" s="1685"/>
      <c r="S65" s="1743"/>
      <c r="T65" s="1685"/>
      <c r="U65" s="139"/>
      <c r="V65" s="240">
        <v>0</v>
      </c>
      <c r="W65" s="139"/>
      <c r="X65" s="240">
        <v>0</v>
      </c>
      <c r="Y65" s="139"/>
      <c r="Z65" s="143">
        <v>0</v>
      </c>
      <c r="AB65" s="12"/>
      <c r="AC65" s="1113"/>
    </row>
    <row r="66" spans="2:29" s="3" customFormat="1" ht="12" x14ac:dyDescent="0.2">
      <c r="B66" s="341" t="s">
        <v>181</v>
      </c>
      <c r="C66" s="184"/>
      <c r="D66" s="94"/>
      <c r="E66" s="31"/>
      <c r="F66" s="39"/>
      <c r="G66" s="239"/>
      <c r="H66" s="240"/>
      <c r="I66" s="1743"/>
      <c r="J66" s="1762"/>
      <c r="K66" s="1750"/>
      <c r="L66" s="1762"/>
      <c r="M66" s="1750"/>
      <c r="N66" s="1685"/>
      <c r="O66" s="1743"/>
      <c r="P66" s="1685"/>
      <c r="Q66" s="1743"/>
      <c r="R66" s="1685"/>
      <c r="S66" s="1743"/>
      <c r="T66" s="1685"/>
      <c r="U66" s="139"/>
      <c r="V66" s="240">
        <v>0</v>
      </c>
      <c r="W66" s="139"/>
      <c r="X66" s="240">
        <v>0</v>
      </c>
      <c r="Y66" s="139"/>
      <c r="Z66" s="143">
        <v>0</v>
      </c>
      <c r="AB66" s="12"/>
      <c r="AC66" s="1113"/>
    </row>
    <row r="67" spans="2:29" s="3" customFormat="1" thickBot="1" x14ac:dyDescent="0.25">
      <c r="B67" s="79" t="s">
        <v>13</v>
      </c>
      <c r="C67" s="233"/>
      <c r="D67" s="234">
        <f>SUM(D62:D66)</f>
        <v>0</v>
      </c>
      <c r="E67" s="107"/>
      <c r="F67" s="106">
        <f>SUM(F62:F66)</f>
        <v>0</v>
      </c>
      <c r="G67" s="297"/>
      <c r="H67" s="427">
        <v>0</v>
      </c>
      <c r="I67" s="1744"/>
      <c r="J67" s="1763">
        <f>SUM(J62:J66)</f>
        <v>0</v>
      </c>
      <c r="K67" s="1751"/>
      <c r="L67" s="1763">
        <f>SUM(L62:L66)</f>
        <v>0</v>
      </c>
      <c r="M67" s="1751"/>
      <c r="N67" s="1686">
        <f>SUM(N62:N66)</f>
        <v>0</v>
      </c>
      <c r="O67" s="1744"/>
      <c r="P67" s="1686">
        <f>SUM(P62:P66)</f>
        <v>0</v>
      </c>
      <c r="Q67" s="1744"/>
      <c r="R67" s="1686">
        <f>SUM(R62:R66)</f>
        <v>0</v>
      </c>
      <c r="S67" s="1744"/>
      <c r="T67" s="1686">
        <f>SUM(T62:T66)</f>
        <v>0</v>
      </c>
      <c r="U67" s="426"/>
      <c r="V67" s="427">
        <f>SUM(V62:V66)</f>
        <v>15</v>
      </c>
      <c r="W67" s="426"/>
      <c r="X67" s="427">
        <f>SUM(X62:X66)</f>
        <v>13</v>
      </c>
      <c r="Y67" s="426"/>
      <c r="Z67" s="374">
        <f>SUM(Z62:Z66)</f>
        <v>15</v>
      </c>
      <c r="AB67" s="831"/>
      <c r="AC67" s="1114"/>
    </row>
    <row r="68" spans="2:29" s="3" customFormat="1" thickTop="1" x14ac:dyDescent="0.2">
      <c r="B68" s="342" t="s">
        <v>135</v>
      </c>
      <c r="C68" s="392"/>
      <c r="D68" s="393"/>
      <c r="E68" s="43" t="s">
        <v>133</v>
      </c>
      <c r="F68" s="41" t="s">
        <v>134</v>
      </c>
      <c r="G68" s="317" t="s">
        <v>133</v>
      </c>
      <c r="H68" s="412" t="s">
        <v>134</v>
      </c>
      <c r="I68" s="1745" t="s">
        <v>133</v>
      </c>
      <c r="J68" s="1764" t="s">
        <v>134</v>
      </c>
      <c r="K68" s="1752" t="s">
        <v>133</v>
      </c>
      <c r="L68" s="1764" t="s">
        <v>134</v>
      </c>
      <c r="M68" s="1752" t="s">
        <v>133</v>
      </c>
      <c r="N68" s="1753" t="s">
        <v>134</v>
      </c>
      <c r="O68" s="1745" t="s">
        <v>133</v>
      </c>
      <c r="P68" s="1746" t="s">
        <v>134</v>
      </c>
      <c r="Q68" s="1745" t="s">
        <v>133</v>
      </c>
      <c r="R68" s="1746" t="s">
        <v>134</v>
      </c>
      <c r="S68" s="1745" t="s">
        <v>133</v>
      </c>
      <c r="T68" s="1746" t="s">
        <v>134</v>
      </c>
      <c r="U68" s="411" t="s">
        <v>133</v>
      </c>
      <c r="V68" s="412" t="s">
        <v>134</v>
      </c>
      <c r="W68" s="411" t="s">
        <v>133</v>
      </c>
      <c r="X68" s="412" t="s">
        <v>134</v>
      </c>
      <c r="Y68" s="411" t="s">
        <v>133</v>
      </c>
      <c r="Z68" s="289" t="s">
        <v>134</v>
      </c>
      <c r="AB68" s="952" t="s">
        <v>133</v>
      </c>
      <c r="AC68" s="862" t="s">
        <v>134</v>
      </c>
    </row>
    <row r="69" spans="2:29" s="3" customFormat="1" ht="12" x14ac:dyDescent="0.2">
      <c r="B69" s="75" t="s">
        <v>87</v>
      </c>
      <c r="C69" s="319"/>
      <c r="D69" s="216" t="e">
        <f>C69/D$67</f>
        <v>#DIV/0!</v>
      </c>
      <c r="E69" s="173"/>
      <c r="F69" s="221" t="e">
        <f t="shared" ref="F69:H76" si="5">E69/F$67</f>
        <v>#DIV/0!</v>
      </c>
      <c r="G69" s="215"/>
      <c r="H69" s="216" t="e">
        <f t="shared" si="5"/>
        <v>#DIV/0!</v>
      </c>
      <c r="I69" s="1662"/>
      <c r="J69" s="1765"/>
      <c r="K69" s="1754"/>
      <c r="L69" s="1765"/>
      <c r="M69" s="1754"/>
      <c r="N69" s="1687"/>
      <c r="O69" s="1662"/>
      <c r="P69" s="1687"/>
      <c r="Q69" s="1662"/>
      <c r="R69" s="1687"/>
      <c r="S69" s="1662"/>
      <c r="T69" s="1687"/>
      <c r="U69" s="173">
        <v>12</v>
      </c>
      <c r="V69" s="216">
        <f t="shared" ref="V69:V76" si="6">U69/V$67</f>
        <v>0.8</v>
      </c>
      <c r="W69" s="173">
        <v>10</v>
      </c>
      <c r="X69" s="216">
        <f t="shared" ref="X69:Z76" si="7">W69/X$67</f>
        <v>0.76923076923076927</v>
      </c>
      <c r="Y69" s="173">
        <v>13</v>
      </c>
      <c r="Z69" s="1494">
        <f t="shared" si="7"/>
        <v>0.8666666666666667</v>
      </c>
      <c r="AA69" s="955"/>
      <c r="AB69" s="1016"/>
      <c r="AC69" s="863"/>
    </row>
    <row r="70" spans="2:29" s="3" customFormat="1" ht="12" x14ac:dyDescent="0.2">
      <c r="B70" s="85" t="s">
        <v>88</v>
      </c>
      <c r="C70" s="319"/>
      <c r="D70" s="216" t="e">
        <f t="shared" ref="D70:D88" si="8">C70/$D$67</f>
        <v>#DIV/0!</v>
      </c>
      <c r="E70" s="173"/>
      <c r="F70" s="221" t="e">
        <f t="shared" si="5"/>
        <v>#DIV/0!</v>
      </c>
      <c r="G70" s="215"/>
      <c r="H70" s="216" t="e">
        <f t="shared" si="5"/>
        <v>#DIV/0!</v>
      </c>
      <c r="I70" s="1662"/>
      <c r="J70" s="1765"/>
      <c r="K70" s="1754"/>
      <c r="L70" s="1765"/>
      <c r="M70" s="1754"/>
      <c r="N70" s="1687"/>
      <c r="O70" s="1662"/>
      <c r="P70" s="1687"/>
      <c r="Q70" s="1662"/>
      <c r="R70" s="1687"/>
      <c r="S70" s="1662"/>
      <c r="T70" s="1687"/>
      <c r="U70" s="173">
        <v>0</v>
      </c>
      <c r="V70" s="216">
        <f t="shared" si="6"/>
        <v>0</v>
      </c>
      <c r="W70" s="173">
        <v>0</v>
      </c>
      <c r="X70" s="216">
        <f t="shared" si="7"/>
        <v>0</v>
      </c>
      <c r="Y70" s="173">
        <v>0</v>
      </c>
      <c r="Z70" s="1494">
        <f t="shared" si="7"/>
        <v>0</v>
      </c>
      <c r="AA70" s="955"/>
      <c r="AB70" s="1016"/>
      <c r="AC70" s="863"/>
    </row>
    <row r="71" spans="2:29" s="3" customFormat="1" ht="12" x14ac:dyDescent="0.2">
      <c r="B71" s="85" t="s">
        <v>89</v>
      </c>
      <c r="C71" s="319"/>
      <c r="D71" s="216" t="e">
        <f t="shared" si="8"/>
        <v>#DIV/0!</v>
      </c>
      <c r="E71" s="173"/>
      <c r="F71" s="221" t="e">
        <f t="shared" si="5"/>
        <v>#DIV/0!</v>
      </c>
      <c r="G71" s="215"/>
      <c r="H71" s="216" t="e">
        <f t="shared" si="5"/>
        <v>#DIV/0!</v>
      </c>
      <c r="I71" s="1662"/>
      <c r="J71" s="1765"/>
      <c r="K71" s="1754"/>
      <c r="L71" s="1765"/>
      <c r="M71" s="1754"/>
      <c r="N71" s="1687"/>
      <c r="O71" s="1662"/>
      <c r="P71" s="1687"/>
      <c r="Q71" s="1662"/>
      <c r="R71" s="1687"/>
      <c r="S71" s="1662"/>
      <c r="T71" s="1687"/>
      <c r="U71" s="173">
        <v>1</v>
      </c>
      <c r="V71" s="216">
        <f t="shared" si="6"/>
        <v>6.6666666666666666E-2</v>
      </c>
      <c r="W71" s="173">
        <v>1</v>
      </c>
      <c r="X71" s="216">
        <f t="shared" si="7"/>
        <v>7.6923076923076927E-2</v>
      </c>
      <c r="Y71" s="173">
        <v>1</v>
      </c>
      <c r="Z71" s="1494">
        <f t="shared" si="7"/>
        <v>6.6666666666666666E-2</v>
      </c>
      <c r="AA71" s="955"/>
      <c r="AB71" s="1016"/>
      <c r="AC71" s="863"/>
    </row>
    <row r="72" spans="2:29" s="3" customFormat="1" ht="12" x14ac:dyDescent="0.2">
      <c r="B72" s="85" t="s">
        <v>90</v>
      </c>
      <c r="C72" s="319"/>
      <c r="D72" s="216" t="e">
        <f t="shared" si="8"/>
        <v>#DIV/0!</v>
      </c>
      <c r="E72" s="173"/>
      <c r="F72" s="221" t="e">
        <f t="shared" si="5"/>
        <v>#DIV/0!</v>
      </c>
      <c r="G72" s="215"/>
      <c r="H72" s="216" t="e">
        <f t="shared" si="5"/>
        <v>#DIV/0!</v>
      </c>
      <c r="I72" s="1662"/>
      <c r="J72" s="1765"/>
      <c r="K72" s="1754"/>
      <c r="L72" s="1765"/>
      <c r="M72" s="1754"/>
      <c r="N72" s="1687"/>
      <c r="O72" s="1662"/>
      <c r="P72" s="1687"/>
      <c r="Q72" s="1662"/>
      <c r="R72" s="1687"/>
      <c r="S72" s="1662"/>
      <c r="T72" s="1687"/>
      <c r="U72" s="173">
        <v>0</v>
      </c>
      <c r="V72" s="216">
        <f t="shared" si="6"/>
        <v>0</v>
      </c>
      <c r="W72" s="173">
        <v>0</v>
      </c>
      <c r="X72" s="216">
        <f t="shared" si="7"/>
        <v>0</v>
      </c>
      <c r="Y72" s="173">
        <v>0</v>
      </c>
      <c r="Z72" s="1494">
        <f t="shared" si="7"/>
        <v>0</v>
      </c>
      <c r="AA72" s="955"/>
      <c r="AB72" s="1016"/>
      <c r="AC72" s="863"/>
    </row>
    <row r="73" spans="2:29" s="3" customFormat="1" ht="12" x14ac:dyDescent="0.2">
      <c r="B73" s="85" t="s">
        <v>91</v>
      </c>
      <c r="C73" s="319"/>
      <c r="D73" s="216" t="e">
        <f t="shared" si="8"/>
        <v>#DIV/0!</v>
      </c>
      <c r="E73" s="173"/>
      <c r="F73" s="221" t="e">
        <f t="shared" si="5"/>
        <v>#DIV/0!</v>
      </c>
      <c r="G73" s="215"/>
      <c r="H73" s="216" t="e">
        <f t="shared" si="5"/>
        <v>#DIV/0!</v>
      </c>
      <c r="I73" s="1662"/>
      <c r="J73" s="1765"/>
      <c r="K73" s="1754"/>
      <c r="L73" s="1765"/>
      <c r="M73" s="1754"/>
      <c r="N73" s="1687"/>
      <c r="O73" s="1662"/>
      <c r="P73" s="1687"/>
      <c r="Q73" s="1662"/>
      <c r="R73" s="1687"/>
      <c r="S73" s="1662"/>
      <c r="T73" s="1687"/>
      <c r="U73" s="173">
        <v>2</v>
      </c>
      <c r="V73" s="216">
        <f t="shared" si="6"/>
        <v>0.13333333333333333</v>
      </c>
      <c r="W73" s="173">
        <v>2</v>
      </c>
      <c r="X73" s="216">
        <f t="shared" si="7"/>
        <v>0.15384615384615385</v>
      </c>
      <c r="Y73" s="173">
        <v>1</v>
      </c>
      <c r="Z73" s="1494">
        <f t="shared" si="7"/>
        <v>6.6666666666666666E-2</v>
      </c>
      <c r="AA73" s="955"/>
      <c r="AB73" s="1016"/>
      <c r="AC73" s="863"/>
    </row>
    <row r="74" spans="2:29" s="3" customFormat="1" ht="12" x14ac:dyDescent="0.2">
      <c r="B74" s="85" t="s">
        <v>92</v>
      </c>
      <c r="C74" s="319"/>
      <c r="D74" s="216" t="e">
        <f t="shared" si="8"/>
        <v>#DIV/0!</v>
      </c>
      <c r="E74" s="173"/>
      <c r="F74" s="221" t="e">
        <f t="shared" si="5"/>
        <v>#DIV/0!</v>
      </c>
      <c r="G74" s="215"/>
      <c r="H74" s="216" t="e">
        <f t="shared" si="5"/>
        <v>#DIV/0!</v>
      </c>
      <c r="I74" s="1662"/>
      <c r="J74" s="1765"/>
      <c r="K74" s="1754"/>
      <c r="L74" s="1765"/>
      <c r="M74" s="1754"/>
      <c r="N74" s="1687"/>
      <c r="O74" s="1662"/>
      <c r="P74" s="1687"/>
      <c r="Q74" s="1662"/>
      <c r="R74" s="1687"/>
      <c r="S74" s="1662"/>
      <c r="T74" s="1687"/>
      <c r="U74" s="173">
        <v>0</v>
      </c>
      <c r="V74" s="216">
        <f t="shared" si="6"/>
        <v>0</v>
      </c>
      <c r="W74" s="173">
        <v>0</v>
      </c>
      <c r="X74" s="216">
        <f t="shared" si="7"/>
        <v>0</v>
      </c>
      <c r="Y74" s="173">
        <v>0</v>
      </c>
      <c r="Z74" s="1494">
        <f t="shared" si="7"/>
        <v>0</v>
      </c>
      <c r="AA74" s="955"/>
      <c r="AB74" s="1016"/>
      <c r="AC74" s="863"/>
    </row>
    <row r="75" spans="2:29" s="3" customFormat="1" ht="12" x14ac:dyDescent="0.2">
      <c r="B75" s="85" t="s">
        <v>256</v>
      </c>
      <c r="C75" s="346"/>
      <c r="D75" s="216"/>
      <c r="E75" s="174"/>
      <c r="F75" s="221"/>
      <c r="G75" s="1501"/>
      <c r="H75" s="1502"/>
      <c r="I75" s="1663"/>
      <c r="J75" s="1765"/>
      <c r="K75" s="1755"/>
      <c r="L75" s="1765"/>
      <c r="M75" s="1755"/>
      <c r="N75" s="1687"/>
      <c r="O75" s="1663"/>
      <c r="P75" s="1687"/>
      <c r="Q75" s="1663"/>
      <c r="R75" s="1687"/>
      <c r="S75" s="1663"/>
      <c r="T75" s="1687"/>
      <c r="U75" s="174">
        <v>0</v>
      </c>
      <c r="V75" s="216">
        <f t="shared" si="6"/>
        <v>0</v>
      </c>
      <c r="W75" s="174">
        <v>0</v>
      </c>
      <c r="X75" s="216">
        <f t="shared" si="7"/>
        <v>0</v>
      </c>
      <c r="Y75" s="174">
        <v>0</v>
      </c>
      <c r="Z75" s="1494">
        <f t="shared" si="7"/>
        <v>0</v>
      </c>
      <c r="AA75" s="955"/>
      <c r="AB75" s="1016"/>
      <c r="AC75" s="863"/>
    </row>
    <row r="76" spans="2:29" s="3" customFormat="1" ht="12" x14ac:dyDescent="0.2">
      <c r="B76" s="85" t="s">
        <v>93</v>
      </c>
      <c r="C76" s="346"/>
      <c r="D76" s="216" t="e">
        <f t="shared" si="8"/>
        <v>#DIV/0!</v>
      </c>
      <c r="E76" s="174"/>
      <c r="F76" s="221" t="e">
        <f t="shared" si="5"/>
        <v>#DIV/0!</v>
      </c>
      <c r="G76" s="217"/>
      <c r="H76" s="216" t="e">
        <f t="shared" si="5"/>
        <v>#DIV/0!</v>
      </c>
      <c r="I76" s="1663"/>
      <c r="J76" s="1765"/>
      <c r="K76" s="1755"/>
      <c r="L76" s="1765"/>
      <c r="M76" s="1755"/>
      <c r="N76" s="1687"/>
      <c r="O76" s="1663"/>
      <c r="P76" s="1687"/>
      <c r="Q76" s="1663"/>
      <c r="R76" s="1687"/>
      <c r="S76" s="1663"/>
      <c r="T76" s="1687"/>
      <c r="U76" s="174">
        <v>0</v>
      </c>
      <c r="V76" s="216">
        <f t="shared" si="6"/>
        <v>0</v>
      </c>
      <c r="W76" s="174">
        <v>0</v>
      </c>
      <c r="X76" s="216">
        <f t="shared" si="7"/>
        <v>0</v>
      </c>
      <c r="Y76" s="174">
        <v>0</v>
      </c>
      <c r="Z76" s="1494">
        <f t="shared" si="7"/>
        <v>0</v>
      </c>
      <c r="AA76" s="955"/>
      <c r="AB76" s="1016"/>
      <c r="AC76" s="863"/>
    </row>
    <row r="77" spans="2:29" s="3" customFormat="1" ht="12" x14ac:dyDescent="0.2">
      <c r="B77" s="343" t="s">
        <v>136</v>
      </c>
      <c r="C77" s="218"/>
      <c r="D77" s="216"/>
      <c r="E77" s="226"/>
      <c r="F77" s="310"/>
      <c r="G77" s="326"/>
      <c r="H77" s="394"/>
      <c r="I77" s="1675"/>
      <c r="J77" s="1766"/>
      <c r="K77" s="1756"/>
      <c r="L77" s="1766"/>
      <c r="M77" s="1756"/>
      <c r="N77" s="1688"/>
      <c r="O77" s="1675"/>
      <c r="P77" s="1688"/>
      <c r="Q77" s="1675"/>
      <c r="R77" s="1688"/>
      <c r="S77" s="1675"/>
      <c r="T77" s="1688"/>
      <c r="U77" s="226"/>
      <c r="V77" s="394"/>
      <c r="W77" s="226"/>
      <c r="X77" s="394"/>
      <c r="Y77" s="226"/>
      <c r="Z77" s="1500"/>
      <c r="AA77" s="955"/>
      <c r="AB77" s="1016"/>
      <c r="AC77" s="863"/>
    </row>
    <row r="78" spans="2:29" s="3" customFormat="1" ht="12" x14ac:dyDescent="0.2">
      <c r="B78" s="75" t="s">
        <v>124</v>
      </c>
      <c r="C78" s="230"/>
      <c r="D78" s="216" t="e">
        <f t="shared" si="8"/>
        <v>#DIV/0!</v>
      </c>
      <c r="E78" s="171"/>
      <c r="F78" s="311" t="e">
        <f>E78/F$67</f>
        <v>#DIV/0!</v>
      </c>
      <c r="G78" s="229"/>
      <c r="H78" s="395" t="e">
        <f>G78/H$67</f>
        <v>#DIV/0!</v>
      </c>
      <c r="I78" s="1676"/>
      <c r="J78" s="1765"/>
      <c r="K78" s="1757"/>
      <c r="L78" s="1765"/>
      <c r="M78" s="1757"/>
      <c r="N78" s="1687"/>
      <c r="O78" s="1676"/>
      <c r="P78" s="1687"/>
      <c r="Q78" s="1676"/>
      <c r="R78" s="1687"/>
      <c r="S78" s="1676"/>
      <c r="T78" s="1687"/>
      <c r="U78" s="183">
        <v>9</v>
      </c>
      <c r="V78" s="216">
        <f>U78/V$67</f>
        <v>0.6</v>
      </c>
      <c r="W78" s="183">
        <f>1+7</f>
        <v>8</v>
      </c>
      <c r="X78" s="216">
        <f>W78/X$67</f>
        <v>0.61538461538461542</v>
      </c>
      <c r="Y78" s="183">
        <v>10</v>
      </c>
      <c r="Z78" s="1494">
        <f>Y78/Z$67</f>
        <v>0.66666666666666663</v>
      </c>
      <c r="AA78" s="955"/>
      <c r="AB78" s="1016"/>
      <c r="AC78" s="863"/>
    </row>
    <row r="79" spans="2:29" s="3" customFormat="1" ht="12" x14ac:dyDescent="0.2">
      <c r="B79" s="75" t="s">
        <v>125</v>
      </c>
      <c r="C79" s="230"/>
      <c r="D79" s="216" t="e">
        <f t="shared" si="8"/>
        <v>#DIV/0!</v>
      </c>
      <c r="E79" s="223"/>
      <c r="F79" s="311" t="e">
        <f>E79/F$67</f>
        <v>#DIV/0!</v>
      </c>
      <c r="G79" s="230"/>
      <c r="H79" s="395" t="e">
        <f>G79/H$67</f>
        <v>#DIV/0!</v>
      </c>
      <c r="I79" s="1677"/>
      <c r="J79" s="1765"/>
      <c r="K79" s="1758"/>
      <c r="L79" s="1765"/>
      <c r="M79" s="1758"/>
      <c r="N79" s="1687"/>
      <c r="O79" s="1677"/>
      <c r="P79" s="1687"/>
      <c r="Q79" s="1677"/>
      <c r="R79" s="1687"/>
      <c r="S79" s="1677"/>
      <c r="T79" s="1687"/>
      <c r="U79" s="283">
        <v>6</v>
      </c>
      <c r="V79" s="216">
        <f>U79/V$67</f>
        <v>0.4</v>
      </c>
      <c r="W79" s="283">
        <f>1+4</f>
        <v>5</v>
      </c>
      <c r="X79" s="216">
        <f>W79/X$67</f>
        <v>0.38461538461538464</v>
      </c>
      <c r="Y79" s="283">
        <v>5</v>
      </c>
      <c r="Z79" s="1494">
        <f>Y79/Z$67</f>
        <v>0.33333333333333331</v>
      </c>
      <c r="AA79" s="955"/>
      <c r="AB79" s="1016"/>
      <c r="AC79" s="863"/>
    </row>
    <row r="80" spans="2:29" s="3" customFormat="1" ht="12" x14ac:dyDescent="0.2">
      <c r="B80" s="343" t="s">
        <v>137</v>
      </c>
      <c r="C80" s="219"/>
      <c r="D80" s="216"/>
      <c r="E80" s="227"/>
      <c r="F80" s="311"/>
      <c r="G80" s="315"/>
      <c r="H80" s="395"/>
      <c r="I80" s="1678"/>
      <c r="J80" s="1765"/>
      <c r="K80" s="1759"/>
      <c r="L80" s="1765"/>
      <c r="M80" s="1759"/>
      <c r="N80" s="1687"/>
      <c r="O80" s="1678"/>
      <c r="P80" s="1687"/>
      <c r="Q80" s="1678"/>
      <c r="R80" s="1687"/>
      <c r="S80" s="1678"/>
      <c r="T80" s="1687"/>
      <c r="U80" s="285"/>
      <c r="V80" s="216"/>
      <c r="W80" s="285"/>
      <c r="X80" s="216"/>
      <c r="Y80" s="285"/>
      <c r="Z80" s="1494"/>
      <c r="AA80" s="955"/>
      <c r="AB80" s="1016"/>
      <c r="AC80" s="863"/>
    </row>
    <row r="81" spans="1:31" s="3" customFormat="1" ht="12" x14ac:dyDescent="0.2">
      <c r="B81" s="75" t="s">
        <v>126</v>
      </c>
      <c r="C81" s="224"/>
      <c r="D81" s="216" t="e">
        <f t="shared" si="8"/>
        <v>#DIV/0!</v>
      </c>
      <c r="E81" s="223"/>
      <c r="F81" s="311" t="e">
        <f>E81/F$67</f>
        <v>#DIV/0!</v>
      </c>
      <c r="G81" s="230"/>
      <c r="H81" s="395" t="e">
        <f>G81/H$67</f>
        <v>#DIV/0!</v>
      </c>
      <c r="I81" s="1677"/>
      <c r="J81" s="1765"/>
      <c r="K81" s="1758"/>
      <c r="L81" s="1765"/>
      <c r="M81" s="1758"/>
      <c r="N81" s="1687"/>
      <c r="O81" s="1677"/>
      <c r="P81" s="1687"/>
      <c r="Q81" s="1677"/>
      <c r="R81" s="1687"/>
      <c r="S81" s="1677"/>
      <c r="T81" s="1687"/>
      <c r="U81" s="283">
        <v>5</v>
      </c>
      <c r="V81" s="216">
        <f>U81/V$67</f>
        <v>0.33333333333333331</v>
      </c>
      <c r="W81" s="283">
        <f>1+3</f>
        <v>4</v>
      </c>
      <c r="X81" s="216">
        <f>W81/X$67</f>
        <v>0.30769230769230771</v>
      </c>
      <c r="Y81" s="283">
        <v>3</v>
      </c>
      <c r="Z81" s="1494">
        <f>Y81/Z$67</f>
        <v>0.2</v>
      </c>
      <c r="AA81" s="955"/>
      <c r="AB81" s="1016"/>
      <c r="AC81" s="863"/>
    </row>
    <row r="82" spans="1:31" s="3" customFormat="1" ht="12" x14ac:dyDescent="0.2">
      <c r="B82" s="75" t="s">
        <v>127</v>
      </c>
      <c r="C82" s="224"/>
      <c r="D82" s="216" t="e">
        <f t="shared" si="8"/>
        <v>#DIV/0!</v>
      </c>
      <c r="E82" s="223"/>
      <c r="F82" s="311" t="e">
        <f>E82/F$67</f>
        <v>#DIV/0!</v>
      </c>
      <c r="G82" s="230"/>
      <c r="H82" s="395" t="e">
        <f>G82/H$67</f>
        <v>#DIV/0!</v>
      </c>
      <c r="I82" s="1677"/>
      <c r="J82" s="1765"/>
      <c r="K82" s="1758"/>
      <c r="L82" s="1765"/>
      <c r="M82" s="1758"/>
      <c r="N82" s="1687"/>
      <c r="O82" s="1677"/>
      <c r="P82" s="1687"/>
      <c r="Q82" s="1677"/>
      <c r="R82" s="1687"/>
      <c r="S82" s="1677"/>
      <c r="T82" s="1687"/>
      <c r="U82" s="283">
        <v>2</v>
      </c>
      <c r="V82" s="216">
        <f>U82/V$67</f>
        <v>0.13333333333333333</v>
      </c>
      <c r="W82" s="283">
        <v>3</v>
      </c>
      <c r="X82" s="216">
        <f>W82/X$67</f>
        <v>0.23076923076923078</v>
      </c>
      <c r="Y82" s="283">
        <v>4</v>
      </c>
      <c r="Z82" s="1494">
        <f>Y82/Z$67</f>
        <v>0.26666666666666666</v>
      </c>
      <c r="AA82" s="955"/>
      <c r="AB82" s="1016"/>
      <c r="AC82" s="863"/>
    </row>
    <row r="83" spans="1:31" s="3" customFormat="1" ht="12" x14ac:dyDescent="0.2">
      <c r="B83" s="75" t="s">
        <v>128</v>
      </c>
      <c r="C83" s="224"/>
      <c r="D83" s="216" t="e">
        <f t="shared" si="8"/>
        <v>#DIV/0!</v>
      </c>
      <c r="E83" s="223"/>
      <c r="F83" s="311" t="e">
        <f>E83/F$67</f>
        <v>#DIV/0!</v>
      </c>
      <c r="G83" s="230"/>
      <c r="H83" s="395" t="e">
        <f>G83/H$67</f>
        <v>#DIV/0!</v>
      </c>
      <c r="I83" s="1677"/>
      <c r="J83" s="1765"/>
      <c r="K83" s="1758"/>
      <c r="L83" s="1765"/>
      <c r="M83" s="1758"/>
      <c r="N83" s="1687"/>
      <c r="O83" s="1677"/>
      <c r="P83" s="1687"/>
      <c r="Q83" s="1677"/>
      <c r="R83" s="1687"/>
      <c r="S83" s="1677"/>
      <c r="T83" s="1687"/>
      <c r="U83" s="283">
        <v>8</v>
      </c>
      <c r="V83" s="216">
        <f>U83/V$67</f>
        <v>0.53333333333333333</v>
      </c>
      <c r="W83" s="283">
        <f>1+5</f>
        <v>6</v>
      </c>
      <c r="X83" s="216">
        <f>W83/X$67</f>
        <v>0.46153846153846156</v>
      </c>
      <c r="Y83" s="283">
        <v>8</v>
      </c>
      <c r="Z83" s="1494">
        <f>Y83/Z$67</f>
        <v>0.53333333333333333</v>
      </c>
      <c r="AA83" s="955"/>
      <c r="AB83" s="1016"/>
      <c r="AC83" s="863"/>
    </row>
    <row r="84" spans="1:31" s="3" customFormat="1" ht="12" x14ac:dyDescent="0.2">
      <c r="B84" s="343" t="s">
        <v>138</v>
      </c>
      <c r="C84" s="219"/>
      <c r="D84" s="216"/>
      <c r="E84" s="227"/>
      <c r="F84" s="311"/>
      <c r="G84" s="315"/>
      <c r="H84" s="395"/>
      <c r="I84" s="1678"/>
      <c r="J84" s="1765"/>
      <c r="K84" s="1759"/>
      <c r="L84" s="1765"/>
      <c r="M84" s="1759"/>
      <c r="N84" s="1687"/>
      <c r="O84" s="1678"/>
      <c r="P84" s="1687"/>
      <c r="Q84" s="1678"/>
      <c r="R84" s="1687"/>
      <c r="S84" s="1678"/>
      <c r="T84" s="1687"/>
      <c r="U84" s="285"/>
      <c r="V84" s="216"/>
      <c r="W84" s="285"/>
      <c r="X84" s="216"/>
      <c r="Y84" s="285"/>
      <c r="Z84" s="1494"/>
      <c r="AB84" s="1016"/>
      <c r="AC84" s="863"/>
    </row>
    <row r="85" spans="1:31" s="3" customFormat="1" ht="12" x14ac:dyDescent="0.2">
      <c r="B85" s="75" t="s">
        <v>129</v>
      </c>
      <c r="C85" s="224"/>
      <c r="D85" s="216" t="e">
        <f t="shared" si="8"/>
        <v>#DIV/0!</v>
      </c>
      <c r="E85" s="223"/>
      <c r="F85" s="311" t="e">
        <f>E85/F$67</f>
        <v>#DIV/0!</v>
      </c>
      <c r="G85" s="230"/>
      <c r="H85" s="395" t="e">
        <f>G85/H$67</f>
        <v>#DIV/0!</v>
      </c>
      <c r="I85" s="1677"/>
      <c r="J85" s="1765"/>
      <c r="K85" s="1758"/>
      <c r="L85" s="1765"/>
      <c r="M85" s="1758"/>
      <c r="N85" s="1687"/>
      <c r="O85" s="1677"/>
      <c r="P85" s="1687"/>
      <c r="Q85" s="1677"/>
      <c r="R85" s="1687"/>
      <c r="S85" s="1677"/>
      <c r="T85" s="1687"/>
      <c r="U85" s="283">
        <v>7</v>
      </c>
      <c r="V85" s="216">
        <f>U85/V$67</f>
        <v>0.46666666666666667</v>
      </c>
      <c r="W85" s="283">
        <f>1+7</f>
        <v>8</v>
      </c>
      <c r="X85" s="216">
        <f>W85/X$67</f>
        <v>0.61538461538461542</v>
      </c>
      <c r="Y85" s="283">
        <v>7</v>
      </c>
      <c r="Z85" s="1494">
        <f>Y85/Z$67</f>
        <v>0.46666666666666667</v>
      </c>
      <c r="AB85" s="1016"/>
      <c r="AC85" s="863"/>
    </row>
    <row r="86" spans="1:31" s="3" customFormat="1" ht="12" x14ac:dyDescent="0.2">
      <c r="B86" s="75" t="s">
        <v>130</v>
      </c>
      <c r="C86" s="224"/>
      <c r="D86" s="216" t="e">
        <f t="shared" si="8"/>
        <v>#DIV/0!</v>
      </c>
      <c r="E86" s="223"/>
      <c r="F86" s="311" t="e">
        <f>E86/F$67</f>
        <v>#DIV/0!</v>
      </c>
      <c r="G86" s="230"/>
      <c r="H86" s="395" t="e">
        <f>G86/H$67</f>
        <v>#DIV/0!</v>
      </c>
      <c r="I86" s="1677"/>
      <c r="J86" s="1765"/>
      <c r="K86" s="1758"/>
      <c r="L86" s="1765"/>
      <c r="M86" s="1758"/>
      <c r="N86" s="1687"/>
      <c r="O86" s="1677"/>
      <c r="P86" s="1687"/>
      <c r="Q86" s="1677"/>
      <c r="R86" s="1687"/>
      <c r="S86" s="1677"/>
      <c r="T86" s="1687"/>
      <c r="U86" s="283">
        <v>7</v>
      </c>
      <c r="V86" s="216">
        <f>U86/V$67</f>
        <v>0.46666666666666667</v>
      </c>
      <c r="W86" s="283">
        <f>1+4</f>
        <v>5</v>
      </c>
      <c r="X86" s="216">
        <f>W86/X$67</f>
        <v>0.38461538461538464</v>
      </c>
      <c r="Y86" s="283">
        <v>8</v>
      </c>
      <c r="Z86" s="1494">
        <f>Y86/Z$67</f>
        <v>0.53333333333333333</v>
      </c>
      <c r="AB86" s="1016"/>
      <c r="AC86" s="863"/>
    </row>
    <row r="87" spans="1:31" s="3" customFormat="1" ht="12" x14ac:dyDescent="0.2">
      <c r="B87" s="75" t="s">
        <v>131</v>
      </c>
      <c r="C87" s="224"/>
      <c r="D87" s="216" t="e">
        <f t="shared" si="8"/>
        <v>#DIV/0!</v>
      </c>
      <c r="E87" s="223"/>
      <c r="F87" s="311" t="e">
        <f>E87/F$67</f>
        <v>#DIV/0!</v>
      </c>
      <c r="G87" s="230"/>
      <c r="H87" s="395" t="e">
        <f>G87/H$67</f>
        <v>#DIV/0!</v>
      </c>
      <c r="I87" s="1677"/>
      <c r="J87" s="1765"/>
      <c r="K87" s="1758"/>
      <c r="L87" s="1765"/>
      <c r="M87" s="1758"/>
      <c r="N87" s="1687"/>
      <c r="O87" s="1677"/>
      <c r="P87" s="1687"/>
      <c r="Q87" s="1677"/>
      <c r="R87" s="1687"/>
      <c r="S87" s="1677"/>
      <c r="T87" s="1687"/>
      <c r="U87" s="283">
        <v>1</v>
      </c>
      <c r="V87" s="216">
        <f>U87/V$67</f>
        <v>6.6666666666666666E-2</v>
      </c>
      <c r="W87" s="283">
        <v>0</v>
      </c>
      <c r="X87" s="216">
        <f>W87/X$67</f>
        <v>0</v>
      </c>
      <c r="Y87" s="283">
        <v>0</v>
      </c>
      <c r="Z87" s="1494">
        <f>Y87/Z$67</f>
        <v>0</v>
      </c>
      <c r="AB87" s="1016"/>
      <c r="AC87" s="863"/>
    </row>
    <row r="88" spans="1:31" s="3" customFormat="1" thickBot="1" x14ac:dyDescent="0.25">
      <c r="B88" s="344" t="s">
        <v>132</v>
      </c>
      <c r="C88" s="61"/>
      <c r="D88" s="220" t="e">
        <f t="shared" si="8"/>
        <v>#DIV/0!</v>
      </c>
      <c r="E88" s="228"/>
      <c r="F88" s="312" t="e">
        <f>E88/F$67</f>
        <v>#DIV/0!</v>
      </c>
      <c r="G88" s="375"/>
      <c r="H88" s="397" t="e">
        <f>G88/H$67</f>
        <v>#DIV/0!</v>
      </c>
      <c r="I88" s="1679"/>
      <c r="J88" s="1767"/>
      <c r="K88" s="1760"/>
      <c r="L88" s="1767"/>
      <c r="M88" s="1760"/>
      <c r="N88" s="1689"/>
      <c r="O88" s="1679"/>
      <c r="P88" s="1689"/>
      <c r="Q88" s="1679"/>
      <c r="R88" s="1689"/>
      <c r="S88" s="1679"/>
      <c r="T88" s="1689"/>
      <c r="U88" s="284">
        <v>0</v>
      </c>
      <c r="V88" s="220">
        <f>U88/V$67</f>
        <v>0</v>
      </c>
      <c r="W88" s="284">
        <v>0</v>
      </c>
      <c r="X88" s="220">
        <f>W88/X$67</f>
        <v>0</v>
      </c>
      <c r="Y88" s="284">
        <v>0</v>
      </c>
      <c r="Z88" s="1495">
        <f>Y88/Z$67</f>
        <v>0</v>
      </c>
      <c r="AB88" s="1016"/>
      <c r="AC88" s="863"/>
    </row>
    <row r="89" spans="1:31" ht="14.25" thickTop="1" thickBot="1" x14ac:dyDescent="0.25">
      <c r="A89" s="1"/>
      <c r="B89" s="956" t="s">
        <v>186</v>
      </c>
      <c r="C89" s="1992" t="s">
        <v>51</v>
      </c>
      <c r="D89" s="1993"/>
      <c r="E89" s="1992" t="s">
        <v>52</v>
      </c>
      <c r="F89" s="1993"/>
      <c r="G89" s="1989" t="s">
        <v>184</v>
      </c>
      <c r="H89" s="1990"/>
      <c r="I89" s="2067" t="s">
        <v>185</v>
      </c>
      <c r="J89" s="2068"/>
      <c r="K89" s="2067" t="s">
        <v>202</v>
      </c>
      <c r="L89" s="2068"/>
      <c r="M89" s="2067" t="s">
        <v>203</v>
      </c>
      <c r="N89" s="2068"/>
      <c r="O89" s="2069" t="s">
        <v>228</v>
      </c>
      <c r="P89" s="2068"/>
      <c r="Q89" s="2069" t="s">
        <v>238</v>
      </c>
      <c r="R89" s="2068"/>
      <c r="S89" s="2069" t="s">
        <v>273</v>
      </c>
      <c r="T89" s="2068"/>
      <c r="U89" s="1970" t="s">
        <v>275</v>
      </c>
      <c r="V89" s="1979"/>
      <c r="W89" s="1970" t="s">
        <v>281</v>
      </c>
      <c r="X89" s="1979"/>
      <c r="Y89" s="1970" t="s">
        <v>291</v>
      </c>
      <c r="Z89" s="1976"/>
      <c r="AB89" s="2003" t="s">
        <v>213</v>
      </c>
      <c r="AC89" s="2004"/>
    </row>
    <row r="90" spans="1:31" x14ac:dyDescent="0.2">
      <c r="A90" s="1"/>
      <c r="B90" s="957"/>
      <c r="C90" s="958"/>
      <c r="D90" s="959"/>
      <c r="E90" s="1273"/>
      <c r="F90" s="1180"/>
      <c r="G90" s="958"/>
      <c r="H90" s="1242"/>
      <c r="I90" s="1748"/>
      <c r="J90" s="1761"/>
      <c r="K90" s="1748"/>
      <c r="L90" s="1761"/>
      <c r="M90" s="1748"/>
      <c r="N90" s="1761"/>
      <c r="O90" s="1748"/>
      <c r="P90" s="1747"/>
      <c r="Q90" s="1694"/>
      <c r="R90" s="1747"/>
      <c r="S90" s="1694"/>
      <c r="T90" s="1747"/>
      <c r="U90" s="1448" t="s">
        <v>133</v>
      </c>
      <c r="V90" s="1450" t="s">
        <v>17</v>
      </c>
      <c r="W90" s="1451" t="s">
        <v>133</v>
      </c>
      <c r="X90" s="1450" t="s">
        <v>17</v>
      </c>
      <c r="Y90" s="1451" t="s">
        <v>133</v>
      </c>
      <c r="Z90" s="1452" t="s">
        <v>17</v>
      </c>
      <c r="AB90" s="953" t="s">
        <v>133</v>
      </c>
      <c r="AC90" s="954" t="s">
        <v>17</v>
      </c>
    </row>
    <row r="91" spans="1:31" x14ac:dyDescent="0.2">
      <c r="A91" s="1"/>
      <c r="B91" s="341" t="s">
        <v>187</v>
      </c>
      <c r="C91" s="960"/>
      <c r="D91" s="961"/>
      <c r="E91" s="960"/>
      <c r="F91" s="961"/>
      <c r="G91" s="960"/>
      <c r="H91" s="961"/>
      <c r="I91" s="1659"/>
      <c r="J91" s="1690"/>
      <c r="K91" s="1659"/>
      <c r="L91" s="1690"/>
      <c r="M91" s="1659"/>
      <c r="N91" s="1690"/>
      <c r="O91" s="1659"/>
      <c r="P91" s="1690"/>
      <c r="Q91" s="1659"/>
      <c r="R91" s="1690"/>
      <c r="S91" s="1659"/>
      <c r="T91" s="1690"/>
      <c r="U91" s="960">
        <v>0</v>
      </c>
      <c r="V91" s="961">
        <v>0</v>
      </c>
      <c r="W91" s="960">
        <v>0</v>
      </c>
      <c r="X91" s="961">
        <v>0</v>
      </c>
      <c r="Y91" s="960">
        <v>0</v>
      </c>
      <c r="Z91" s="1517">
        <v>0</v>
      </c>
      <c r="AB91" s="1115"/>
      <c r="AC91" s="1116"/>
    </row>
    <row r="92" spans="1:31" x14ac:dyDescent="0.2">
      <c r="A92" s="1"/>
      <c r="B92" s="341" t="s">
        <v>188</v>
      </c>
      <c r="C92" s="960"/>
      <c r="D92" s="961"/>
      <c r="E92" s="960"/>
      <c r="F92" s="961"/>
      <c r="G92" s="960"/>
      <c r="H92" s="961"/>
      <c r="I92" s="1659"/>
      <c r="J92" s="1690"/>
      <c r="K92" s="1659"/>
      <c r="L92" s="1690"/>
      <c r="M92" s="1659"/>
      <c r="N92" s="1690"/>
      <c r="O92" s="1659"/>
      <c r="P92" s="1690"/>
      <c r="Q92" s="1659"/>
      <c r="R92" s="1690"/>
      <c r="S92" s="1659"/>
      <c r="T92" s="1690"/>
      <c r="U92" s="960">
        <v>21</v>
      </c>
      <c r="V92" s="961">
        <v>10.5</v>
      </c>
      <c r="W92" s="960">
        <v>19</v>
      </c>
      <c r="X92" s="961">
        <v>9.5</v>
      </c>
      <c r="Y92" s="960">
        <v>22</v>
      </c>
      <c r="Z92" s="1517">
        <v>11</v>
      </c>
      <c r="AB92" s="1115"/>
      <c r="AC92" s="1116"/>
    </row>
    <row r="93" spans="1:31" ht="13.5" thickBot="1" x14ac:dyDescent="0.25">
      <c r="A93" s="1"/>
      <c r="B93" s="344" t="s">
        <v>211</v>
      </c>
      <c r="C93" s="962"/>
      <c r="D93" s="963"/>
      <c r="E93" s="964"/>
      <c r="F93" s="963"/>
      <c r="G93" s="964"/>
      <c r="H93" s="963"/>
      <c r="I93" s="1680"/>
      <c r="J93" s="1691"/>
      <c r="K93" s="1680"/>
      <c r="L93" s="1691"/>
      <c r="M93" s="1680"/>
      <c r="N93" s="1691"/>
      <c r="O93" s="1680"/>
      <c r="P93" s="1691"/>
      <c r="Q93" s="1680"/>
      <c r="R93" s="1691"/>
      <c r="S93" s="1680"/>
      <c r="T93" s="1691"/>
      <c r="U93" s="964">
        <v>0</v>
      </c>
      <c r="V93" s="963">
        <v>0</v>
      </c>
      <c r="W93" s="964">
        <v>0</v>
      </c>
      <c r="X93" s="963">
        <v>0</v>
      </c>
      <c r="Y93" s="964">
        <v>0</v>
      </c>
      <c r="Z93" s="1518">
        <v>0</v>
      </c>
      <c r="AB93" s="1115"/>
      <c r="AC93" s="1116"/>
    </row>
    <row r="94" spans="1:31" ht="17.25" thickTop="1" thickBot="1" x14ac:dyDescent="0.3">
      <c r="A94" s="966"/>
      <c r="B94" s="967"/>
      <c r="C94" s="1992" t="s">
        <v>51</v>
      </c>
      <c r="D94" s="1993"/>
      <c r="E94" s="1992" t="s">
        <v>52</v>
      </c>
      <c r="F94" s="1993"/>
      <c r="G94" s="1989" t="s">
        <v>184</v>
      </c>
      <c r="H94" s="1990"/>
      <c r="I94" s="1989" t="s">
        <v>185</v>
      </c>
      <c r="J94" s="1990"/>
      <c r="K94" s="1989" t="s">
        <v>202</v>
      </c>
      <c r="L94" s="1990"/>
      <c r="M94" s="1991" t="s">
        <v>203</v>
      </c>
      <c r="N94" s="1979"/>
      <c r="O94" s="1970" t="s">
        <v>228</v>
      </c>
      <c r="P94" s="1979"/>
      <c r="Q94" s="1970" t="s">
        <v>238</v>
      </c>
      <c r="R94" s="1979"/>
      <c r="S94" s="1970" t="s">
        <v>273</v>
      </c>
      <c r="T94" s="1979"/>
      <c r="U94" s="1970" t="s">
        <v>275</v>
      </c>
      <c r="V94" s="1979"/>
      <c r="W94" s="1970" t="s">
        <v>281</v>
      </c>
      <c r="X94" s="1979"/>
      <c r="Y94" s="1970" t="s">
        <v>291</v>
      </c>
      <c r="Z94" s="1976"/>
      <c r="AA94" s="968"/>
      <c r="AB94" s="1987"/>
      <c r="AC94" s="1988"/>
      <c r="AD94" s="28"/>
      <c r="AE94" s="3"/>
    </row>
    <row r="95" spans="1:31" x14ac:dyDescent="0.2">
      <c r="A95" s="3"/>
      <c r="B95" s="342" t="s">
        <v>210</v>
      </c>
      <c r="C95" s="3"/>
      <c r="D95" s="969"/>
      <c r="E95" s="970"/>
      <c r="F95" s="971"/>
      <c r="G95" s="972"/>
      <c r="H95" s="973"/>
      <c r="I95" s="974"/>
      <c r="J95" s="593"/>
      <c r="K95" s="975"/>
      <c r="L95" s="976"/>
      <c r="M95" s="975"/>
      <c r="N95" s="991"/>
      <c r="O95" s="1874"/>
      <c r="P95" s="1875"/>
      <c r="Q95" s="975"/>
      <c r="R95" s="991"/>
      <c r="S95" s="975"/>
      <c r="T95" s="991"/>
      <c r="U95" s="117"/>
      <c r="V95" s="1422"/>
      <c r="W95" s="975"/>
      <c r="X95" s="991"/>
      <c r="Y95" s="975"/>
      <c r="Z95" s="977"/>
      <c r="AA95" s="28"/>
      <c r="AB95" s="28"/>
      <c r="AC95" s="28"/>
      <c r="AD95" s="3"/>
      <c r="AE95" s="3"/>
    </row>
    <row r="96" spans="1:31" x14ac:dyDescent="0.2">
      <c r="A96" s="930"/>
      <c r="B96" s="1331" t="s">
        <v>192</v>
      </c>
      <c r="C96" s="1983"/>
      <c r="D96" s="1984"/>
      <c r="E96" s="980"/>
      <c r="F96" s="981"/>
      <c r="G96" s="982"/>
      <c r="H96" s="983"/>
      <c r="I96" s="1983"/>
      <c r="J96" s="1984"/>
      <c r="K96" s="984"/>
      <c r="L96" s="985"/>
      <c r="M96" s="984"/>
      <c r="N96" s="991"/>
      <c r="O96" s="1876"/>
      <c r="P96" s="1875"/>
      <c r="Q96" s="984"/>
      <c r="R96" s="991"/>
      <c r="S96" s="984"/>
      <c r="T96" s="991"/>
      <c r="U96" s="136"/>
      <c r="V96" s="1401">
        <v>6.5</v>
      </c>
      <c r="W96" s="984"/>
      <c r="X96" s="991"/>
      <c r="Y96" s="984"/>
      <c r="Z96" s="977"/>
      <c r="AA96" s="28"/>
      <c r="AB96" s="28"/>
      <c r="AC96" s="1106"/>
      <c r="AD96" s="3"/>
      <c r="AE96" s="3"/>
    </row>
    <row r="97" spans="1:31" x14ac:dyDescent="0.2">
      <c r="A97" s="930"/>
      <c r="B97" s="1332" t="s">
        <v>193</v>
      </c>
      <c r="C97" s="1983"/>
      <c r="D97" s="1984"/>
      <c r="E97" s="980"/>
      <c r="F97" s="981"/>
      <c r="G97" s="982"/>
      <c r="H97" s="983"/>
      <c r="I97" s="1983"/>
      <c r="J97" s="1984"/>
      <c r="K97" s="984"/>
      <c r="L97" s="985"/>
      <c r="M97" s="984"/>
      <c r="N97" s="991"/>
      <c r="O97" s="1876"/>
      <c r="P97" s="1875"/>
      <c r="Q97" s="984"/>
      <c r="R97" s="991"/>
      <c r="S97" s="984"/>
      <c r="T97" s="991"/>
      <c r="U97" s="136"/>
      <c r="V97" s="1401"/>
      <c r="W97" s="984"/>
      <c r="X97" s="991"/>
      <c r="Y97" s="984"/>
      <c r="Z97" s="977"/>
      <c r="AA97" s="28"/>
      <c r="AB97" s="28"/>
      <c r="AC97" s="1106"/>
      <c r="AD97" s="3"/>
      <c r="AE97" s="3"/>
    </row>
    <row r="98" spans="1:31" x14ac:dyDescent="0.2">
      <c r="A98" s="930"/>
      <c r="B98" s="1332" t="s">
        <v>194</v>
      </c>
      <c r="C98" s="1983"/>
      <c r="D98" s="1984"/>
      <c r="E98" s="980"/>
      <c r="F98" s="981"/>
      <c r="G98" s="982"/>
      <c r="H98" s="983"/>
      <c r="I98" s="1983"/>
      <c r="J98" s="1984"/>
      <c r="K98" s="984"/>
      <c r="L98" s="985"/>
      <c r="M98" s="984"/>
      <c r="N98" s="991"/>
      <c r="O98" s="1876"/>
      <c r="P98" s="1875"/>
      <c r="Q98" s="984"/>
      <c r="R98" s="991"/>
      <c r="S98" s="984"/>
      <c r="T98" s="991"/>
      <c r="U98" s="136"/>
      <c r="V98" s="1401">
        <v>10.5</v>
      </c>
      <c r="W98" s="984"/>
      <c r="X98" s="991"/>
      <c r="Y98" s="984"/>
      <c r="Z98" s="977"/>
      <c r="AA98" s="28"/>
      <c r="AB98" s="28"/>
      <c r="AC98" s="1106"/>
      <c r="AD98" s="3"/>
      <c r="AE98" s="3"/>
    </row>
    <row r="99" spans="1:31" x14ac:dyDescent="0.2">
      <c r="A99" s="930"/>
      <c r="B99" s="1331" t="s">
        <v>195</v>
      </c>
      <c r="C99" s="1983"/>
      <c r="D99" s="1984"/>
      <c r="E99" s="980"/>
      <c r="F99" s="981"/>
      <c r="G99" s="982"/>
      <c r="H99" s="983"/>
      <c r="I99" s="1983"/>
      <c r="J99" s="1984"/>
      <c r="K99" s="984"/>
      <c r="L99" s="985"/>
      <c r="M99" s="984"/>
      <c r="N99" s="991"/>
      <c r="O99" s="1876"/>
      <c r="P99" s="1875"/>
      <c r="Q99" s="984"/>
      <c r="R99" s="991"/>
      <c r="S99" s="984"/>
      <c r="T99" s="991"/>
      <c r="U99" s="136"/>
      <c r="V99" s="1401">
        <v>0</v>
      </c>
      <c r="W99" s="984"/>
      <c r="X99" s="991"/>
      <c r="Y99" s="984"/>
      <c r="Z99" s="977"/>
      <c r="AA99" s="28"/>
      <c r="AB99" s="28"/>
      <c r="AC99" s="1106"/>
      <c r="AD99" s="3"/>
      <c r="AE99" s="3"/>
    </row>
    <row r="100" spans="1:31" x14ac:dyDescent="0.2">
      <c r="A100" s="930"/>
      <c r="B100" s="1333" t="s">
        <v>196</v>
      </c>
      <c r="C100" s="1983"/>
      <c r="D100" s="1984"/>
      <c r="E100" s="980"/>
      <c r="F100" s="981"/>
      <c r="G100" s="982"/>
      <c r="H100" s="983"/>
      <c r="I100" s="1983"/>
      <c r="J100" s="1984"/>
      <c r="K100" s="984"/>
      <c r="L100" s="985"/>
      <c r="M100" s="984"/>
      <c r="N100" s="991"/>
      <c r="O100" s="1876"/>
      <c r="P100" s="1875"/>
      <c r="Q100" s="984"/>
      <c r="R100" s="991"/>
      <c r="S100" s="984"/>
      <c r="T100" s="991"/>
      <c r="U100" s="136"/>
      <c r="V100" s="1401">
        <f>5+1.8</f>
        <v>6.8</v>
      </c>
      <c r="W100" s="984"/>
      <c r="X100" s="991"/>
      <c r="Y100" s="984"/>
      <c r="Z100" s="977"/>
      <c r="AA100" s="28"/>
      <c r="AB100" s="28"/>
      <c r="AC100" s="1106"/>
      <c r="AD100" s="3"/>
      <c r="AE100" s="3"/>
    </row>
    <row r="101" spans="1:31" x14ac:dyDescent="0.2">
      <c r="A101" s="930"/>
      <c r="B101" s="1333" t="s">
        <v>197</v>
      </c>
      <c r="C101" s="1983"/>
      <c r="D101" s="1984"/>
      <c r="E101" s="980"/>
      <c r="F101" s="981"/>
      <c r="G101" s="982"/>
      <c r="H101" s="983"/>
      <c r="I101" s="1983"/>
      <c r="J101" s="1984"/>
      <c r="K101" s="984"/>
      <c r="L101" s="985"/>
      <c r="M101" s="984"/>
      <c r="N101" s="991"/>
      <c r="O101" s="1876"/>
      <c r="P101" s="1875"/>
      <c r="Q101" s="984"/>
      <c r="R101" s="991"/>
      <c r="S101" s="984"/>
      <c r="T101" s="991"/>
      <c r="U101" s="136"/>
      <c r="V101" s="1401">
        <f>SUM(V96:V100)</f>
        <v>23.8</v>
      </c>
      <c r="W101" s="984"/>
      <c r="X101" s="991"/>
      <c r="Y101" s="984"/>
      <c r="Z101" s="977"/>
      <c r="AA101" s="28"/>
      <c r="AB101" s="28"/>
      <c r="AC101" s="1106"/>
      <c r="AD101" s="3"/>
      <c r="AE101" s="3"/>
    </row>
    <row r="102" spans="1:31" ht="13.5" thickBot="1" x14ac:dyDescent="0.25">
      <c r="A102" s="930"/>
      <c r="B102" s="1334" t="s">
        <v>204</v>
      </c>
      <c r="C102" s="2056"/>
      <c r="D102" s="2055"/>
      <c r="E102" s="989"/>
      <c r="F102" s="990"/>
      <c r="G102" s="975"/>
      <c r="H102" s="991"/>
      <c r="I102" s="2056"/>
      <c r="J102" s="2055"/>
      <c r="K102" s="984"/>
      <c r="L102" s="985"/>
      <c r="M102" s="984"/>
      <c r="N102" s="991"/>
      <c r="O102" s="1876"/>
      <c r="P102" s="1875"/>
      <c r="Q102" s="984"/>
      <c r="R102" s="991"/>
      <c r="S102" s="984"/>
      <c r="T102" s="991"/>
      <c r="U102" s="136"/>
      <c r="V102" s="1422"/>
      <c r="W102" s="984"/>
      <c r="X102" s="991"/>
      <c r="Y102" s="984"/>
      <c r="Z102" s="977"/>
      <c r="AA102" s="28"/>
      <c r="AB102" s="28"/>
      <c r="AC102" s="1106"/>
      <c r="AD102" s="3"/>
      <c r="AE102" s="3"/>
    </row>
    <row r="103" spans="1:31" x14ac:dyDescent="0.2">
      <c r="A103" s="930"/>
      <c r="B103" s="1331" t="s">
        <v>198</v>
      </c>
      <c r="C103" s="2043"/>
      <c r="D103" s="2044"/>
      <c r="E103" s="992"/>
      <c r="F103" s="993"/>
      <c r="G103" s="994"/>
      <c r="H103" s="995"/>
      <c r="I103" s="2043"/>
      <c r="J103" s="2044"/>
      <c r="K103" s="984"/>
      <c r="L103" s="985"/>
      <c r="M103" s="984"/>
      <c r="N103" s="991"/>
      <c r="O103" s="1876"/>
      <c r="P103" s="1877"/>
      <c r="Q103" s="984"/>
      <c r="R103" s="991"/>
      <c r="S103" s="984"/>
      <c r="T103" s="991"/>
      <c r="U103" s="136"/>
      <c r="V103" s="1462">
        <v>1052</v>
      </c>
      <c r="W103" s="984"/>
      <c r="X103" s="991"/>
      <c r="Y103" s="984"/>
      <c r="Z103" s="977"/>
      <c r="AA103" s="28"/>
      <c r="AB103" s="28"/>
      <c r="AC103" s="1473"/>
      <c r="AD103" s="3"/>
      <c r="AE103" s="3"/>
    </row>
    <row r="104" spans="1:31" x14ac:dyDescent="0.2">
      <c r="A104" s="930"/>
      <c r="B104" s="1333" t="s">
        <v>199</v>
      </c>
      <c r="C104" s="2043"/>
      <c r="D104" s="2044"/>
      <c r="E104" s="992"/>
      <c r="F104" s="993"/>
      <c r="G104" s="994"/>
      <c r="H104" s="995"/>
      <c r="I104" s="2043"/>
      <c r="J104" s="2044"/>
      <c r="K104" s="984"/>
      <c r="L104" s="985"/>
      <c r="M104" s="984"/>
      <c r="N104" s="991"/>
      <c r="O104" s="1876"/>
      <c r="P104" s="1877"/>
      <c r="Q104" s="984"/>
      <c r="R104" s="991"/>
      <c r="S104" s="984"/>
      <c r="T104" s="991"/>
      <c r="U104" s="136"/>
      <c r="V104" s="1462">
        <v>2830</v>
      </c>
      <c r="W104" s="984"/>
      <c r="X104" s="991"/>
      <c r="Y104" s="984"/>
      <c r="Z104" s="977"/>
      <c r="AA104" s="28"/>
      <c r="AB104" s="28"/>
      <c r="AC104" s="1473"/>
      <c r="AD104" s="3"/>
      <c r="AE104" s="3"/>
    </row>
    <row r="105" spans="1:31" x14ac:dyDescent="0.2">
      <c r="A105" s="930"/>
      <c r="B105" s="1333" t="s">
        <v>200</v>
      </c>
      <c r="C105" s="2043"/>
      <c r="D105" s="2044"/>
      <c r="E105" s="992"/>
      <c r="F105" s="993"/>
      <c r="G105" s="994"/>
      <c r="H105" s="995"/>
      <c r="I105" s="2043"/>
      <c r="J105" s="2044"/>
      <c r="K105" s="984"/>
      <c r="L105" s="985"/>
      <c r="M105" s="984"/>
      <c r="N105" s="991"/>
      <c r="O105" s="1876"/>
      <c r="P105" s="1877"/>
      <c r="Q105" s="984"/>
      <c r="R105" s="991"/>
      <c r="S105" s="984"/>
      <c r="T105" s="991"/>
      <c r="U105" s="136"/>
      <c r="V105" s="1462">
        <f>1066+669</f>
        <v>1735</v>
      </c>
      <c r="W105" s="984"/>
      <c r="X105" s="991"/>
      <c r="Y105" s="984"/>
      <c r="Z105" s="977"/>
      <c r="AA105" s="28"/>
      <c r="AB105" s="28"/>
      <c r="AC105" s="1473"/>
      <c r="AD105" s="3"/>
      <c r="AE105" s="3"/>
    </row>
    <row r="106" spans="1:31" x14ac:dyDescent="0.2">
      <c r="A106" s="930"/>
      <c r="B106" s="1333" t="s">
        <v>209</v>
      </c>
      <c r="C106" s="2043"/>
      <c r="D106" s="2044"/>
      <c r="E106" s="992"/>
      <c r="F106" s="993"/>
      <c r="G106" s="994"/>
      <c r="H106" s="995"/>
      <c r="I106" s="2043"/>
      <c r="J106" s="2044"/>
      <c r="K106" s="984"/>
      <c r="L106" s="985"/>
      <c r="M106" s="984"/>
      <c r="N106" s="991"/>
      <c r="O106" s="1876"/>
      <c r="P106" s="1877"/>
      <c r="Q106" s="984"/>
      <c r="R106" s="991"/>
      <c r="S106" s="984"/>
      <c r="T106" s="991"/>
      <c r="U106" s="136"/>
      <c r="V106" s="1462">
        <f>SUM(V103:V105)</f>
        <v>5617</v>
      </c>
      <c r="W106" s="984"/>
      <c r="X106" s="991"/>
      <c r="Y106" s="984"/>
      <c r="Z106" s="977"/>
      <c r="AA106" s="28"/>
      <c r="AB106" s="28"/>
      <c r="AC106" s="1473"/>
      <c r="AD106" s="3"/>
      <c r="AE106" s="3"/>
    </row>
    <row r="107" spans="1:31" ht="13.5" thickBot="1" x14ac:dyDescent="0.25">
      <c r="A107" s="930"/>
      <c r="B107" s="1334" t="s">
        <v>205</v>
      </c>
      <c r="C107" s="2056"/>
      <c r="D107" s="2055"/>
      <c r="E107" s="989"/>
      <c r="F107" s="990"/>
      <c r="G107" s="975"/>
      <c r="H107" s="991"/>
      <c r="I107" s="2056"/>
      <c r="J107" s="2055"/>
      <c r="K107" s="984"/>
      <c r="L107" s="985"/>
      <c r="M107" s="984"/>
      <c r="N107" s="991"/>
      <c r="O107" s="1876"/>
      <c r="P107" s="1875"/>
      <c r="Q107" s="984"/>
      <c r="R107" s="991"/>
      <c r="S107" s="984"/>
      <c r="T107" s="991"/>
      <c r="U107" s="136"/>
      <c r="V107" s="1462"/>
      <c r="W107" s="984"/>
      <c r="X107" s="991"/>
      <c r="Y107" s="984"/>
      <c r="Z107" s="977"/>
      <c r="AA107" s="28"/>
      <c r="AB107" s="28"/>
      <c r="AC107" s="1106"/>
      <c r="AD107" s="28"/>
      <c r="AE107" s="28"/>
    </row>
    <row r="108" spans="1:31" x14ac:dyDescent="0.2">
      <c r="A108" s="930"/>
      <c r="B108" s="1331" t="s">
        <v>206</v>
      </c>
      <c r="C108" s="1985"/>
      <c r="D108" s="1986"/>
      <c r="E108" s="996"/>
      <c r="F108" s="997"/>
      <c r="G108" s="998"/>
      <c r="H108" s="999"/>
      <c r="I108" s="1985"/>
      <c r="J108" s="1986"/>
      <c r="K108" s="1000"/>
      <c r="L108" s="1001"/>
      <c r="M108" s="1000"/>
      <c r="N108" s="999"/>
      <c r="O108" s="1863"/>
      <c r="P108" s="1878"/>
      <c r="Q108" s="1000"/>
      <c r="R108" s="999"/>
      <c r="S108" s="1000"/>
      <c r="T108" s="999"/>
      <c r="U108" s="494"/>
      <c r="V108" s="1402">
        <f>V103/V96</f>
        <v>161.84615384615384</v>
      </c>
      <c r="W108" s="1000"/>
      <c r="X108" s="999"/>
      <c r="Y108" s="1000"/>
      <c r="Z108" s="1460"/>
      <c r="AA108" s="668"/>
      <c r="AB108" s="668"/>
      <c r="AC108" s="1106"/>
      <c r="AD108" s="21"/>
      <c r="AE108" s="21"/>
    </row>
    <row r="109" spans="1:31" x14ac:dyDescent="0.2">
      <c r="A109" s="930"/>
      <c r="B109" s="1333" t="s">
        <v>207</v>
      </c>
      <c r="C109" s="1985"/>
      <c r="D109" s="1986"/>
      <c r="E109" s="996"/>
      <c r="F109" s="997"/>
      <c r="G109" s="998"/>
      <c r="H109" s="999"/>
      <c r="I109" s="1985"/>
      <c r="J109" s="1986"/>
      <c r="K109" s="1000"/>
      <c r="L109" s="1001"/>
      <c r="M109" s="1000"/>
      <c r="N109" s="999"/>
      <c r="O109" s="1863"/>
      <c r="P109" s="1878"/>
      <c r="Q109" s="1000"/>
      <c r="R109" s="999"/>
      <c r="S109" s="1000"/>
      <c r="T109" s="999"/>
      <c r="U109" s="494"/>
      <c r="V109" s="1402">
        <f>V104/(V98+V99)</f>
        <v>269.52380952380952</v>
      </c>
      <c r="W109" s="1000"/>
      <c r="X109" s="999"/>
      <c r="Y109" s="1000"/>
      <c r="Z109" s="1460"/>
      <c r="AA109" s="668"/>
      <c r="AB109" s="668"/>
      <c r="AC109" s="1106"/>
      <c r="AD109" s="21"/>
      <c r="AE109" s="21"/>
    </row>
    <row r="110" spans="1:31" x14ac:dyDescent="0.2">
      <c r="A110" s="930"/>
      <c r="B110" s="1333" t="s">
        <v>208</v>
      </c>
      <c r="C110" s="1985"/>
      <c r="D110" s="1986"/>
      <c r="E110" s="996"/>
      <c r="F110" s="997"/>
      <c r="G110" s="998"/>
      <c r="H110" s="999"/>
      <c r="I110" s="1985"/>
      <c r="J110" s="1986"/>
      <c r="K110" s="1000"/>
      <c r="L110" s="1001"/>
      <c r="M110" s="1000"/>
      <c r="N110" s="999"/>
      <c r="O110" s="1863"/>
      <c r="P110" s="1878"/>
      <c r="Q110" s="1000"/>
      <c r="R110" s="999"/>
      <c r="S110" s="1000"/>
      <c r="T110" s="999"/>
      <c r="U110" s="494"/>
      <c r="V110" s="1402">
        <f>V105/V100</f>
        <v>255.14705882352942</v>
      </c>
      <c r="W110" s="1000"/>
      <c r="X110" s="999"/>
      <c r="Y110" s="1000"/>
      <c r="Z110" s="1460"/>
      <c r="AA110" s="668"/>
      <c r="AB110" s="668"/>
      <c r="AC110" s="1106"/>
      <c r="AD110" s="21"/>
      <c r="AE110" s="21"/>
    </row>
    <row r="111" spans="1:31" ht="13.5" thickBot="1" x14ac:dyDescent="0.25">
      <c r="A111" s="930"/>
      <c r="B111" s="1335" t="s">
        <v>201</v>
      </c>
      <c r="C111" s="2045"/>
      <c r="D111" s="2046"/>
      <c r="E111" s="1003"/>
      <c r="F111" s="1004"/>
      <c r="G111" s="1005"/>
      <c r="H111" s="1006"/>
      <c r="I111" s="2045"/>
      <c r="J111" s="2046"/>
      <c r="K111" s="1005"/>
      <c r="L111" s="1006"/>
      <c r="M111" s="1005"/>
      <c r="N111" s="1006"/>
      <c r="O111" s="1879"/>
      <c r="P111" s="1880"/>
      <c r="Q111" s="1005"/>
      <c r="R111" s="1006"/>
      <c r="S111" s="1005"/>
      <c r="T111" s="1006"/>
      <c r="U111" s="1233"/>
      <c r="V111" s="1423">
        <f>V106/V101</f>
        <v>236.00840336134453</v>
      </c>
      <c r="W111" s="1005"/>
      <c r="X111" s="1006"/>
      <c r="Y111" s="1005"/>
      <c r="Z111" s="1461"/>
      <c r="AA111" s="668"/>
      <c r="AB111" s="668"/>
      <c r="AC111" s="1106"/>
      <c r="AD111" s="21"/>
      <c r="AE111" s="21"/>
    </row>
    <row r="112" spans="1:31" ht="13.5" thickTop="1" x14ac:dyDescent="0.2">
      <c r="A112" s="3"/>
      <c r="B112" s="3" t="str">
        <f>Dean_AS!B169</f>
        <v>*Note: Beginning with the 2009 collection cycle, Instructional FTE was defined according to the national Delaware Study of Instructional Costs and Productivity</v>
      </c>
      <c r="AC112" s="91"/>
    </row>
    <row r="113" spans="1:2" x14ac:dyDescent="0.2">
      <c r="A113" s="3"/>
      <c r="B113" s="3"/>
    </row>
    <row r="114" spans="1:2" x14ac:dyDescent="0.2">
      <c r="A114" s="3"/>
      <c r="B114" s="3"/>
    </row>
    <row r="115" spans="1:2" x14ac:dyDescent="0.2">
      <c r="A115" s="3"/>
      <c r="B115" s="3"/>
    </row>
    <row r="116" spans="1:2" x14ac:dyDescent="0.2">
      <c r="A116" s="3"/>
      <c r="B116" s="3"/>
    </row>
    <row r="117" spans="1:2" x14ac:dyDescent="0.2">
      <c r="A117" s="3"/>
      <c r="B117" s="3"/>
    </row>
    <row r="118" spans="1:2" x14ac:dyDescent="0.2">
      <c r="A118" s="3"/>
      <c r="B118" s="3"/>
    </row>
    <row r="119" spans="1:2" x14ac:dyDescent="0.2">
      <c r="A119" s="3"/>
      <c r="B119" s="3"/>
    </row>
    <row r="120" spans="1:2" x14ac:dyDescent="0.2">
      <c r="A120" s="3"/>
      <c r="B120" s="3"/>
    </row>
    <row r="121" spans="1:2" x14ac:dyDescent="0.2">
      <c r="A121" s="3"/>
      <c r="B121" s="3"/>
    </row>
    <row r="122" spans="1:2" x14ac:dyDescent="0.2">
      <c r="A122" s="3"/>
      <c r="B122" s="3"/>
    </row>
    <row r="123" spans="1:2" x14ac:dyDescent="0.2">
      <c r="A123" s="3"/>
      <c r="B123" s="3"/>
    </row>
    <row r="124" spans="1:2" x14ac:dyDescent="0.2">
      <c r="A124" s="3"/>
      <c r="B124" s="3"/>
    </row>
    <row r="125" spans="1:2" x14ac:dyDescent="0.2">
      <c r="A125" s="3"/>
      <c r="B125" s="3"/>
    </row>
    <row r="126" spans="1:2" x14ac:dyDescent="0.2">
      <c r="A126" s="3"/>
      <c r="B126" s="3"/>
    </row>
    <row r="127" spans="1:2" x14ac:dyDescent="0.2">
      <c r="A127" s="3"/>
      <c r="B127" s="3"/>
    </row>
    <row r="128" spans="1:2" x14ac:dyDescent="0.2">
      <c r="A128" s="3"/>
      <c r="B128" s="3"/>
    </row>
    <row r="129" spans="1:2" x14ac:dyDescent="0.2">
      <c r="A129" s="3"/>
      <c r="B129" s="3"/>
    </row>
    <row r="130" spans="1:2" x14ac:dyDescent="0.2">
      <c r="A130" s="3"/>
      <c r="B130" s="3"/>
    </row>
    <row r="131" spans="1:2" x14ac:dyDescent="0.2">
      <c r="A131" s="3"/>
      <c r="B131" s="3"/>
    </row>
    <row r="132" spans="1:2" x14ac:dyDescent="0.2">
      <c r="A132" s="3"/>
      <c r="B132" s="3"/>
    </row>
    <row r="133" spans="1:2" x14ac:dyDescent="0.2">
      <c r="A133" s="3"/>
      <c r="B133" s="3"/>
    </row>
    <row r="134" spans="1:2" x14ac:dyDescent="0.2">
      <c r="A134" s="3"/>
      <c r="B134" s="3"/>
    </row>
    <row r="135" spans="1:2" x14ac:dyDescent="0.2">
      <c r="A135" s="3"/>
      <c r="B135" s="3"/>
    </row>
    <row r="136" spans="1:2" x14ac:dyDescent="0.2">
      <c r="A136" s="3"/>
      <c r="B136" s="3"/>
    </row>
    <row r="137" spans="1:2" x14ac:dyDescent="0.2">
      <c r="A137" s="3"/>
      <c r="B137" s="3"/>
    </row>
    <row r="138" spans="1:2" x14ac:dyDescent="0.2">
      <c r="A138" s="3"/>
      <c r="B138" s="3"/>
    </row>
    <row r="139" spans="1:2" x14ac:dyDescent="0.2">
      <c r="A139" s="3"/>
      <c r="B139" s="3"/>
    </row>
    <row r="140" spans="1:2" x14ac:dyDescent="0.2">
      <c r="A140" s="3"/>
      <c r="B140" s="3"/>
    </row>
    <row r="141" spans="1:2" x14ac:dyDescent="0.2">
      <c r="A141" s="3"/>
      <c r="B141" s="3"/>
    </row>
    <row r="142" spans="1:2" x14ac:dyDescent="0.2">
      <c r="A142" s="3"/>
      <c r="B142" s="3"/>
    </row>
    <row r="143" spans="1:2" x14ac:dyDescent="0.2">
      <c r="A143" s="3"/>
      <c r="B143" s="3"/>
    </row>
    <row r="144" spans="1:2" x14ac:dyDescent="0.2">
      <c r="A144" s="3"/>
      <c r="B144" s="3"/>
    </row>
    <row r="145" spans="1:2" x14ac:dyDescent="0.2">
      <c r="A145" s="3"/>
      <c r="B145" s="3"/>
    </row>
    <row r="146" spans="1:2" x14ac:dyDescent="0.2">
      <c r="A146" s="3"/>
      <c r="B146" s="3"/>
    </row>
    <row r="147" spans="1:2" x14ac:dyDescent="0.2">
      <c r="A147" s="3"/>
      <c r="B147" s="3"/>
    </row>
    <row r="148" spans="1:2" x14ac:dyDescent="0.2">
      <c r="A148" s="3"/>
      <c r="B148" s="3"/>
    </row>
    <row r="149" spans="1:2" x14ac:dyDescent="0.2">
      <c r="A149" s="3"/>
      <c r="B149" s="3"/>
    </row>
    <row r="150" spans="1:2" x14ac:dyDescent="0.2">
      <c r="A150" s="3"/>
      <c r="B150" s="3"/>
    </row>
    <row r="151" spans="1:2" x14ac:dyDescent="0.2">
      <c r="A151" s="3"/>
      <c r="B151" s="3"/>
    </row>
    <row r="152" spans="1:2" x14ac:dyDescent="0.2">
      <c r="A152" s="3"/>
      <c r="B152" s="3"/>
    </row>
    <row r="153" spans="1:2" x14ac:dyDescent="0.2">
      <c r="A153" s="3"/>
      <c r="B153" s="3"/>
    </row>
    <row r="154" spans="1:2" x14ac:dyDescent="0.2">
      <c r="A154" s="3"/>
      <c r="B154" s="3"/>
    </row>
    <row r="155" spans="1:2" x14ac:dyDescent="0.2">
      <c r="A155" s="3"/>
      <c r="B155" s="3"/>
    </row>
    <row r="156" spans="1:2" x14ac:dyDescent="0.2">
      <c r="A156" s="3"/>
      <c r="B156" s="3"/>
    </row>
    <row r="157" spans="1:2" x14ac:dyDescent="0.2">
      <c r="A157" s="3"/>
      <c r="B157" s="3"/>
    </row>
    <row r="158" spans="1:2" x14ac:dyDescent="0.2">
      <c r="A158" s="3"/>
      <c r="B158" s="3"/>
    </row>
    <row r="159" spans="1:2" x14ac:dyDescent="0.2">
      <c r="A159" s="3"/>
      <c r="B159" s="3"/>
    </row>
    <row r="160" spans="1:2" x14ac:dyDescent="0.2">
      <c r="A160" s="3"/>
      <c r="B160" s="3"/>
    </row>
    <row r="161" spans="1:2" x14ac:dyDescent="0.2">
      <c r="A161" s="3"/>
      <c r="B161" s="3"/>
    </row>
    <row r="162" spans="1:2" x14ac:dyDescent="0.2">
      <c r="A162" s="3"/>
      <c r="B162" s="3"/>
    </row>
    <row r="163" spans="1:2" x14ac:dyDescent="0.2">
      <c r="A163" s="3"/>
      <c r="B163" s="3"/>
    </row>
    <row r="164" spans="1:2" x14ac:dyDescent="0.2">
      <c r="A164" s="3"/>
      <c r="B164" s="3"/>
    </row>
    <row r="165" spans="1:2" x14ac:dyDescent="0.2">
      <c r="A165" s="3"/>
      <c r="B165" s="3"/>
    </row>
    <row r="166" spans="1:2" x14ac:dyDescent="0.2">
      <c r="A166" s="3"/>
      <c r="B166" s="3"/>
    </row>
    <row r="167" spans="1:2" x14ac:dyDescent="0.2">
      <c r="A167" s="3"/>
      <c r="B167" s="3"/>
    </row>
    <row r="168" spans="1:2" x14ac:dyDescent="0.2">
      <c r="A168" s="3"/>
      <c r="B168" s="3"/>
    </row>
    <row r="169" spans="1:2" x14ac:dyDescent="0.2">
      <c r="A169" s="3"/>
      <c r="B169" s="3"/>
    </row>
    <row r="170" spans="1:2" x14ac:dyDescent="0.2">
      <c r="A170" s="3"/>
      <c r="B170" s="3"/>
    </row>
    <row r="171" spans="1:2" x14ac:dyDescent="0.2">
      <c r="A171" s="3"/>
      <c r="B171" s="3"/>
    </row>
    <row r="172" spans="1:2" x14ac:dyDescent="0.2">
      <c r="A172" s="3"/>
      <c r="B172" s="3"/>
    </row>
    <row r="173" spans="1:2" x14ac:dyDescent="0.2">
      <c r="A173" s="3"/>
      <c r="B173" s="3"/>
    </row>
    <row r="174" spans="1:2" x14ac:dyDescent="0.2">
      <c r="A174" s="3"/>
      <c r="B174" s="3"/>
    </row>
    <row r="175" spans="1:2" x14ac:dyDescent="0.2">
      <c r="A175" s="3"/>
      <c r="B175" s="3"/>
    </row>
    <row r="176" spans="1:2" x14ac:dyDescent="0.2">
      <c r="A176" s="3"/>
      <c r="B176" s="3"/>
    </row>
    <row r="177" spans="1:2" x14ac:dyDescent="0.2">
      <c r="A177" s="3"/>
      <c r="B177" s="3"/>
    </row>
    <row r="178" spans="1:2" x14ac:dyDescent="0.2">
      <c r="A178" s="3"/>
      <c r="B178" s="3"/>
    </row>
    <row r="179" spans="1:2" x14ac:dyDescent="0.2">
      <c r="A179" s="3"/>
      <c r="B179" s="3"/>
    </row>
    <row r="180" spans="1:2" x14ac:dyDescent="0.2">
      <c r="A180" s="3"/>
      <c r="B180" s="3"/>
    </row>
    <row r="181" spans="1:2" x14ac:dyDescent="0.2">
      <c r="A181" s="3"/>
      <c r="B181" s="3"/>
    </row>
    <row r="182" spans="1:2" x14ac:dyDescent="0.2">
      <c r="A182" s="3"/>
      <c r="B182" s="3"/>
    </row>
    <row r="183" spans="1:2" x14ac:dyDescent="0.2">
      <c r="A183" s="3"/>
      <c r="B183" s="3"/>
    </row>
    <row r="184" spans="1:2" x14ac:dyDescent="0.2">
      <c r="A184" s="3"/>
      <c r="B184" s="3"/>
    </row>
    <row r="185" spans="1:2" x14ac:dyDescent="0.2">
      <c r="A185" s="3"/>
      <c r="B185" s="3"/>
    </row>
    <row r="186" spans="1:2" x14ac:dyDescent="0.2">
      <c r="A186" s="3"/>
      <c r="B186" s="3"/>
    </row>
    <row r="187" spans="1:2" x14ac:dyDescent="0.2">
      <c r="A187" s="3"/>
      <c r="B187" s="3"/>
    </row>
    <row r="188" spans="1:2" x14ac:dyDescent="0.2">
      <c r="A188" s="3"/>
      <c r="B188" s="3"/>
    </row>
    <row r="189" spans="1:2" x14ac:dyDescent="0.2">
      <c r="A189" s="3"/>
      <c r="B189" s="3"/>
    </row>
    <row r="190" spans="1:2" x14ac:dyDescent="0.2">
      <c r="A190" s="3"/>
      <c r="B190" s="3"/>
    </row>
    <row r="191" spans="1:2" x14ac:dyDescent="0.2">
      <c r="A191" s="3"/>
      <c r="B191" s="3"/>
    </row>
    <row r="192" spans="1:2" x14ac:dyDescent="0.2">
      <c r="A192" s="3"/>
      <c r="B192" s="3"/>
    </row>
    <row r="193" spans="1:2" x14ac:dyDescent="0.2">
      <c r="A193" s="3"/>
      <c r="B193" s="3"/>
    </row>
    <row r="194" spans="1:2" x14ac:dyDescent="0.2">
      <c r="A194" s="3"/>
      <c r="B194" s="3"/>
    </row>
    <row r="195" spans="1:2" x14ac:dyDescent="0.2">
      <c r="A195" s="3"/>
      <c r="B195" s="3"/>
    </row>
    <row r="196" spans="1:2" x14ac:dyDescent="0.2">
      <c r="A196" s="3"/>
      <c r="B196" s="3"/>
    </row>
    <row r="197" spans="1:2" x14ac:dyDescent="0.2">
      <c r="A197" s="3"/>
      <c r="B197" s="3"/>
    </row>
    <row r="198" spans="1:2" x14ac:dyDescent="0.2">
      <c r="A198" s="3"/>
      <c r="B198" s="3"/>
    </row>
    <row r="199" spans="1:2" x14ac:dyDescent="0.2">
      <c r="A199" s="3"/>
      <c r="B199" s="3"/>
    </row>
    <row r="200" spans="1:2" x14ac:dyDescent="0.2">
      <c r="A200" s="3"/>
      <c r="B200" s="3"/>
    </row>
    <row r="201" spans="1:2" x14ac:dyDescent="0.2">
      <c r="A201" s="3"/>
      <c r="B201" s="3"/>
    </row>
    <row r="202" spans="1:2" x14ac:dyDescent="0.2">
      <c r="A202" s="3"/>
      <c r="B202" s="3"/>
    </row>
    <row r="203" spans="1:2" x14ac:dyDescent="0.2">
      <c r="A203" s="3"/>
      <c r="B203" s="3"/>
    </row>
    <row r="204" spans="1:2" x14ac:dyDescent="0.2">
      <c r="A204" s="3"/>
      <c r="B204" s="3"/>
    </row>
    <row r="205" spans="1:2" x14ac:dyDescent="0.2">
      <c r="A205" s="3"/>
      <c r="B205" s="3"/>
    </row>
    <row r="206" spans="1:2" x14ac:dyDescent="0.2">
      <c r="A206" s="3"/>
      <c r="B206" s="3"/>
    </row>
    <row r="207" spans="1:2" x14ac:dyDescent="0.2">
      <c r="A207" s="3"/>
      <c r="B207" s="3"/>
    </row>
    <row r="208" spans="1:2" x14ac:dyDescent="0.2">
      <c r="A208" s="3"/>
      <c r="B208" s="3"/>
    </row>
    <row r="209" spans="1:2" x14ac:dyDescent="0.2">
      <c r="A209" s="3"/>
      <c r="B209" s="3"/>
    </row>
    <row r="210" spans="1:2" x14ac:dyDescent="0.2">
      <c r="A210" s="3"/>
      <c r="B210" s="3"/>
    </row>
    <row r="211" spans="1:2" x14ac:dyDescent="0.2">
      <c r="A211" s="3"/>
      <c r="B211" s="3"/>
    </row>
    <row r="212" spans="1:2" x14ac:dyDescent="0.2">
      <c r="A212" s="3"/>
      <c r="B212" s="3"/>
    </row>
    <row r="213" spans="1:2" x14ac:dyDescent="0.2">
      <c r="A213" s="3"/>
      <c r="B213" s="3"/>
    </row>
    <row r="214" spans="1:2" x14ac:dyDescent="0.2">
      <c r="A214" s="3"/>
      <c r="B214" s="3"/>
    </row>
    <row r="215" spans="1:2" x14ac:dyDescent="0.2">
      <c r="A215" s="3"/>
      <c r="B215" s="3"/>
    </row>
    <row r="216" spans="1:2" x14ac:dyDescent="0.2">
      <c r="A216" s="3"/>
      <c r="B216" s="3"/>
    </row>
    <row r="217" spans="1:2" x14ac:dyDescent="0.2">
      <c r="A217" s="3"/>
      <c r="B217" s="3"/>
    </row>
    <row r="218" spans="1:2" x14ac:dyDescent="0.2">
      <c r="A218" s="3"/>
      <c r="B218" s="3"/>
    </row>
    <row r="219" spans="1:2" x14ac:dyDescent="0.2">
      <c r="A219" s="3"/>
      <c r="B219" s="3"/>
    </row>
    <row r="220" spans="1:2" x14ac:dyDescent="0.2">
      <c r="A220" s="3"/>
      <c r="B220" s="3"/>
    </row>
    <row r="221" spans="1:2" x14ac:dyDescent="0.2">
      <c r="A221" s="3"/>
      <c r="B221" s="3"/>
    </row>
    <row r="222" spans="1:2" x14ac:dyDescent="0.2">
      <c r="A222" s="3"/>
      <c r="B222" s="3"/>
    </row>
    <row r="223" spans="1:2" x14ac:dyDescent="0.2">
      <c r="A223" s="3"/>
      <c r="B223" s="3"/>
    </row>
    <row r="224" spans="1:2" x14ac:dyDescent="0.2">
      <c r="A224" s="3"/>
      <c r="B224" s="3"/>
    </row>
    <row r="225" spans="1:2" x14ac:dyDescent="0.2">
      <c r="A225" s="3"/>
      <c r="B225" s="3"/>
    </row>
    <row r="226" spans="1:2" x14ac:dyDescent="0.2">
      <c r="A226" s="3"/>
      <c r="B226" s="3"/>
    </row>
    <row r="227" spans="1:2" x14ac:dyDescent="0.2">
      <c r="A227" s="3"/>
      <c r="B227" s="3"/>
    </row>
    <row r="228" spans="1:2" x14ac:dyDescent="0.2">
      <c r="A228" s="3"/>
      <c r="B228" s="3"/>
    </row>
    <row r="229" spans="1:2" x14ac:dyDescent="0.2">
      <c r="A229" s="3"/>
      <c r="B229" s="3"/>
    </row>
    <row r="230" spans="1:2" x14ac:dyDescent="0.2">
      <c r="A230" s="3"/>
      <c r="B230" s="3"/>
    </row>
    <row r="231" spans="1:2" x14ac:dyDescent="0.2">
      <c r="A231" s="3"/>
      <c r="B231" s="3"/>
    </row>
    <row r="232" spans="1:2" x14ac:dyDescent="0.2">
      <c r="A232" s="3"/>
      <c r="B232" s="3"/>
    </row>
    <row r="233" spans="1:2" x14ac:dyDescent="0.2">
      <c r="A233" s="3"/>
      <c r="B233" s="3"/>
    </row>
    <row r="234" spans="1:2" x14ac:dyDescent="0.2">
      <c r="A234" s="3"/>
      <c r="B234" s="3"/>
    </row>
    <row r="235" spans="1:2" x14ac:dyDescent="0.2">
      <c r="A235" s="3"/>
      <c r="B235" s="3"/>
    </row>
  </sheetData>
  <mergeCells count="141">
    <mergeCell ref="C110:D110"/>
    <mergeCell ref="I110:J110"/>
    <mergeCell ref="C111:D111"/>
    <mergeCell ref="I111:J111"/>
    <mergeCell ref="U89:V89"/>
    <mergeCell ref="U94:V94"/>
    <mergeCell ref="U7:V7"/>
    <mergeCell ref="U17:V17"/>
    <mergeCell ref="U25:V25"/>
    <mergeCell ref="U28:V28"/>
    <mergeCell ref="U32:V32"/>
    <mergeCell ref="U59:V59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AB94:AC94"/>
    <mergeCell ref="C96:D96"/>
    <mergeCell ref="I96:J96"/>
    <mergeCell ref="C97:D97"/>
    <mergeCell ref="I97:J97"/>
    <mergeCell ref="C98:D98"/>
    <mergeCell ref="I98:J98"/>
    <mergeCell ref="C99:D99"/>
    <mergeCell ref="I99:J99"/>
    <mergeCell ref="W94:X94"/>
    <mergeCell ref="C94:D94"/>
    <mergeCell ref="E94:F94"/>
    <mergeCell ref="G94:H94"/>
    <mergeCell ref="I94:J94"/>
    <mergeCell ref="K94:L94"/>
    <mergeCell ref="M94:N94"/>
    <mergeCell ref="AB59:AC59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AB89:AC89"/>
    <mergeCell ref="W89:X89"/>
    <mergeCell ref="W59:X59"/>
    <mergeCell ref="C59:D59"/>
    <mergeCell ref="E59:F59"/>
    <mergeCell ref="G59:H59"/>
    <mergeCell ref="I59:J59"/>
    <mergeCell ref="K59:L59"/>
    <mergeCell ref="M59:N59"/>
    <mergeCell ref="O59:P59"/>
    <mergeCell ref="Q59:R59"/>
    <mergeCell ref="Y59:Z59"/>
    <mergeCell ref="Y89:Z89"/>
    <mergeCell ref="AB28:AC28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AB32:AC32"/>
    <mergeCell ref="W28:X28"/>
    <mergeCell ref="W32:X32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Y28:Z28"/>
    <mergeCell ref="Y32:Z32"/>
    <mergeCell ref="AB25:AC25"/>
    <mergeCell ref="C26:D26"/>
    <mergeCell ref="E26:F26"/>
    <mergeCell ref="G26:H26"/>
    <mergeCell ref="I26:J26"/>
    <mergeCell ref="C27:D27"/>
    <mergeCell ref="E27:F27"/>
    <mergeCell ref="G27:H27"/>
    <mergeCell ref="I27:J27"/>
    <mergeCell ref="W25:X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Y25:Z25"/>
    <mergeCell ref="AB7:AC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AB17:AC17"/>
    <mergeCell ref="W7:X7"/>
    <mergeCell ref="W17:X17"/>
    <mergeCell ref="Y7:Z7"/>
    <mergeCell ref="Y17:Z17"/>
    <mergeCell ref="Y94:Z94"/>
    <mergeCell ref="I7:J7"/>
    <mergeCell ref="K7:L7"/>
    <mergeCell ref="M7:N7"/>
    <mergeCell ref="O7:P7"/>
    <mergeCell ref="Q7:R7"/>
    <mergeCell ref="S7:T7"/>
    <mergeCell ref="S59:T59"/>
    <mergeCell ref="O94:P94"/>
    <mergeCell ref="Q94:R94"/>
    <mergeCell ref="S94:T94"/>
  </mergeCells>
  <printOptions horizontalCentered="1"/>
  <pageMargins left="0.5" right="0.5" top="0.5" bottom="0.5" header="0.5" footer="0.5"/>
  <pageSetup scale="66" orientation="landscape" r:id="rId1"/>
  <headerFooter alignWithMargins="0">
    <oddFooter>&amp;R&amp;P of &amp;N
&amp;8&amp;D</oddFooter>
  </headerFooter>
  <rowBreaks count="1" manualBreakCount="1">
    <brk id="54" max="20" man="1"/>
  </rowBreaks>
  <colBreaks count="1" manualBreakCount="1">
    <brk id="30" max="1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7"/>
  <sheetViews>
    <sheetView view="pageBreakPreview" zoomScaleNormal="100" workbookViewId="0">
      <pane xSplit="2" ySplit="1" topLeftCell="C2" activePane="bottomRight" state="frozen"/>
      <selection activeCell="AF81" sqref="AF81"/>
      <selection pane="topRight" activeCell="AF81" sqref="AF81"/>
      <selection pane="bottomLeft" activeCell="AF81" sqref="AF81"/>
      <selection pane="bottomRight" activeCell="AF81" sqref="AF81"/>
    </sheetView>
  </sheetViews>
  <sheetFormatPr defaultColWidth="10.28515625" defaultRowHeight="12.75" x14ac:dyDescent="0.2"/>
  <cols>
    <col min="1" max="1" width="3.7109375" customWidth="1"/>
    <col min="2" max="2" width="29.7109375" customWidth="1"/>
    <col min="3" max="3" width="7.7109375" hidden="1" customWidth="1"/>
    <col min="4" max="4" width="10.85546875" hidden="1" customWidth="1"/>
    <col min="5" max="5" width="7.7109375" hidden="1" customWidth="1"/>
    <col min="6" max="6" width="10.85546875" hidden="1" customWidth="1"/>
    <col min="7" max="7" width="7.7109375" style="115" hidden="1" customWidth="1"/>
    <col min="8" max="8" width="10.85546875" style="115" hidden="1" customWidth="1"/>
    <col min="9" max="9" width="7.7109375" style="115" hidden="1" customWidth="1"/>
    <col min="10" max="10" width="10.85546875" style="115" hidden="1" customWidth="1"/>
    <col min="11" max="11" width="7.7109375" hidden="1" customWidth="1"/>
    <col min="12" max="12" width="10.85546875" hidden="1" customWidth="1"/>
    <col min="13" max="13" width="7.7109375" hidden="1" customWidth="1"/>
    <col min="14" max="14" width="10.85546875" hidden="1" customWidth="1"/>
    <col min="15" max="15" width="7.7109375" customWidth="1"/>
    <col min="16" max="16" width="10.85546875" customWidth="1"/>
    <col min="17" max="17" width="7.7109375" customWidth="1"/>
    <col min="18" max="18" width="10.85546875" customWidth="1"/>
    <col min="19" max="19" width="7.7109375" customWidth="1"/>
    <col min="20" max="20" width="10.85546875" customWidth="1"/>
    <col min="21" max="21" width="7.7109375" customWidth="1"/>
    <col min="22" max="22" width="10.85546875" customWidth="1"/>
    <col min="23" max="23" width="7.7109375" customWidth="1"/>
    <col min="24" max="24" width="10.85546875" customWidth="1"/>
    <col min="25" max="25" width="7.7109375" customWidth="1"/>
    <col min="26" max="26" width="10.85546875" customWidth="1"/>
    <col min="27" max="27" width="1.85546875" customWidth="1"/>
    <col min="28" max="28" width="7.7109375" customWidth="1"/>
    <col min="29" max="29" width="10.85546875" customWidth="1"/>
    <col min="30" max="30" width="1.7109375" customWidth="1"/>
  </cols>
  <sheetData>
    <row r="1" spans="1:31" ht="18" x14ac:dyDescent="0.25">
      <c r="A1" s="1183" t="str">
        <f>Dean_AS!A1</f>
        <v>Department Profile Report - FY 2015</v>
      </c>
      <c r="B1" s="1183"/>
      <c r="C1" s="1183"/>
      <c r="D1" s="1183"/>
      <c r="E1" s="1183"/>
      <c r="F1" s="1183"/>
      <c r="G1" s="1183"/>
      <c r="H1" s="1183"/>
      <c r="I1" s="1181"/>
      <c r="J1" s="1181"/>
      <c r="K1" s="1182"/>
      <c r="L1" s="1182"/>
      <c r="M1" s="1182"/>
      <c r="N1" s="1182"/>
      <c r="O1" s="1182"/>
      <c r="P1" s="1182"/>
      <c r="Q1" s="1182"/>
      <c r="R1" s="1182"/>
      <c r="S1" s="1182"/>
      <c r="T1" s="1182"/>
      <c r="U1" s="1182"/>
      <c r="V1" s="1182"/>
      <c r="W1" s="1182"/>
      <c r="X1" s="1182"/>
      <c r="Y1" s="1182"/>
      <c r="Z1" s="1182"/>
      <c r="AA1" s="1182"/>
      <c r="AB1" s="1182"/>
      <c r="AC1" s="1182"/>
    </row>
    <row r="2" spans="1:31" x14ac:dyDescent="0.2">
      <c r="A2" s="3"/>
      <c r="B2" s="3"/>
      <c r="C2" s="3"/>
      <c r="D2" s="3"/>
      <c r="E2" s="3"/>
      <c r="F2" s="3"/>
      <c r="G2" s="117"/>
      <c r="H2" s="117"/>
      <c r="I2" s="117"/>
      <c r="J2" s="117"/>
    </row>
    <row r="3" spans="1:31" x14ac:dyDescent="0.2">
      <c r="A3" s="2" t="s">
        <v>19</v>
      </c>
      <c r="B3" s="117"/>
      <c r="C3" s="3"/>
      <c r="D3" s="3"/>
      <c r="E3" s="3"/>
      <c r="F3" s="3"/>
      <c r="G3" s="117"/>
      <c r="H3" s="117"/>
      <c r="I3" s="117"/>
      <c r="J3" s="117"/>
    </row>
    <row r="4" spans="1:31" x14ac:dyDescent="0.2">
      <c r="A4" s="3"/>
      <c r="B4" s="3"/>
      <c r="C4" s="3"/>
      <c r="D4" s="3"/>
      <c r="E4" s="3"/>
      <c r="F4" s="3"/>
      <c r="G4" s="117"/>
      <c r="H4" s="117"/>
      <c r="I4" s="117"/>
      <c r="J4" s="117"/>
    </row>
    <row r="5" spans="1:31" x14ac:dyDescent="0.2">
      <c r="A5" s="2" t="s">
        <v>77</v>
      </c>
      <c r="B5" s="3"/>
      <c r="C5" s="3"/>
      <c r="D5" s="3"/>
      <c r="E5" s="3"/>
      <c r="F5" s="3"/>
      <c r="G5" s="117"/>
      <c r="H5" s="117"/>
      <c r="I5" s="117"/>
      <c r="J5" s="117"/>
      <c r="T5" s="617"/>
      <c r="V5" s="617"/>
      <c r="X5" s="617"/>
      <c r="Z5" s="617"/>
    </row>
    <row r="6" spans="1:31" ht="13.5" thickBot="1" x14ac:dyDescent="0.25">
      <c r="A6" s="2"/>
      <c r="B6" s="3"/>
      <c r="C6" s="3"/>
      <c r="D6" s="3"/>
      <c r="E6" s="3"/>
      <c r="F6" s="3"/>
      <c r="G6" s="117"/>
      <c r="H6" s="117"/>
      <c r="I6" s="117"/>
      <c r="J6" s="117"/>
    </row>
    <row r="7" spans="1:31" ht="14.25" thickTop="1" thickBot="1" x14ac:dyDescent="0.25">
      <c r="A7" s="3"/>
      <c r="B7" s="22"/>
      <c r="C7" s="29" t="s">
        <v>49</v>
      </c>
      <c r="D7" s="51"/>
      <c r="E7" s="29" t="s">
        <v>50</v>
      </c>
      <c r="F7" s="7"/>
      <c r="G7" s="302" t="s">
        <v>141</v>
      </c>
      <c r="H7" s="121"/>
      <c r="I7" s="1968" t="s">
        <v>152</v>
      </c>
      <c r="J7" s="1980"/>
      <c r="K7" s="1968" t="s">
        <v>154</v>
      </c>
      <c r="L7" s="1968"/>
      <c r="M7" s="1994" t="s">
        <v>171</v>
      </c>
      <c r="N7" s="1980"/>
      <c r="O7" s="1968" t="s">
        <v>227</v>
      </c>
      <c r="P7" s="1980"/>
      <c r="Q7" s="1968" t="s">
        <v>237</v>
      </c>
      <c r="R7" s="1980"/>
      <c r="S7" s="1968" t="s">
        <v>272</v>
      </c>
      <c r="T7" s="1980"/>
      <c r="U7" s="1968" t="s">
        <v>274</v>
      </c>
      <c r="V7" s="1980"/>
      <c r="W7" s="1968" t="s">
        <v>280</v>
      </c>
      <c r="X7" s="1980"/>
      <c r="Y7" s="1968" t="s">
        <v>290</v>
      </c>
      <c r="Z7" s="1969"/>
      <c r="AB7" s="2003" t="s">
        <v>213</v>
      </c>
      <c r="AC7" s="2004"/>
    </row>
    <row r="8" spans="1:31" x14ac:dyDescent="0.2">
      <c r="A8" s="3"/>
      <c r="B8" s="71"/>
      <c r="C8" s="42" t="s">
        <v>1</v>
      </c>
      <c r="D8" s="47" t="s">
        <v>2</v>
      </c>
      <c r="E8" s="42" t="s">
        <v>1</v>
      </c>
      <c r="F8" s="8" t="s">
        <v>2</v>
      </c>
      <c r="G8" s="303" t="s">
        <v>1</v>
      </c>
      <c r="H8" s="125" t="s">
        <v>2</v>
      </c>
      <c r="I8" s="124" t="s">
        <v>1</v>
      </c>
      <c r="J8" s="125" t="s">
        <v>2</v>
      </c>
      <c r="K8" s="124" t="s">
        <v>1</v>
      </c>
      <c r="L8" s="300" t="s">
        <v>2</v>
      </c>
      <c r="M8" s="303" t="s">
        <v>1</v>
      </c>
      <c r="N8" s="125" t="s">
        <v>2</v>
      </c>
      <c r="O8" s="124" t="s">
        <v>1</v>
      </c>
      <c r="P8" s="125" t="s">
        <v>2</v>
      </c>
      <c r="Q8" s="124" t="s">
        <v>1</v>
      </c>
      <c r="R8" s="125" t="s">
        <v>2</v>
      </c>
      <c r="S8" s="124" t="s">
        <v>1</v>
      </c>
      <c r="T8" s="125" t="s">
        <v>2</v>
      </c>
      <c r="U8" s="124" t="s">
        <v>1</v>
      </c>
      <c r="V8" s="125" t="s">
        <v>2</v>
      </c>
      <c r="W8" s="124" t="s">
        <v>1</v>
      </c>
      <c r="X8" s="125" t="s">
        <v>2</v>
      </c>
      <c r="Y8" s="124" t="s">
        <v>1</v>
      </c>
      <c r="Z8" s="126" t="s">
        <v>2</v>
      </c>
      <c r="AB8" s="921" t="s">
        <v>214</v>
      </c>
      <c r="AC8" s="922" t="s">
        <v>215</v>
      </c>
    </row>
    <row r="9" spans="1:31" ht="13.5" thickBot="1" x14ac:dyDescent="0.25">
      <c r="A9" s="3"/>
      <c r="B9" s="72"/>
      <c r="C9" s="46" t="s">
        <v>3</v>
      </c>
      <c r="D9" s="48" t="s">
        <v>4</v>
      </c>
      <c r="E9" s="46" t="s">
        <v>3</v>
      </c>
      <c r="F9" s="26" t="s">
        <v>4</v>
      </c>
      <c r="G9" s="304" t="s">
        <v>3</v>
      </c>
      <c r="H9" s="123" t="s">
        <v>4</v>
      </c>
      <c r="I9" s="127" t="s">
        <v>3</v>
      </c>
      <c r="J9" s="123" t="s">
        <v>4</v>
      </c>
      <c r="K9" s="127" t="s">
        <v>3</v>
      </c>
      <c r="L9" s="301" t="s">
        <v>4</v>
      </c>
      <c r="M9" s="304" t="s">
        <v>3</v>
      </c>
      <c r="N9" s="123" t="s">
        <v>4</v>
      </c>
      <c r="O9" s="127" t="s">
        <v>3</v>
      </c>
      <c r="P9" s="123" t="s">
        <v>4</v>
      </c>
      <c r="Q9" s="127" t="s">
        <v>3</v>
      </c>
      <c r="R9" s="123" t="s">
        <v>4</v>
      </c>
      <c r="S9" s="127" t="s">
        <v>3</v>
      </c>
      <c r="T9" s="123" t="s">
        <v>4</v>
      </c>
      <c r="U9" s="127" t="s">
        <v>3</v>
      </c>
      <c r="V9" s="123" t="s">
        <v>4</v>
      </c>
      <c r="W9" s="127" t="s">
        <v>3</v>
      </c>
      <c r="X9" s="123" t="s">
        <v>4</v>
      </c>
      <c r="Y9" s="127" t="s">
        <v>3</v>
      </c>
      <c r="Z9" s="128" t="s">
        <v>4</v>
      </c>
      <c r="AB9" s="923" t="s">
        <v>3</v>
      </c>
      <c r="AC9" s="924" t="s">
        <v>4</v>
      </c>
    </row>
    <row r="10" spans="1:31" x14ac:dyDescent="0.2">
      <c r="A10" s="3"/>
      <c r="B10" s="73" t="s">
        <v>5</v>
      </c>
      <c r="C10" s="15"/>
      <c r="D10" s="49"/>
      <c r="E10" s="15"/>
      <c r="F10" s="13"/>
      <c r="G10" s="305"/>
      <c r="H10" s="131"/>
      <c r="I10" s="130"/>
      <c r="J10" s="131"/>
      <c r="K10" s="130"/>
      <c r="L10" s="150"/>
      <c r="M10" s="305"/>
      <c r="N10" s="131"/>
      <c r="O10" s="130"/>
      <c r="P10" s="131"/>
      <c r="Q10" s="130"/>
      <c r="R10" s="131"/>
      <c r="S10" s="130"/>
      <c r="T10" s="131"/>
      <c r="U10" s="130"/>
      <c r="V10" s="131"/>
      <c r="W10" s="130"/>
      <c r="X10" s="131"/>
      <c r="Y10" s="130"/>
      <c r="Z10" s="296"/>
      <c r="AB10" s="925"/>
      <c r="AC10" s="581"/>
    </row>
    <row r="11" spans="1:31" x14ac:dyDescent="0.2">
      <c r="A11" s="3"/>
      <c r="B11" s="74" t="s">
        <v>33</v>
      </c>
      <c r="C11" s="14"/>
      <c r="D11" s="50"/>
      <c r="E11" s="14"/>
      <c r="F11" s="9"/>
      <c r="G11" s="318"/>
      <c r="H11" s="405"/>
      <c r="I11" s="404"/>
      <c r="J11" s="405"/>
      <c r="K11" s="404"/>
      <c r="L11" s="129"/>
      <c r="M11" s="318"/>
      <c r="N11" s="405"/>
      <c r="O11" s="404"/>
      <c r="P11" s="405"/>
      <c r="Q11" s="404"/>
      <c r="R11" s="405"/>
      <c r="S11" s="404"/>
      <c r="T11" s="405"/>
      <c r="U11" s="404"/>
      <c r="V11" s="405"/>
      <c r="W11" s="404"/>
      <c r="X11" s="405"/>
      <c r="Y11" s="404"/>
      <c r="Z11" s="291"/>
      <c r="AB11" s="926"/>
      <c r="AC11" s="927"/>
    </row>
    <row r="12" spans="1:31" s="617" customFormat="1" x14ac:dyDescent="0.2">
      <c r="A12" s="618"/>
      <c r="B12" s="654" t="s">
        <v>221</v>
      </c>
      <c r="C12" s="693">
        <v>69</v>
      </c>
      <c r="D12" s="694">
        <f>13+2</f>
        <v>15</v>
      </c>
      <c r="E12" s="693">
        <f>70+11</f>
        <v>81</v>
      </c>
      <c r="F12" s="695">
        <v>18</v>
      </c>
      <c r="G12" s="649">
        <v>90</v>
      </c>
      <c r="H12" s="696">
        <f>18+5</f>
        <v>23</v>
      </c>
      <c r="I12" s="650">
        <f>82+18</f>
        <v>100</v>
      </c>
      <c r="J12" s="696">
        <f>28+1</f>
        <v>29</v>
      </c>
      <c r="K12" s="650">
        <v>138</v>
      </c>
      <c r="L12" s="665">
        <f>26+6</f>
        <v>32</v>
      </c>
      <c r="M12" s="649">
        <f>113+15</f>
        <v>128</v>
      </c>
      <c r="N12" s="663">
        <v>44</v>
      </c>
      <c r="O12" s="650">
        <v>137</v>
      </c>
      <c r="P12" s="663">
        <f>29+4</f>
        <v>33</v>
      </c>
      <c r="Q12" s="650">
        <v>125</v>
      </c>
      <c r="R12" s="663">
        <v>24</v>
      </c>
      <c r="S12" s="650">
        <v>136</v>
      </c>
      <c r="T12" s="663">
        <v>32</v>
      </c>
      <c r="U12" s="650">
        <f>134+2</f>
        <v>136</v>
      </c>
      <c r="V12" s="663">
        <v>31</v>
      </c>
      <c r="W12" s="650">
        <v>157</v>
      </c>
      <c r="X12" s="663">
        <v>54</v>
      </c>
      <c r="Y12" s="650">
        <v>161</v>
      </c>
      <c r="Z12" s="1646"/>
      <c r="AB12" s="926">
        <f>AVERAGE(W12,U12,Q12,S12,Y12)</f>
        <v>143</v>
      </c>
      <c r="AC12" s="928">
        <f>AVERAGE(X12,V12,R12,T12,P12)</f>
        <v>34.799999999999997</v>
      </c>
    </row>
    <row r="13" spans="1:31" s="617" customFormat="1" x14ac:dyDescent="0.2">
      <c r="A13" s="618"/>
      <c r="B13" s="669" t="s">
        <v>80</v>
      </c>
      <c r="C13" s="650">
        <v>8</v>
      </c>
      <c r="D13" s="694">
        <f>4+11+19</f>
        <v>34</v>
      </c>
      <c r="E13" s="693">
        <v>20</v>
      </c>
      <c r="F13" s="695">
        <v>54</v>
      </c>
      <c r="G13" s="649">
        <v>24</v>
      </c>
      <c r="H13" s="696">
        <v>66</v>
      </c>
      <c r="I13" s="650">
        <v>17</v>
      </c>
      <c r="J13" s="696">
        <v>82</v>
      </c>
      <c r="K13" s="650">
        <v>8</v>
      </c>
      <c r="L13" s="665">
        <v>92</v>
      </c>
      <c r="M13" s="649">
        <v>11</v>
      </c>
      <c r="N13" s="663">
        <v>93</v>
      </c>
      <c r="O13" s="650">
        <v>28</v>
      </c>
      <c r="P13" s="663">
        <v>72</v>
      </c>
      <c r="Q13" s="650">
        <v>38</v>
      </c>
      <c r="R13" s="663">
        <v>70</v>
      </c>
      <c r="S13" s="650">
        <v>48</v>
      </c>
      <c r="T13" s="663">
        <v>101</v>
      </c>
      <c r="U13" s="650">
        <v>42</v>
      </c>
      <c r="V13" s="663">
        <v>74</v>
      </c>
      <c r="W13" s="650">
        <v>41</v>
      </c>
      <c r="X13" s="663">
        <v>61</v>
      </c>
      <c r="Y13" s="650">
        <v>58</v>
      </c>
      <c r="Z13" s="1646"/>
      <c r="AB13" s="926">
        <f t="shared" ref="AB13:AB16" si="0">AVERAGE(W13,U13,Q13,S13,Y13)</f>
        <v>45.4</v>
      </c>
      <c r="AC13" s="928">
        <f t="shared" ref="AC13:AC16" si="1">AVERAGE(X13,V13,R13,T13,P13)</f>
        <v>75.599999999999994</v>
      </c>
    </row>
    <row r="14" spans="1:31" s="617" customFormat="1" x14ac:dyDescent="0.2">
      <c r="A14" s="618"/>
      <c r="B14" s="669" t="s">
        <v>167</v>
      </c>
      <c r="C14" s="693">
        <v>10</v>
      </c>
      <c r="D14" s="694">
        <v>7</v>
      </c>
      <c r="E14" s="693">
        <v>6</v>
      </c>
      <c r="F14" s="695">
        <v>4</v>
      </c>
      <c r="G14" s="649">
        <v>13</v>
      </c>
      <c r="H14" s="696">
        <v>5</v>
      </c>
      <c r="I14" s="650">
        <v>8</v>
      </c>
      <c r="J14" s="696">
        <v>6</v>
      </c>
      <c r="K14" s="650">
        <v>17</v>
      </c>
      <c r="L14" s="665">
        <v>6</v>
      </c>
      <c r="M14" s="649">
        <v>23</v>
      </c>
      <c r="N14" s="663">
        <v>9</v>
      </c>
      <c r="O14" s="650">
        <v>21</v>
      </c>
      <c r="P14" s="663">
        <v>8</v>
      </c>
      <c r="Q14" s="650">
        <v>17</v>
      </c>
      <c r="R14" s="663">
        <v>8</v>
      </c>
      <c r="S14" s="650">
        <v>16</v>
      </c>
      <c r="T14" s="663">
        <v>8</v>
      </c>
      <c r="U14" s="650">
        <v>12</v>
      </c>
      <c r="V14" s="663">
        <v>8</v>
      </c>
      <c r="W14" s="650">
        <v>13</v>
      </c>
      <c r="X14" s="663">
        <v>11</v>
      </c>
      <c r="Y14" s="650">
        <v>6</v>
      </c>
      <c r="Z14" s="1646"/>
      <c r="AB14" s="926">
        <f t="shared" si="0"/>
        <v>12.8</v>
      </c>
      <c r="AC14" s="928">
        <f t="shared" si="1"/>
        <v>8.6</v>
      </c>
    </row>
    <row r="15" spans="1:31" s="617" customFormat="1" x14ac:dyDescent="0.2">
      <c r="A15" s="618"/>
      <c r="B15" s="669" t="s">
        <v>239</v>
      </c>
      <c r="C15" s="672">
        <v>31</v>
      </c>
      <c r="D15" s="700">
        <v>6</v>
      </c>
      <c r="E15" s="672">
        <v>32</v>
      </c>
      <c r="F15" s="701">
        <v>6</v>
      </c>
      <c r="G15" s="649">
        <v>25</v>
      </c>
      <c r="H15" s="663">
        <v>7</v>
      </c>
      <c r="I15" s="650">
        <v>25</v>
      </c>
      <c r="J15" s="663">
        <v>2</v>
      </c>
      <c r="K15" s="650">
        <v>28</v>
      </c>
      <c r="L15" s="665">
        <f>4+1</f>
        <v>5</v>
      </c>
      <c r="M15" s="649">
        <f>47-19</f>
        <v>28</v>
      </c>
      <c r="N15" s="663">
        <v>11</v>
      </c>
      <c r="O15" s="650">
        <v>28</v>
      </c>
      <c r="P15" s="663">
        <v>4</v>
      </c>
      <c r="Q15" s="650">
        <v>31</v>
      </c>
      <c r="R15" s="663">
        <v>3</v>
      </c>
      <c r="S15" s="650">
        <v>30</v>
      </c>
      <c r="T15" s="663">
        <v>4</v>
      </c>
      <c r="U15" s="650">
        <v>31</v>
      </c>
      <c r="V15" s="663">
        <v>6</v>
      </c>
      <c r="W15" s="650">
        <v>26</v>
      </c>
      <c r="X15" s="663">
        <v>4</v>
      </c>
      <c r="Y15" s="650">
        <v>27</v>
      </c>
      <c r="Z15" s="1646"/>
      <c r="AB15" s="926">
        <f t="shared" si="0"/>
        <v>29</v>
      </c>
      <c r="AC15" s="928">
        <f t="shared" si="1"/>
        <v>4.2</v>
      </c>
    </row>
    <row r="16" spans="1:31" s="617" customFormat="1" ht="13.5" thickBot="1" x14ac:dyDescent="0.25">
      <c r="A16" s="618"/>
      <c r="B16" s="1550" t="s">
        <v>231</v>
      </c>
      <c r="C16" s="714">
        <v>32</v>
      </c>
      <c r="D16" s="763"/>
      <c r="E16" s="714">
        <v>30</v>
      </c>
      <c r="F16" s="764"/>
      <c r="G16" s="773">
        <v>27</v>
      </c>
      <c r="H16" s="765"/>
      <c r="I16" s="775">
        <v>20</v>
      </c>
      <c r="J16" s="765"/>
      <c r="K16" s="775">
        <v>16</v>
      </c>
      <c r="L16" s="769"/>
      <c r="M16" s="773">
        <v>19</v>
      </c>
      <c r="N16" s="716">
        <v>6</v>
      </c>
      <c r="O16" s="775">
        <v>18</v>
      </c>
      <c r="P16" s="716">
        <v>1</v>
      </c>
      <c r="Q16" s="775">
        <v>22</v>
      </c>
      <c r="R16" s="716">
        <v>0</v>
      </c>
      <c r="S16" s="775">
        <v>22</v>
      </c>
      <c r="T16" s="716">
        <v>3</v>
      </c>
      <c r="U16" s="775">
        <v>21</v>
      </c>
      <c r="V16" s="716">
        <v>3</v>
      </c>
      <c r="W16" s="775">
        <v>25</v>
      </c>
      <c r="X16" s="716">
        <v>3</v>
      </c>
      <c r="Y16" s="775">
        <v>27</v>
      </c>
      <c r="Z16" s="1648"/>
      <c r="AB16" s="929">
        <f t="shared" si="0"/>
        <v>23.4</v>
      </c>
      <c r="AC16" s="1019">
        <f t="shared" si="1"/>
        <v>2</v>
      </c>
      <c r="AE16" s="617" t="s">
        <v>29</v>
      </c>
    </row>
    <row r="17" spans="1:32" ht="13.5" thickTop="1" x14ac:dyDescent="0.2">
      <c r="A17" s="3"/>
      <c r="B17" s="70" t="s">
        <v>217</v>
      </c>
      <c r="C17" s="33"/>
      <c r="D17" s="34"/>
      <c r="E17" s="33"/>
      <c r="F17" s="34"/>
      <c r="G17" s="133"/>
      <c r="H17" s="135"/>
      <c r="I17" s="133"/>
      <c r="J17" s="135"/>
      <c r="K17" s="133"/>
      <c r="L17" s="135"/>
      <c r="M17" s="133"/>
      <c r="N17" s="135"/>
      <c r="O17" s="133"/>
      <c r="P17" s="135"/>
      <c r="Q17" s="133"/>
      <c r="R17" s="135"/>
      <c r="S17" s="133"/>
      <c r="T17" s="135"/>
      <c r="U17" s="133"/>
      <c r="V17" s="135"/>
      <c r="W17" s="133"/>
      <c r="X17" s="135"/>
      <c r="Y17" s="133"/>
      <c r="Z17" s="135"/>
      <c r="AB17" s="668"/>
      <c r="AC17" s="1551"/>
    </row>
    <row r="18" spans="1:32" x14ac:dyDescent="0.2">
      <c r="A18" s="3"/>
      <c r="B18" s="70" t="s">
        <v>170</v>
      </c>
      <c r="C18" s="33"/>
      <c r="D18" s="34"/>
      <c r="E18" s="33"/>
      <c r="F18" s="34"/>
      <c r="G18" s="133"/>
      <c r="H18" s="135"/>
      <c r="I18" s="133"/>
      <c r="J18" s="135"/>
      <c r="K18" s="133"/>
      <c r="L18" s="135"/>
      <c r="M18" s="133"/>
      <c r="N18" s="135"/>
      <c r="O18" s="133"/>
      <c r="P18" s="135"/>
      <c r="Q18" s="133"/>
      <c r="R18" s="135"/>
      <c r="S18" s="133"/>
      <c r="T18" s="135"/>
      <c r="U18" s="133"/>
      <c r="V18" s="135"/>
      <c r="W18" s="133"/>
      <c r="X18" s="135"/>
      <c r="Y18" s="133"/>
      <c r="Z18" s="135"/>
      <c r="AB18" s="668"/>
      <c r="AC18" s="494"/>
    </row>
    <row r="19" spans="1:32" ht="13.5" thickBot="1" x14ac:dyDescent="0.25">
      <c r="A19" s="3"/>
      <c r="B19" s="3"/>
      <c r="C19" s="3"/>
      <c r="D19" s="3"/>
      <c r="E19" s="3"/>
      <c r="F19" s="3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</row>
    <row r="20" spans="1:32" ht="14.25" thickTop="1" thickBot="1" x14ac:dyDescent="0.25">
      <c r="A20" s="3"/>
      <c r="B20" s="340"/>
      <c r="C20" s="2013" t="s">
        <v>49</v>
      </c>
      <c r="D20" s="2014"/>
      <c r="E20" s="2015" t="s">
        <v>50</v>
      </c>
      <c r="F20" s="2015"/>
      <c r="G20" s="2002" t="s">
        <v>141</v>
      </c>
      <c r="H20" s="1982"/>
      <c r="I20" s="1974" t="s">
        <v>152</v>
      </c>
      <c r="J20" s="1982"/>
      <c r="K20" s="1974" t="s">
        <v>154</v>
      </c>
      <c r="L20" s="1974"/>
      <c r="M20" s="2002" t="s">
        <v>171</v>
      </c>
      <c r="N20" s="1982"/>
      <c r="O20" s="1974" t="s">
        <v>227</v>
      </c>
      <c r="P20" s="1982"/>
      <c r="Q20" s="1974" t="s">
        <v>237</v>
      </c>
      <c r="R20" s="1982"/>
      <c r="S20" s="1974" t="s">
        <v>272</v>
      </c>
      <c r="T20" s="1982"/>
      <c r="U20" s="1974" t="s">
        <v>274</v>
      </c>
      <c r="V20" s="1982"/>
      <c r="W20" s="1974" t="s">
        <v>280</v>
      </c>
      <c r="X20" s="1982"/>
      <c r="Y20" s="1974" t="s">
        <v>290</v>
      </c>
      <c r="Z20" s="1975"/>
      <c r="AB20" s="2003" t="s">
        <v>213</v>
      </c>
      <c r="AC20" s="2004"/>
    </row>
    <row r="21" spans="1:32" x14ac:dyDescent="0.2">
      <c r="A21" s="3"/>
      <c r="B21" s="73" t="s">
        <v>7</v>
      </c>
      <c r="C21" s="54"/>
      <c r="D21" s="92"/>
      <c r="E21" s="30"/>
      <c r="F21" s="30"/>
      <c r="G21" s="243"/>
      <c r="H21" s="244"/>
      <c r="I21" s="138"/>
      <c r="J21" s="244"/>
      <c r="K21" s="138"/>
      <c r="L21" s="138"/>
      <c r="M21" s="243"/>
      <c r="N21" s="244"/>
      <c r="O21" s="138"/>
      <c r="P21" s="244"/>
      <c r="Q21" s="138"/>
      <c r="R21" s="244"/>
      <c r="S21" s="138"/>
      <c r="T21" s="244"/>
      <c r="U21" s="138"/>
      <c r="V21" s="244"/>
      <c r="W21" s="138"/>
      <c r="X21" s="244"/>
      <c r="Y21" s="138"/>
      <c r="Z21" s="140"/>
      <c r="AB21" s="831"/>
      <c r="AC21" s="930"/>
    </row>
    <row r="22" spans="1:32" x14ac:dyDescent="0.2">
      <c r="A22" s="3"/>
      <c r="B22" s="78" t="s">
        <v>8</v>
      </c>
      <c r="C22" s="184"/>
      <c r="D22" s="93"/>
      <c r="E22" s="31"/>
      <c r="F22" s="31"/>
      <c r="G22" s="239"/>
      <c r="H22" s="245"/>
      <c r="I22" s="139"/>
      <c r="J22" s="245"/>
      <c r="K22" s="139"/>
      <c r="L22" s="139"/>
      <c r="M22" s="239"/>
      <c r="N22" s="245"/>
      <c r="O22" s="139"/>
      <c r="P22" s="245"/>
      <c r="Q22" s="139"/>
      <c r="R22" s="245"/>
      <c r="S22" s="139"/>
      <c r="T22" s="245"/>
      <c r="U22" s="139"/>
      <c r="V22" s="245"/>
      <c r="W22" s="139"/>
      <c r="X22" s="245"/>
      <c r="Y22" s="139"/>
      <c r="Z22" s="141"/>
      <c r="AB22" s="831"/>
      <c r="AC22" s="930"/>
    </row>
    <row r="23" spans="1:32" x14ac:dyDescent="0.2">
      <c r="A23" s="3"/>
      <c r="B23" s="78" t="s">
        <v>9</v>
      </c>
      <c r="C23" s="184"/>
      <c r="D23" s="165">
        <v>12942</v>
      </c>
      <c r="E23" s="31"/>
      <c r="F23" s="171">
        <v>13620</v>
      </c>
      <c r="G23" s="239"/>
      <c r="H23" s="261">
        <v>12912</v>
      </c>
      <c r="I23" s="139"/>
      <c r="J23" s="261">
        <v>12912</v>
      </c>
      <c r="K23" s="139"/>
      <c r="L23" s="183">
        <v>12792</v>
      </c>
      <c r="M23" s="239"/>
      <c r="N23" s="261">
        <v>12258</v>
      </c>
      <c r="O23" s="139"/>
      <c r="P23" s="261">
        <v>12387</v>
      </c>
      <c r="Q23" s="139"/>
      <c r="R23" s="261">
        <v>12810</v>
      </c>
      <c r="S23" s="139"/>
      <c r="T23" s="261">
        <v>13071</v>
      </c>
      <c r="U23" s="139"/>
      <c r="V23" s="261">
        <v>13725</v>
      </c>
      <c r="W23" s="139"/>
      <c r="X23" s="261">
        <v>14328</v>
      </c>
      <c r="Y23" s="139"/>
      <c r="Z23" s="1649"/>
      <c r="AB23" s="24"/>
      <c r="AC23" s="947">
        <f t="shared" ref="AC23:AC27" si="2">AVERAGE(X23,V23,R23,T23,P23)</f>
        <v>13264.2</v>
      </c>
    </row>
    <row r="24" spans="1:32" x14ac:dyDescent="0.2">
      <c r="A24" s="3"/>
      <c r="B24" s="78" t="s">
        <v>10</v>
      </c>
      <c r="C24" s="184"/>
      <c r="D24" s="165">
        <v>6275</v>
      </c>
      <c r="E24" s="31"/>
      <c r="F24" s="171">
        <v>6108</v>
      </c>
      <c r="G24" s="239"/>
      <c r="H24" s="261">
        <v>5979</v>
      </c>
      <c r="I24" s="139"/>
      <c r="J24" s="261">
        <v>6271</v>
      </c>
      <c r="K24" s="139"/>
      <c r="L24" s="183">
        <v>6984</v>
      </c>
      <c r="M24" s="239"/>
      <c r="N24" s="261">
        <v>6481</v>
      </c>
      <c r="O24" s="139"/>
      <c r="P24" s="261">
        <v>5871</v>
      </c>
      <c r="Q24" s="139"/>
      <c r="R24" s="261">
        <v>6369</v>
      </c>
      <c r="S24" s="139"/>
      <c r="T24" s="261">
        <v>6171</v>
      </c>
      <c r="U24" s="139"/>
      <c r="V24" s="261">
        <v>7037</v>
      </c>
      <c r="W24" s="139"/>
      <c r="X24" s="261">
        <v>7379</v>
      </c>
      <c r="Y24" s="139"/>
      <c r="Z24" s="1649"/>
      <c r="AB24" s="12"/>
      <c r="AC24" s="947">
        <f t="shared" si="2"/>
        <v>6565.4</v>
      </c>
    </row>
    <row r="25" spans="1:32" x14ac:dyDescent="0.2">
      <c r="A25" s="3"/>
      <c r="B25" s="78" t="s">
        <v>11</v>
      </c>
      <c r="C25" s="184"/>
      <c r="D25" s="165">
        <v>469</v>
      </c>
      <c r="E25" s="31"/>
      <c r="F25" s="171">
        <v>414</v>
      </c>
      <c r="G25" s="239"/>
      <c r="H25" s="261">
        <v>514</v>
      </c>
      <c r="I25" s="139"/>
      <c r="J25" s="261">
        <v>374</v>
      </c>
      <c r="K25" s="139"/>
      <c r="L25" s="183">
        <v>583</v>
      </c>
      <c r="M25" s="239"/>
      <c r="N25" s="261">
        <v>528</v>
      </c>
      <c r="O25" s="139"/>
      <c r="P25" s="261">
        <v>597</v>
      </c>
      <c r="Q25" s="139"/>
      <c r="R25" s="261">
        <v>430</v>
      </c>
      <c r="S25" s="139"/>
      <c r="T25" s="261">
        <v>406</v>
      </c>
      <c r="U25" s="139"/>
      <c r="V25" s="261">
        <v>373</v>
      </c>
      <c r="W25" s="139"/>
      <c r="X25" s="261">
        <v>340</v>
      </c>
      <c r="Y25" s="139"/>
      <c r="Z25" s="1649"/>
      <c r="AB25" s="12"/>
      <c r="AC25" s="947">
        <f t="shared" si="2"/>
        <v>429.2</v>
      </c>
    </row>
    <row r="26" spans="1:32" x14ac:dyDescent="0.2">
      <c r="A26" s="3"/>
      <c r="B26" s="78" t="s">
        <v>12</v>
      </c>
      <c r="C26" s="184"/>
      <c r="D26" s="94">
        <v>492</v>
      </c>
      <c r="E26" s="31"/>
      <c r="F26" s="39">
        <v>451</v>
      </c>
      <c r="G26" s="239"/>
      <c r="H26" s="240">
        <v>307</v>
      </c>
      <c r="I26" s="139"/>
      <c r="J26" s="240">
        <v>376</v>
      </c>
      <c r="K26" s="139"/>
      <c r="L26" s="241">
        <v>323</v>
      </c>
      <c r="M26" s="239"/>
      <c r="N26" s="240">
        <v>468</v>
      </c>
      <c r="O26" s="139"/>
      <c r="P26" s="240">
        <v>359</v>
      </c>
      <c r="Q26" s="139"/>
      <c r="R26" s="240">
        <v>497</v>
      </c>
      <c r="S26" s="139"/>
      <c r="T26" s="240">
        <v>572</v>
      </c>
      <c r="U26" s="139"/>
      <c r="V26" s="240">
        <v>520</v>
      </c>
      <c r="W26" s="139"/>
      <c r="X26" s="240">
        <v>480</v>
      </c>
      <c r="Y26" s="139"/>
      <c r="Z26" s="1650"/>
      <c r="AB26" s="12"/>
      <c r="AC26" s="947">
        <f>AVERAGE(X26,V26,R26,T26,P26)</f>
        <v>485.6</v>
      </c>
    </row>
    <row r="27" spans="1:32" ht="13.5" thickBot="1" x14ac:dyDescent="0.25">
      <c r="A27" s="3"/>
      <c r="B27" s="79" t="s">
        <v>13</v>
      </c>
      <c r="C27" s="185"/>
      <c r="D27" s="186">
        <f>SUM(D23:D26)</f>
        <v>20178</v>
      </c>
      <c r="E27" s="90"/>
      <c r="F27" s="58">
        <f>SUM(F23:F26)</f>
        <v>20593</v>
      </c>
      <c r="G27" s="246"/>
      <c r="H27" s="247">
        <f>SUM(H23:H26)</f>
        <v>19712</v>
      </c>
      <c r="I27" s="164"/>
      <c r="J27" s="247">
        <f>SUM(J23:J26)</f>
        <v>19933</v>
      </c>
      <c r="K27" s="164"/>
      <c r="L27" s="242">
        <f>SUM(L23:L26)</f>
        <v>20682</v>
      </c>
      <c r="M27" s="246"/>
      <c r="N27" s="247">
        <f>SUM(N23:N26)</f>
        <v>19735</v>
      </c>
      <c r="O27" s="164"/>
      <c r="P27" s="247">
        <f>SUM(P23:P26)</f>
        <v>19214</v>
      </c>
      <c r="Q27" s="164"/>
      <c r="R27" s="247">
        <f>SUM(R23:R26)</f>
        <v>20106</v>
      </c>
      <c r="S27" s="164"/>
      <c r="T27" s="247">
        <f>SUM(T23:T26)</f>
        <v>20220</v>
      </c>
      <c r="U27" s="164"/>
      <c r="V27" s="247">
        <f>SUM(V23:V26)</f>
        <v>21655</v>
      </c>
      <c r="W27" s="164"/>
      <c r="X27" s="247">
        <f>SUM(X23:X26)</f>
        <v>22527</v>
      </c>
      <c r="Y27" s="164"/>
      <c r="Z27" s="1651"/>
      <c r="AB27" s="946"/>
      <c r="AC27" s="1008">
        <f t="shared" si="2"/>
        <v>20744.400000000001</v>
      </c>
    </row>
    <row r="28" spans="1:32" ht="12" customHeight="1" thickTop="1" thickBot="1" x14ac:dyDescent="0.25">
      <c r="A28" s="930"/>
      <c r="B28" s="1334" t="s">
        <v>212</v>
      </c>
      <c r="C28" s="1992" t="s">
        <v>51</v>
      </c>
      <c r="D28" s="1997"/>
      <c r="E28" s="1992" t="s">
        <v>52</v>
      </c>
      <c r="F28" s="1997"/>
      <c r="G28" s="1989" t="s">
        <v>184</v>
      </c>
      <c r="H28" s="1981"/>
      <c r="I28" s="1989" t="s">
        <v>185</v>
      </c>
      <c r="J28" s="2005"/>
      <c r="K28" s="1989" t="s">
        <v>202</v>
      </c>
      <c r="L28" s="2005"/>
      <c r="M28" s="1991" t="s">
        <v>203</v>
      </c>
      <c r="N28" s="1981"/>
      <c r="O28" s="1970" t="s">
        <v>228</v>
      </c>
      <c r="P28" s="1981"/>
      <c r="Q28" s="1970" t="s">
        <v>238</v>
      </c>
      <c r="R28" s="1981"/>
      <c r="S28" s="1970" t="s">
        <v>273</v>
      </c>
      <c r="T28" s="1981"/>
      <c r="U28" s="1970" t="s">
        <v>275</v>
      </c>
      <c r="V28" s="1981"/>
      <c r="W28" s="1970" t="s">
        <v>281</v>
      </c>
      <c r="X28" s="1981"/>
      <c r="Y28" s="1970" t="s">
        <v>291</v>
      </c>
      <c r="Z28" s="1971"/>
      <c r="AA28" s="932"/>
      <c r="AB28" s="2003" t="s">
        <v>213</v>
      </c>
      <c r="AC28" s="2004"/>
      <c r="AD28" s="293"/>
      <c r="AE28" s="293"/>
      <c r="AF28" s="21"/>
    </row>
    <row r="29" spans="1:32" ht="12" customHeight="1" x14ac:dyDescent="0.2">
      <c r="A29" s="930"/>
      <c r="B29" s="933" t="s">
        <v>189</v>
      </c>
      <c r="C29" s="2016">
        <v>3.2000000000000001E-2</v>
      </c>
      <c r="D29" s="2017"/>
      <c r="E29" s="1995">
        <v>3.6999999999999998E-2</v>
      </c>
      <c r="F29" s="1996"/>
      <c r="G29" s="1995">
        <v>0.04</v>
      </c>
      <c r="H29" s="1996"/>
      <c r="I29" s="1995">
        <v>4.5999999999999999E-2</v>
      </c>
      <c r="J29" s="2006"/>
      <c r="K29" s="934"/>
      <c r="L29" s="935">
        <v>5.5E-2</v>
      </c>
      <c r="M29" s="936"/>
      <c r="N29" s="1178">
        <v>5.2999999999999999E-2</v>
      </c>
      <c r="O29" s="1176"/>
      <c r="P29" s="1178">
        <v>5.3999999999999999E-2</v>
      </c>
      <c r="Q29" s="1271"/>
      <c r="R29" s="1178">
        <v>0.05</v>
      </c>
      <c r="S29" s="1271"/>
      <c r="T29" s="1178">
        <v>5.6000000000000001E-2</v>
      </c>
      <c r="U29" s="1271"/>
      <c r="V29" s="1178">
        <v>5.3999999999999999E-2</v>
      </c>
      <c r="W29" s="1271"/>
      <c r="X29" s="1178">
        <v>5.2999999999999999E-2</v>
      </c>
      <c r="Y29" s="1271"/>
      <c r="Z29" s="1479">
        <v>0.05</v>
      </c>
      <c r="AA29" s="937"/>
      <c r="AB29" s="938"/>
      <c r="AC29" s="1048">
        <f t="shared" ref="AC29:AC30" si="3">AVERAGE(X29,V29,R29,T29,Z29)</f>
        <v>5.2600000000000001E-2</v>
      </c>
      <c r="AD29" s="293"/>
      <c r="AE29" s="293"/>
      <c r="AF29" s="21"/>
    </row>
    <row r="30" spans="1:32" ht="12" customHeight="1" x14ac:dyDescent="0.2">
      <c r="A30" s="930"/>
      <c r="B30" s="940" t="s">
        <v>190</v>
      </c>
      <c r="C30" s="2018">
        <v>3.7999999999999999E-2</v>
      </c>
      <c r="D30" s="2019"/>
      <c r="E30" s="2000">
        <v>3.5000000000000003E-2</v>
      </c>
      <c r="F30" s="2001"/>
      <c r="G30" s="2000">
        <v>3.1E-2</v>
      </c>
      <c r="H30" s="2001"/>
      <c r="I30" s="2000">
        <v>2.8000000000000001E-2</v>
      </c>
      <c r="J30" s="2011"/>
      <c r="K30" s="941"/>
      <c r="L30" s="942">
        <v>3.1E-2</v>
      </c>
      <c r="M30" s="941"/>
      <c r="N30" s="1179">
        <v>5.0999999999999997E-2</v>
      </c>
      <c r="O30" s="1177"/>
      <c r="P30" s="1179">
        <v>4.2999999999999997E-2</v>
      </c>
      <c r="Q30" s="1272"/>
      <c r="R30" s="1179">
        <v>0.04</v>
      </c>
      <c r="S30" s="1272"/>
      <c r="T30" s="1179">
        <v>0.04</v>
      </c>
      <c r="U30" s="1272"/>
      <c r="V30" s="1179">
        <v>3.9E-2</v>
      </c>
      <c r="W30" s="1272"/>
      <c r="X30" s="1179">
        <v>0.03</v>
      </c>
      <c r="Y30" s="1272"/>
      <c r="Z30" s="1480">
        <v>2.7E-2</v>
      </c>
      <c r="AA30" s="937"/>
      <c r="AB30" s="938"/>
      <c r="AC30" s="1048">
        <f t="shared" si="3"/>
        <v>3.5200000000000002E-2</v>
      </c>
      <c r="AD30" s="293"/>
      <c r="AE30" s="293"/>
      <c r="AF30" s="21"/>
    </row>
    <row r="31" spans="1:32" ht="12" customHeight="1" thickBot="1" x14ac:dyDescent="0.25">
      <c r="A31" s="3"/>
      <c r="B31" s="943" t="s">
        <v>191</v>
      </c>
      <c r="C31" s="1998">
        <f>1-C29-C30</f>
        <v>0.92999999999999994</v>
      </c>
      <c r="D31" s="1999"/>
      <c r="E31" s="1998">
        <f>1-E29-E30</f>
        <v>0.92799999999999994</v>
      </c>
      <c r="F31" s="1999"/>
      <c r="G31" s="1998">
        <f>1-G29-G30</f>
        <v>0.92899999999999994</v>
      </c>
      <c r="H31" s="1999"/>
      <c r="I31" s="1998">
        <f>1-I29-I30</f>
        <v>0.92599999999999993</v>
      </c>
      <c r="J31" s="1999"/>
      <c r="K31" s="1998">
        <f>1-L29-L30</f>
        <v>0.91399999999999992</v>
      </c>
      <c r="L31" s="1999"/>
      <c r="M31" s="1998">
        <f>1-N29-N30</f>
        <v>0.89599999999999991</v>
      </c>
      <c r="N31" s="1999"/>
      <c r="O31" s="1998">
        <f>1-P29-P30</f>
        <v>0.90299999999999991</v>
      </c>
      <c r="P31" s="1999"/>
      <c r="Q31" s="2060">
        <f>1-R29-R30</f>
        <v>0.90999999999999992</v>
      </c>
      <c r="R31" s="1973"/>
      <c r="S31" s="1972">
        <f>1-T29-T30</f>
        <v>0.90399999999999991</v>
      </c>
      <c r="T31" s="1973"/>
      <c r="U31" s="1972">
        <f>1-V29-V30</f>
        <v>0.90699999999999992</v>
      </c>
      <c r="V31" s="1973"/>
      <c r="W31" s="1972">
        <f>1-X29-X30</f>
        <v>0.91699999999999993</v>
      </c>
      <c r="X31" s="1973"/>
      <c r="Y31" s="1972">
        <f>1-Z29-Z30</f>
        <v>0.92299999999999993</v>
      </c>
      <c r="Z31" s="1973"/>
      <c r="AA31" s="937"/>
      <c r="AB31" s="2007">
        <f>1-AC29-AC30</f>
        <v>0.91220000000000001</v>
      </c>
      <c r="AC31" s="2012"/>
      <c r="AD31" s="1050"/>
      <c r="AE31" s="293"/>
      <c r="AF31" s="21"/>
    </row>
    <row r="32" spans="1:32" s="3" customFormat="1" thickTop="1" x14ac:dyDescent="0.2">
      <c r="B32" s="109"/>
      <c r="C32" s="110"/>
      <c r="D32" s="111"/>
      <c r="E32" s="110"/>
      <c r="F32" s="111"/>
      <c r="G32" s="146"/>
      <c r="H32" s="147"/>
      <c r="I32" s="146"/>
      <c r="J32" s="147"/>
      <c r="K32" s="146"/>
      <c r="L32" s="147"/>
      <c r="M32" s="146"/>
      <c r="N32" s="147"/>
      <c r="O32" s="146"/>
      <c r="P32" s="147"/>
      <c r="Q32" s="146"/>
      <c r="R32" s="147"/>
      <c r="S32" s="146"/>
      <c r="T32" s="147"/>
      <c r="U32" s="146"/>
      <c r="V32" s="147"/>
      <c r="W32" s="146"/>
      <c r="X32" s="147"/>
      <c r="Y32" s="146"/>
      <c r="Z32" s="147"/>
      <c r="AC32" s="578"/>
    </row>
    <row r="33" spans="1:32" s="3" customFormat="1" x14ac:dyDescent="0.2">
      <c r="A33" s="112" t="s">
        <v>68</v>
      </c>
      <c r="B33" s="96"/>
      <c r="C33" s="28"/>
      <c r="D33" s="28"/>
      <c r="E33" s="28"/>
      <c r="F33" s="28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</row>
    <row r="34" spans="1:32" s="3" customFormat="1" ht="13.5" thickBot="1" x14ac:dyDescent="0.25">
      <c r="A34" s="112"/>
      <c r="B34" s="96"/>
      <c r="C34" s="28"/>
      <c r="D34" s="28"/>
      <c r="E34" s="28"/>
      <c r="F34" s="28"/>
      <c r="G34" s="136"/>
      <c r="H34" s="136"/>
      <c r="I34" s="136"/>
      <c r="J34" s="136"/>
      <c r="K34" s="136"/>
      <c r="L34" s="136"/>
      <c r="M34" s="136"/>
      <c r="N34" s="136"/>
      <c r="O34" s="136"/>
      <c r="P34" s="1583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F34" s="3" t="s">
        <v>29</v>
      </c>
    </row>
    <row r="35" spans="1:32" s="3" customFormat="1" ht="14.25" thickTop="1" thickBot="1" x14ac:dyDescent="0.25">
      <c r="A35" s="2"/>
      <c r="B35" s="329" t="s">
        <v>69</v>
      </c>
      <c r="C35" s="2013" t="s">
        <v>49</v>
      </c>
      <c r="D35" s="2014"/>
      <c r="E35" s="2015" t="s">
        <v>50</v>
      </c>
      <c r="F35" s="2015"/>
      <c r="G35" s="2002" t="s">
        <v>141</v>
      </c>
      <c r="H35" s="1982"/>
      <c r="I35" s="1974" t="s">
        <v>152</v>
      </c>
      <c r="J35" s="1982"/>
      <c r="K35" s="1974" t="s">
        <v>154</v>
      </c>
      <c r="L35" s="1974"/>
      <c r="M35" s="2002" t="s">
        <v>171</v>
      </c>
      <c r="N35" s="1982"/>
      <c r="O35" s="1974" t="s">
        <v>227</v>
      </c>
      <c r="P35" s="1982"/>
      <c r="Q35" s="1974" t="s">
        <v>237</v>
      </c>
      <c r="R35" s="1982"/>
      <c r="S35" s="1974" t="s">
        <v>272</v>
      </c>
      <c r="T35" s="1982"/>
      <c r="U35" s="1974" t="s">
        <v>274</v>
      </c>
      <c r="V35" s="1982"/>
      <c r="W35" s="1974" t="s">
        <v>280</v>
      </c>
      <c r="X35" s="1982"/>
      <c r="Y35" s="1974" t="s">
        <v>290</v>
      </c>
      <c r="Z35" s="1975"/>
      <c r="AB35" s="2003" t="s">
        <v>213</v>
      </c>
      <c r="AC35" s="2004"/>
    </row>
    <row r="36" spans="1:32" s="3" customFormat="1" x14ac:dyDescent="0.2">
      <c r="A36" s="2"/>
      <c r="B36" s="330" t="s">
        <v>70</v>
      </c>
      <c r="C36" s="184"/>
      <c r="D36" s="93"/>
      <c r="E36" s="31"/>
      <c r="F36" s="31"/>
      <c r="G36" s="239"/>
      <c r="H36" s="245"/>
      <c r="I36" s="139"/>
      <c r="J36" s="245"/>
      <c r="K36" s="139"/>
      <c r="L36" s="139"/>
      <c r="M36" s="239"/>
      <c r="N36" s="245"/>
      <c r="O36" s="139"/>
      <c r="P36" s="245"/>
      <c r="Q36" s="139"/>
      <c r="R36" s="245"/>
      <c r="S36" s="139"/>
      <c r="T36" s="245"/>
      <c r="U36" s="139"/>
      <c r="V36" s="245"/>
      <c r="W36" s="139"/>
      <c r="X36" s="245"/>
      <c r="Y36" s="139"/>
      <c r="Z36" s="141"/>
      <c r="AB36" s="831"/>
      <c r="AC36" s="930"/>
    </row>
    <row r="37" spans="1:32" s="3" customFormat="1" x14ac:dyDescent="0.2">
      <c r="A37" s="2"/>
      <c r="B37" s="331" t="s">
        <v>71</v>
      </c>
      <c r="C37" s="54"/>
      <c r="D37" s="188">
        <v>1565882</v>
      </c>
      <c r="E37" s="30"/>
      <c r="F37" s="205">
        <v>1683195</v>
      </c>
      <c r="G37" s="243"/>
      <c r="H37" s="416">
        <v>1753558</v>
      </c>
      <c r="I37" s="138"/>
      <c r="J37" s="416">
        <v>1812855</v>
      </c>
      <c r="K37" s="138"/>
      <c r="L37" s="451">
        <v>1966773</v>
      </c>
      <c r="M37" s="243"/>
      <c r="N37" s="416">
        <v>2025299</v>
      </c>
      <c r="O37" s="138"/>
      <c r="P37" s="416">
        <v>2143029</v>
      </c>
      <c r="Q37" s="138"/>
      <c r="R37" s="416">
        <v>2067652</v>
      </c>
      <c r="S37" s="138"/>
      <c r="T37" s="416">
        <v>2248606</v>
      </c>
      <c r="U37" s="138"/>
      <c r="V37" s="416">
        <v>2205447</v>
      </c>
      <c r="W37" s="138"/>
      <c r="X37" s="416">
        <v>2197643</v>
      </c>
      <c r="Y37" s="138"/>
      <c r="Z37" s="294">
        <v>2432962</v>
      </c>
      <c r="AB37" s="24"/>
      <c r="AC37" s="947">
        <f>AVERAGE(X37,V37,R37,T37,Z37)</f>
        <v>2230462</v>
      </c>
    </row>
    <row r="38" spans="1:32" s="3" customFormat="1" x14ac:dyDescent="0.2">
      <c r="A38" s="2"/>
      <c r="B38" s="331" t="s">
        <v>247</v>
      </c>
      <c r="C38" s="54"/>
      <c r="D38" s="188"/>
      <c r="E38" s="30"/>
      <c r="F38" s="205"/>
      <c r="G38" s="243"/>
      <c r="H38" s="1439"/>
      <c r="I38" s="138"/>
      <c r="J38" s="416">
        <v>81129</v>
      </c>
      <c r="K38" s="138"/>
      <c r="L38" s="451">
        <v>7500</v>
      </c>
      <c r="M38" s="243"/>
      <c r="N38" s="416">
        <v>7500</v>
      </c>
      <c r="O38" s="138"/>
      <c r="P38" s="416">
        <v>7500</v>
      </c>
      <c r="Q38" s="138"/>
      <c r="R38" s="416">
        <v>7500</v>
      </c>
      <c r="S38" s="138"/>
      <c r="T38" s="416">
        <v>7500</v>
      </c>
      <c r="U38" s="138"/>
      <c r="V38" s="416">
        <v>7500</v>
      </c>
      <c r="W38" s="138"/>
      <c r="X38" s="416">
        <v>7500</v>
      </c>
      <c r="Y38" s="138"/>
      <c r="Z38" s="294">
        <v>7500</v>
      </c>
      <c r="AB38" s="24"/>
      <c r="AC38" s="947">
        <f t="shared" ref="AC38:AC40" si="4">AVERAGE(X38,V38,R38,T38,Z38)</f>
        <v>7500</v>
      </c>
    </row>
    <row r="39" spans="1:32" s="3" customFormat="1" ht="36" x14ac:dyDescent="0.2">
      <c r="A39" s="2"/>
      <c r="B39" s="332" t="s">
        <v>248</v>
      </c>
      <c r="C39" s="184"/>
      <c r="D39" s="189">
        <v>47992</v>
      </c>
      <c r="E39" s="31"/>
      <c r="F39" s="347">
        <v>80463</v>
      </c>
      <c r="G39" s="239"/>
      <c r="H39" s="369">
        <v>98526</v>
      </c>
      <c r="I39" s="139"/>
      <c r="J39" s="369">
        <v>55234</v>
      </c>
      <c r="K39" s="139"/>
      <c r="L39" s="347">
        <v>124171</v>
      </c>
      <c r="M39" s="239"/>
      <c r="N39" s="369">
        <v>92498</v>
      </c>
      <c r="O39" s="139"/>
      <c r="P39" s="369">
        <v>165610</v>
      </c>
      <c r="Q39" s="139"/>
      <c r="R39" s="369">
        <v>239299</v>
      </c>
      <c r="S39" s="139"/>
      <c r="T39" s="369">
        <v>235197</v>
      </c>
      <c r="U39" s="139"/>
      <c r="V39" s="369">
        <v>378803</v>
      </c>
      <c r="W39" s="139"/>
      <c r="X39" s="369">
        <v>432262</v>
      </c>
      <c r="Y39" s="139"/>
      <c r="Z39" s="282">
        <v>428885</v>
      </c>
      <c r="AB39" s="12"/>
      <c r="AC39" s="947">
        <f t="shared" si="4"/>
        <v>342889.2</v>
      </c>
    </row>
    <row r="40" spans="1:32" s="3" customFormat="1" x14ac:dyDescent="0.2">
      <c r="A40" s="2"/>
      <c r="B40" s="333" t="s">
        <v>72</v>
      </c>
      <c r="C40" s="187"/>
      <c r="D40" s="190">
        <f>SUM(D37:D39)</f>
        <v>1613874</v>
      </c>
      <c r="E40" s="90"/>
      <c r="F40" s="207">
        <f>SUM(F37:F39)</f>
        <v>1763658</v>
      </c>
      <c r="G40" s="262"/>
      <c r="H40" s="263">
        <f>SUM(H37:H39)</f>
        <v>1852084</v>
      </c>
      <c r="I40" s="250"/>
      <c r="J40" s="263">
        <f>SUM(J37:J39)</f>
        <v>1949218</v>
      </c>
      <c r="K40" s="250"/>
      <c r="L40" s="249">
        <f>SUM(L37:L39)</f>
        <v>2098444</v>
      </c>
      <c r="M40" s="262"/>
      <c r="N40" s="263">
        <f>SUM(N37:N39)</f>
        <v>2125297</v>
      </c>
      <c r="O40" s="250"/>
      <c r="P40" s="263">
        <f>SUM(P37:P39)</f>
        <v>2316139</v>
      </c>
      <c r="Q40" s="250"/>
      <c r="R40" s="263">
        <f>SUM(R37:R39)</f>
        <v>2314451</v>
      </c>
      <c r="S40" s="250"/>
      <c r="T40" s="263">
        <f>SUM(T37:T39)</f>
        <v>2491303</v>
      </c>
      <c r="U40" s="250"/>
      <c r="V40" s="263">
        <f>SUM(V37:V39)</f>
        <v>2591750</v>
      </c>
      <c r="W40" s="250"/>
      <c r="X40" s="263">
        <f>SUM(X37:X39)</f>
        <v>2637405</v>
      </c>
      <c r="Y40" s="250"/>
      <c r="Z40" s="149">
        <f>SUM(Z37:Z39)</f>
        <v>2869347</v>
      </c>
      <c r="AB40" s="12"/>
      <c r="AC40" s="1008">
        <f t="shared" si="4"/>
        <v>2580851.2000000002</v>
      </c>
    </row>
    <row r="41" spans="1:32" s="3" customFormat="1" x14ac:dyDescent="0.2">
      <c r="A41" s="2"/>
      <c r="B41" s="330" t="s">
        <v>73</v>
      </c>
      <c r="C41" s="184"/>
      <c r="D41" s="189"/>
      <c r="E41" s="31"/>
      <c r="F41" s="206"/>
      <c r="G41" s="239"/>
      <c r="H41" s="369"/>
      <c r="I41" s="139"/>
      <c r="J41" s="369"/>
      <c r="K41" s="139"/>
      <c r="L41" s="347"/>
      <c r="M41" s="239"/>
      <c r="N41" s="369"/>
      <c r="O41" s="139"/>
      <c r="P41" s="369"/>
      <c r="Q41" s="139"/>
      <c r="R41" s="369"/>
      <c r="S41" s="139"/>
      <c r="T41" s="369"/>
      <c r="U41" s="139"/>
      <c r="V41" s="369"/>
      <c r="W41" s="139"/>
      <c r="X41" s="369"/>
      <c r="Y41" s="139"/>
      <c r="Z41" s="282"/>
      <c r="AB41" s="12"/>
      <c r="AC41" s="947"/>
    </row>
    <row r="42" spans="1:32" s="3" customFormat="1" x14ac:dyDescent="0.2">
      <c r="A42" s="2"/>
      <c r="B42" s="331" t="s">
        <v>71</v>
      </c>
      <c r="C42" s="184"/>
      <c r="D42" s="189"/>
      <c r="E42" s="31"/>
      <c r="F42" s="206"/>
      <c r="G42" s="239"/>
      <c r="H42" s="369"/>
      <c r="I42" s="139"/>
      <c r="J42" s="369"/>
      <c r="K42" s="139"/>
      <c r="L42" s="347"/>
      <c r="M42" s="239"/>
      <c r="N42" s="369"/>
      <c r="O42" s="139"/>
      <c r="P42" s="369"/>
      <c r="Q42" s="139"/>
      <c r="R42" s="369"/>
      <c r="S42" s="139"/>
      <c r="T42" s="369"/>
      <c r="U42" s="139"/>
      <c r="V42" s="369"/>
      <c r="W42" s="139"/>
      <c r="X42" s="369"/>
      <c r="Y42" s="139"/>
      <c r="Z42" s="282"/>
      <c r="AB42" s="12"/>
      <c r="AC42" s="947"/>
    </row>
    <row r="43" spans="1:32" s="3" customFormat="1" x14ac:dyDescent="0.2">
      <c r="A43" s="2"/>
      <c r="B43" s="331" t="s">
        <v>247</v>
      </c>
      <c r="C43" s="184"/>
      <c r="D43" s="189"/>
      <c r="E43" s="31"/>
      <c r="F43" s="206"/>
      <c r="G43" s="239"/>
      <c r="H43" s="369"/>
      <c r="I43" s="139"/>
      <c r="J43" s="369"/>
      <c r="K43" s="139"/>
      <c r="L43" s="347"/>
      <c r="M43" s="239"/>
      <c r="N43" s="369"/>
      <c r="O43" s="139"/>
      <c r="P43" s="369"/>
      <c r="Q43" s="139"/>
      <c r="R43" s="369"/>
      <c r="S43" s="139"/>
      <c r="T43" s="369"/>
      <c r="U43" s="139"/>
      <c r="V43" s="369"/>
      <c r="W43" s="139"/>
      <c r="X43" s="369"/>
      <c r="Y43" s="139"/>
      <c r="Z43" s="282"/>
      <c r="AB43" s="12"/>
      <c r="AC43" s="947"/>
    </row>
    <row r="44" spans="1:32" s="3" customFormat="1" ht="36" x14ac:dyDescent="0.2">
      <c r="A44" s="2"/>
      <c r="B44" s="332" t="s">
        <v>248</v>
      </c>
      <c r="C44" s="184"/>
      <c r="D44" s="189"/>
      <c r="E44" s="31"/>
      <c r="F44" s="206"/>
      <c r="G44" s="239"/>
      <c r="H44" s="369"/>
      <c r="I44" s="139"/>
      <c r="J44" s="369"/>
      <c r="K44" s="139"/>
      <c r="L44" s="347"/>
      <c r="M44" s="239"/>
      <c r="N44" s="369"/>
      <c r="O44" s="139"/>
      <c r="P44" s="369"/>
      <c r="Q44" s="139"/>
      <c r="R44" s="369"/>
      <c r="S44" s="139"/>
      <c r="T44" s="369"/>
      <c r="U44" s="139"/>
      <c r="V44" s="369"/>
      <c r="W44" s="139"/>
      <c r="X44" s="369"/>
      <c r="Y44" s="139"/>
      <c r="Z44" s="282"/>
      <c r="AB44" s="12"/>
      <c r="AC44" s="947"/>
    </row>
    <row r="45" spans="1:32" s="3" customFormat="1" x14ac:dyDescent="0.2">
      <c r="A45" s="2"/>
      <c r="B45" s="333" t="s">
        <v>74</v>
      </c>
      <c r="C45" s="187"/>
      <c r="D45" s="190">
        <f>SUM(D42:D44)</f>
        <v>0</v>
      </c>
      <c r="E45" s="90"/>
      <c r="F45" s="207">
        <f>SUM(F42:F44)</f>
        <v>0</v>
      </c>
      <c r="G45" s="262"/>
      <c r="H45" s="263">
        <f>SUM(H42:H44)</f>
        <v>0</v>
      </c>
      <c r="I45" s="250"/>
      <c r="J45" s="263">
        <f>SUM(J42:J44)</f>
        <v>0</v>
      </c>
      <c r="K45" s="250"/>
      <c r="L45" s="249">
        <f>SUM(L42:L44)</f>
        <v>0</v>
      </c>
      <c r="M45" s="262"/>
      <c r="N45" s="263">
        <f>SUM(N42:N44)</f>
        <v>0</v>
      </c>
      <c r="O45" s="250"/>
      <c r="P45" s="263">
        <f>SUM(P42:P44)</f>
        <v>0</v>
      </c>
      <c r="Q45" s="250"/>
      <c r="R45" s="263">
        <f>SUM(R42:R44)</f>
        <v>0</v>
      </c>
      <c r="S45" s="250"/>
      <c r="T45" s="263">
        <f>SUM(T42:T44)</f>
        <v>0</v>
      </c>
      <c r="U45" s="250"/>
      <c r="V45" s="263">
        <f>SUM(V42:V44)</f>
        <v>0</v>
      </c>
      <c r="W45" s="250"/>
      <c r="X45" s="263">
        <f>SUM(X42:X44)</f>
        <v>0</v>
      </c>
      <c r="Y45" s="250"/>
      <c r="Z45" s="149">
        <f>SUM(Z42:Z44)</f>
        <v>0</v>
      </c>
      <c r="AB45" s="12"/>
      <c r="AC45" s="1008">
        <f t="shared" ref="AC45:AC46" si="5">AVERAGE(X45,V45,R45,T45,Z45)</f>
        <v>0</v>
      </c>
    </row>
    <row r="46" spans="1:32" s="3" customFormat="1" ht="13.5" thickBot="1" x14ac:dyDescent="0.25">
      <c r="A46" s="2"/>
      <c r="B46" s="1493" t="s">
        <v>75</v>
      </c>
      <c r="C46" s="239"/>
      <c r="D46" s="263">
        <f>SUM(D40,D45)</f>
        <v>1613874</v>
      </c>
      <c r="E46" s="139"/>
      <c r="F46" s="207">
        <f>SUM(F40,F45)</f>
        <v>1763658</v>
      </c>
      <c r="G46" s="239"/>
      <c r="H46" s="263">
        <f>SUM(H40,H45)</f>
        <v>1852084</v>
      </c>
      <c r="I46" s="139"/>
      <c r="J46" s="263">
        <f>SUM(J40,J45)</f>
        <v>1949218</v>
      </c>
      <c r="K46" s="139"/>
      <c r="L46" s="249">
        <f>SUM(L40,L45)</f>
        <v>2098444</v>
      </c>
      <c r="M46" s="239"/>
      <c r="N46" s="263">
        <f>SUM(N40,N45)</f>
        <v>2125297</v>
      </c>
      <c r="O46" s="139"/>
      <c r="P46" s="263">
        <f>SUM(P40,P45)</f>
        <v>2316139</v>
      </c>
      <c r="Q46" s="139"/>
      <c r="R46" s="263">
        <f>SUM(R40,R45)</f>
        <v>2314451</v>
      </c>
      <c r="S46" s="139"/>
      <c r="T46" s="263">
        <f>SUM(T40,T45)</f>
        <v>2491303</v>
      </c>
      <c r="U46" s="139"/>
      <c r="V46" s="263">
        <f>SUM(V40,V45)</f>
        <v>2591750</v>
      </c>
      <c r="W46" s="139"/>
      <c r="X46" s="263">
        <f>SUM(X40,X45)</f>
        <v>2637405</v>
      </c>
      <c r="Y46" s="139"/>
      <c r="Z46" s="149">
        <f>SUM(Z40,Z45)</f>
        <v>2869347</v>
      </c>
      <c r="AB46" s="948"/>
      <c r="AC46" s="1008">
        <f t="shared" si="5"/>
        <v>2580851.2000000002</v>
      </c>
    </row>
    <row r="47" spans="1:32" s="3" customFormat="1" ht="12" x14ac:dyDescent="0.2">
      <c r="B47" s="81" t="s">
        <v>259</v>
      </c>
      <c r="C47" s="265"/>
      <c r="D47" s="248"/>
      <c r="E47" s="151"/>
      <c r="F47" s="36"/>
      <c r="G47" s="265"/>
      <c r="H47" s="248"/>
      <c r="I47" s="151"/>
      <c r="J47" s="248"/>
      <c r="K47" s="151"/>
      <c r="L47" s="151"/>
      <c r="M47" s="265"/>
      <c r="N47" s="248"/>
      <c r="O47" s="151"/>
      <c r="P47" s="248"/>
      <c r="Q47" s="151"/>
      <c r="R47" s="248"/>
      <c r="S47" s="151"/>
      <c r="T47" s="248"/>
      <c r="U47" s="151"/>
      <c r="V47" s="248"/>
      <c r="W47" s="151"/>
      <c r="X47" s="248"/>
      <c r="Y47" s="151"/>
      <c r="Z47" s="152"/>
      <c r="AB47" s="831"/>
      <c r="AC47" s="978"/>
    </row>
    <row r="48" spans="1:32" x14ac:dyDescent="0.2">
      <c r="A48" s="3"/>
      <c r="B48" s="78" t="s">
        <v>14</v>
      </c>
      <c r="C48" s="309"/>
      <c r="D48" s="466">
        <f>506399+1345187</f>
        <v>1851586</v>
      </c>
      <c r="E48" s="415"/>
      <c r="F48" s="487">
        <v>2132950</v>
      </c>
      <c r="G48" s="488"/>
      <c r="H48" s="515">
        <v>2173160.62</v>
      </c>
      <c r="I48" s="465"/>
      <c r="J48" s="489">
        <f>2285475.19</f>
        <v>2285475.19</v>
      </c>
      <c r="K48" s="465"/>
      <c r="L48" s="837">
        <f>69899+300+10181+2408562</f>
        <v>2488942</v>
      </c>
      <c r="M48" s="488"/>
      <c r="N48" s="1140">
        <v>2648023</v>
      </c>
      <c r="O48" s="465"/>
      <c r="P48" s="545">
        <v>2386595</v>
      </c>
      <c r="Q48" s="528"/>
      <c r="R48" s="545">
        <v>2518903</v>
      </c>
      <c r="S48" s="528"/>
      <c r="T48" s="545">
        <v>2806541</v>
      </c>
      <c r="U48" s="528"/>
      <c r="V48" s="545">
        <v>2867706</v>
      </c>
      <c r="W48" s="528"/>
      <c r="X48" s="545">
        <v>2952207.15</v>
      </c>
      <c r="Y48" s="528"/>
      <c r="Z48" s="1579"/>
      <c r="AB48" s="24"/>
      <c r="AC48" s="949">
        <f>AVERAGE(X48,V48,R48,T48,P48)</f>
        <v>2706390.43</v>
      </c>
    </row>
    <row r="49" spans="1:29" ht="13.5" thickBot="1" x14ac:dyDescent="0.25">
      <c r="A49" s="3"/>
      <c r="B49" s="336" t="s">
        <v>15</v>
      </c>
      <c r="C49" s="268"/>
      <c r="D49" s="467">
        <f>11534</f>
        <v>11534</v>
      </c>
      <c r="E49" s="154"/>
      <c r="F49" s="87">
        <v>6548</v>
      </c>
      <c r="G49" s="596"/>
      <c r="H49" s="517">
        <v>5775</v>
      </c>
      <c r="I49" s="237"/>
      <c r="J49" s="517">
        <v>15129</v>
      </c>
      <c r="K49" s="237"/>
      <c r="L49" s="827">
        <v>0</v>
      </c>
      <c r="M49" s="596"/>
      <c r="N49" s="509">
        <f>6801</f>
        <v>6801</v>
      </c>
      <c r="O49" s="237"/>
      <c r="P49" s="509">
        <v>7525</v>
      </c>
      <c r="Q49" s="253"/>
      <c r="R49" s="509">
        <v>1000</v>
      </c>
      <c r="S49" s="253"/>
      <c r="T49" s="509">
        <v>1660.41</v>
      </c>
      <c r="U49" s="253"/>
      <c r="V49" s="509">
        <v>9002</v>
      </c>
      <c r="W49" s="253"/>
      <c r="X49" s="509">
        <v>6846.33</v>
      </c>
      <c r="Y49" s="253"/>
      <c r="Z49" s="1580"/>
      <c r="AB49" s="63"/>
      <c r="AC49" s="949">
        <f>AVERAGE(X49,V49,R49,T49,P49)</f>
        <v>5206.7480000000005</v>
      </c>
    </row>
    <row r="50" spans="1:29" x14ac:dyDescent="0.2">
      <c r="A50" s="3"/>
      <c r="B50" s="77"/>
      <c r="C50" s="193" t="s">
        <v>133</v>
      </c>
      <c r="D50" s="194" t="s">
        <v>139</v>
      </c>
      <c r="E50" s="166" t="s">
        <v>133</v>
      </c>
      <c r="F50" s="84" t="s">
        <v>139</v>
      </c>
      <c r="G50" s="308" t="s">
        <v>133</v>
      </c>
      <c r="H50" s="417" t="s">
        <v>139</v>
      </c>
      <c r="I50" s="414" t="s">
        <v>133</v>
      </c>
      <c r="J50" s="417" t="s">
        <v>139</v>
      </c>
      <c r="K50" s="414" t="s">
        <v>133</v>
      </c>
      <c r="L50" s="417" t="s">
        <v>139</v>
      </c>
      <c r="M50" s="308" t="s">
        <v>133</v>
      </c>
      <c r="N50" s="417" t="s">
        <v>139</v>
      </c>
      <c r="O50" s="414" t="s">
        <v>133</v>
      </c>
      <c r="P50" s="417" t="s">
        <v>139</v>
      </c>
      <c r="Q50" s="414" t="s">
        <v>133</v>
      </c>
      <c r="R50" s="417" t="s">
        <v>139</v>
      </c>
      <c r="S50" s="414" t="s">
        <v>133</v>
      </c>
      <c r="T50" s="417" t="s">
        <v>139</v>
      </c>
      <c r="U50" s="414" t="s">
        <v>133</v>
      </c>
      <c r="V50" s="417" t="s">
        <v>139</v>
      </c>
      <c r="W50" s="414" t="s">
        <v>133</v>
      </c>
      <c r="X50" s="417" t="s">
        <v>139</v>
      </c>
      <c r="Y50" s="414" t="s">
        <v>133</v>
      </c>
      <c r="Z50" s="295" t="s">
        <v>139</v>
      </c>
      <c r="AB50" s="950" t="s">
        <v>133</v>
      </c>
      <c r="AC50" s="295" t="s">
        <v>139</v>
      </c>
    </row>
    <row r="51" spans="1:29" s="3" customFormat="1" ht="11.45" customHeight="1" x14ac:dyDescent="0.2">
      <c r="B51" s="80" t="s">
        <v>67</v>
      </c>
      <c r="C51" s="475">
        <v>3</v>
      </c>
      <c r="D51" s="511">
        <v>112463</v>
      </c>
      <c r="E51" s="108">
        <v>2</v>
      </c>
      <c r="F51" s="68">
        <v>23744</v>
      </c>
      <c r="G51" s="476">
        <v>1</v>
      </c>
      <c r="H51" s="439">
        <v>128328</v>
      </c>
      <c r="I51" s="477">
        <v>1</v>
      </c>
      <c r="J51" s="439">
        <v>26883</v>
      </c>
      <c r="K51" s="477">
        <v>5</v>
      </c>
      <c r="L51" s="252">
        <v>199570</v>
      </c>
      <c r="M51" s="532">
        <v>2</v>
      </c>
      <c r="N51" s="510">
        <v>75000</v>
      </c>
      <c r="O51" s="532">
        <v>0</v>
      </c>
      <c r="P51" s="510">
        <v>0</v>
      </c>
      <c r="Q51" s="532">
        <v>1</v>
      </c>
      <c r="R51" s="510">
        <v>87351</v>
      </c>
      <c r="S51" s="532">
        <v>0</v>
      </c>
      <c r="T51" s="510">
        <v>0</v>
      </c>
      <c r="U51" s="532">
        <v>0</v>
      </c>
      <c r="V51" s="510">
        <v>0</v>
      </c>
      <c r="W51" s="532">
        <v>0</v>
      </c>
      <c r="X51" s="510">
        <v>0</v>
      </c>
      <c r="Y51" s="1782"/>
      <c r="Z51" s="1783"/>
      <c r="AA51" s="955"/>
      <c r="AB51" s="108">
        <f>AVERAGE(W51,U51,Q51,S51,O51)</f>
        <v>0.2</v>
      </c>
      <c r="AC51" s="951">
        <f>AVERAGE(X51,V51,R51,T51,P51)</f>
        <v>17470.2</v>
      </c>
    </row>
    <row r="52" spans="1:29" s="3" customFormat="1" ht="11.45" customHeight="1" x14ac:dyDescent="0.2">
      <c r="B52" s="80"/>
      <c r="C52" s="916"/>
      <c r="D52" s="197"/>
      <c r="E52" s="838"/>
      <c r="F52" s="529"/>
      <c r="G52" s="551"/>
      <c r="H52" s="418"/>
      <c r="I52" s="255"/>
      <c r="J52" s="418"/>
      <c r="K52" s="255"/>
      <c r="L52" s="528"/>
      <c r="M52" s="530"/>
      <c r="N52" s="545"/>
      <c r="O52" s="530"/>
      <c r="P52" s="545"/>
      <c r="Q52" s="530"/>
      <c r="R52" s="545"/>
      <c r="S52" s="530"/>
      <c r="T52" s="545"/>
      <c r="U52" s="530"/>
      <c r="V52" s="545"/>
      <c r="W52" s="530"/>
      <c r="X52" s="545"/>
      <c r="Y52" s="1784"/>
      <c r="Z52" s="1785"/>
      <c r="AA52" s="955"/>
      <c r="AB52" s="1013"/>
      <c r="AC52" s="949"/>
    </row>
    <row r="53" spans="1:29" s="3" customFormat="1" thickBot="1" x14ac:dyDescent="0.25">
      <c r="B53" s="167" t="s">
        <v>16</v>
      </c>
      <c r="C53" s="913">
        <v>2</v>
      </c>
      <c r="D53" s="208">
        <v>40562</v>
      </c>
      <c r="E53" s="839">
        <v>4</v>
      </c>
      <c r="F53" s="69">
        <v>41384</v>
      </c>
      <c r="G53" s="552">
        <v>0</v>
      </c>
      <c r="H53" s="524">
        <v>98301</v>
      </c>
      <c r="I53" s="550">
        <v>0</v>
      </c>
      <c r="J53" s="524">
        <v>0</v>
      </c>
      <c r="K53" s="550">
        <v>2</v>
      </c>
      <c r="L53" s="253">
        <v>50961</v>
      </c>
      <c r="M53" s="552">
        <v>3</v>
      </c>
      <c r="N53" s="509">
        <v>85000</v>
      </c>
      <c r="O53" s="552">
        <v>0</v>
      </c>
      <c r="P53" s="509">
        <v>0</v>
      </c>
      <c r="Q53" s="552">
        <v>0</v>
      </c>
      <c r="R53" s="509">
        <v>0</v>
      </c>
      <c r="S53" s="552">
        <v>0</v>
      </c>
      <c r="T53" s="509">
        <v>0</v>
      </c>
      <c r="U53" s="552">
        <v>0</v>
      </c>
      <c r="V53" s="509">
        <v>0</v>
      </c>
      <c r="W53" s="552">
        <v>0</v>
      </c>
      <c r="X53" s="509">
        <v>0</v>
      </c>
      <c r="Y53" s="1786"/>
      <c r="Z53" s="1781"/>
      <c r="AA53" s="955"/>
      <c r="AB53" s="839">
        <f>AVERAGE(W53,U53,Q53,S53,O53)</f>
        <v>0</v>
      </c>
      <c r="AC53" s="1009">
        <f>AVERAGE(X53,V53,R53,T53,P53)</f>
        <v>0</v>
      </c>
    </row>
    <row r="54" spans="1:29" s="3" customFormat="1" thickTop="1" x14ac:dyDescent="0.2">
      <c r="B54" s="81" t="s">
        <v>84</v>
      </c>
      <c r="C54" s="199"/>
      <c r="D54" s="209"/>
      <c r="E54" s="45"/>
      <c r="F54" s="323"/>
      <c r="G54" s="269"/>
      <c r="H54" s="419"/>
      <c r="I54" s="156"/>
      <c r="J54" s="419"/>
      <c r="K54" s="156"/>
      <c r="L54" s="307"/>
      <c r="M54" s="269"/>
      <c r="N54" s="419"/>
      <c r="O54" s="156"/>
      <c r="P54" s="419"/>
      <c r="Q54" s="156"/>
      <c r="R54" s="419"/>
      <c r="S54" s="156"/>
      <c r="T54" s="419"/>
      <c r="U54" s="156"/>
      <c r="V54" s="419"/>
      <c r="W54" s="156"/>
      <c r="X54" s="419"/>
      <c r="Y54" s="156"/>
      <c r="Z54" s="158"/>
      <c r="AA54" s="955"/>
      <c r="AB54" s="109"/>
      <c r="AC54" s="1030"/>
    </row>
    <row r="55" spans="1:29" s="3" customFormat="1" ht="12" x14ac:dyDescent="0.2">
      <c r="B55" s="337" t="s">
        <v>35</v>
      </c>
      <c r="C55" s="201"/>
      <c r="D55" s="210"/>
      <c r="E55" s="97"/>
      <c r="F55" s="34"/>
      <c r="G55" s="271"/>
      <c r="H55" s="420"/>
      <c r="I55" s="157"/>
      <c r="J55" s="420"/>
      <c r="K55" s="157"/>
      <c r="L55" s="135"/>
      <c r="M55" s="271"/>
      <c r="N55" s="420"/>
      <c r="O55" s="157"/>
      <c r="P55" s="420"/>
      <c r="Q55" s="157"/>
      <c r="R55" s="420"/>
      <c r="S55" s="157"/>
      <c r="T55" s="420"/>
      <c r="U55" s="157"/>
      <c r="V55" s="420"/>
      <c r="W55" s="157"/>
      <c r="X55" s="420"/>
      <c r="Y55" s="157"/>
      <c r="Z55" s="287"/>
      <c r="AA55" s="955"/>
      <c r="AB55" s="720"/>
      <c r="AC55" s="1011"/>
    </row>
    <row r="56" spans="1:29" s="3" customFormat="1" ht="12" x14ac:dyDescent="0.2">
      <c r="B56" s="338" t="s">
        <v>85</v>
      </c>
      <c r="C56" s="202"/>
      <c r="D56" s="232">
        <v>23664.560000000001</v>
      </c>
      <c r="E56" s="35"/>
      <c r="F56" s="345">
        <v>4550.12</v>
      </c>
      <c r="G56" s="272"/>
      <c r="H56" s="503">
        <v>80271.710000000006</v>
      </c>
      <c r="I56" s="254"/>
      <c r="J56" s="548">
        <v>86543.25</v>
      </c>
      <c r="K56" s="254"/>
      <c r="L56" s="508">
        <v>503270.04</v>
      </c>
      <c r="M56" s="272"/>
      <c r="N56" s="548">
        <v>61771</v>
      </c>
      <c r="O56" s="254"/>
      <c r="P56" s="548">
        <v>171672</v>
      </c>
      <c r="Q56" s="254"/>
      <c r="R56" s="548">
        <v>57912</v>
      </c>
      <c r="S56" s="254"/>
      <c r="T56" s="548">
        <v>79460</v>
      </c>
      <c r="U56" s="254"/>
      <c r="V56" s="548">
        <v>317431.03999999998</v>
      </c>
      <c r="W56" s="254"/>
      <c r="X56" s="548">
        <v>138799.60999999999</v>
      </c>
      <c r="Y56" s="254"/>
      <c r="Z56" s="1581"/>
      <c r="AA56" s="955"/>
      <c r="AB56" s="1013"/>
      <c r="AC56" s="949">
        <f t="shared" ref="AC56:AC57" si="6">AVERAGE(X56,V56,R56,T56,P56)</f>
        <v>153054.93</v>
      </c>
    </row>
    <row r="57" spans="1:29" s="3" customFormat="1" thickBot="1" x14ac:dyDescent="0.25">
      <c r="B57" s="339" t="s">
        <v>86</v>
      </c>
      <c r="C57" s="204"/>
      <c r="D57" s="211">
        <v>59911.78</v>
      </c>
      <c r="E57" s="37"/>
      <c r="F57" s="324">
        <v>63214.93</v>
      </c>
      <c r="G57" s="274"/>
      <c r="H57" s="505">
        <v>148541.91</v>
      </c>
      <c r="I57" s="260"/>
      <c r="J57" s="549">
        <v>204348.48</v>
      </c>
      <c r="K57" s="260"/>
      <c r="L57" s="556">
        <v>641962.92000000004</v>
      </c>
      <c r="M57" s="274"/>
      <c r="N57" s="1236">
        <v>471536.56</v>
      </c>
      <c r="O57" s="260"/>
      <c r="P57" s="1236">
        <v>625587</v>
      </c>
      <c r="Q57" s="260"/>
      <c r="R57" s="1236">
        <v>696461</v>
      </c>
      <c r="S57" s="260"/>
      <c r="T57" s="1236">
        <v>662549.85</v>
      </c>
      <c r="U57" s="260"/>
      <c r="V57" s="1236">
        <v>677194.17</v>
      </c>
      <c r="W57" s="260"/>
      <c r="X57" s="1236">
        <v>786628.19</v>
      </c>
      <c r="Y57" s="260"/>
      <c r="Z57" s="1582"/>
      <c r="AB57" s="1015"/>
      <c r="AC57" s="1024">
        <f t="shared" si="6"/>
        <v>689684.04200000002</v>
      </c>
    </row>
    <row r="58" spans="1:29" ht="13.5" thickTop="1" x14ac:dyDescent="0.2">
      <c r="A58" s="3"/>
      <c r="B58" s="96"/>
      <c r="C58" s="97"/>
      <c r="D58" s="98"/>
      <c r="E58" s="97"/>
      <c r="F58" s="34"/>
      <c r="G58" s="157"/>
      <c r="H58" s="135"/>
      <c r="I58" s="157"/>
      <c r="J58" s="429"/>
      <c r="K58" s="157"/>
      <c r="L58" s="429"/>
      <c r="M58" s="157"/>
      <c r="N58" s="429"/>
      <c r="O58" s="157"/>
      <c r="P58" s="429"/>
      <c r="Q58" s="157"/>
      <c r="R58" s="429"/>
      <c r="S58" s="157"/>
      <c r="T58" s="429"/>
      <c r="U58" s="157"/>
      <c r="V58" s="429"/>
      <c r="W58" s="157"/>
      <c r="X58" s="429"/>
      <c r="Y58" s="157"/>
      <c r="Z58" s="429"/>
    </row>
    <row r="59" spans="1:29" x14ac:dyDescent="0.2">
      <c r="A59" s="2" t="s">
        <v>76</v>
      </c>
      <c r="B59" s="96"/>
      <c r="C59" s="97"/>
      <c r="D59" s="98"/>
      <c r="E59" s="97"/>
      <c r="F59" s="34"/>
      <c r="G59" s="157"/>
      <c r="H59" s="135"/>
      <c r="I59" s="157"/>
      <c r="J59" s="135"/>
      <c r="K59" s="157"/>
      <c r="L59" s="135"/>
      <c r="M59" s="157"/>
      <c r="N59" s="135"/>
      <c r="O59" s="157"/>
      <c r="P59" s="135"/>
      <c r="Q59" s="157"/>
      <c r="R59" s="135"/>
      <c r="S59" s="157"/>
      <c r="T59" s="135"/>
      <c r="U59" s="157"/>
      <c r="V59" s="135"/>
      <c r="W59" s="157"/>
      <c r="X59" s="135"/>
      <c r="Y59" s="157"/>
      <c r="Z59" s="135"/>
    </row>
    <row r="60" spans="1:29" ht="13.5" thickBot="1" x14ac:dyDescent="0.25">
      <c r="A60" s="3"/>
      <c r="B60" s="96"/>
      <c r="C60" s="97"/>
      <c r="D60" s="98"/>
      <c r="E60" s="97"/>
      <c r="F60" s="34"/>
      <c r="G60" s="157"/>
      <c r="H60" s="135"/>
      <c r="I60" s="157"/>
      <c r="J60" s="135"/>
      <c r="K60" s="157"/>
      <c r="L60" s="135"/>
      <c r="M60" s="157"/>
      <c r="N60" s="135"/>
      <c r="O60" s="157"/>
      <c r="P60" s="135"/>
      <c r="Q60" s="157"/>
      <c r="R60" s="135"/>
      <c r="S60" s="157"/>
      <c r="T60" s="135"/>
      <c r="U60" s="157"/>
      <c r="V60" s="135"/>
      <c r="W60" s="157"/>
      <c r="X60" s="135"/>
      <c r="Y60" s="157"/>
      <c r="Z60" s="135"/>
    </row>
    <row r="61" spans="1:29" s="3" customFormat="1" ht="14.25" customHeight="1" thickTop="1" thickBot="1" x14ac:dyDescent="0.25">
      <c r="B61" s="340"/>
      <c r="C61" s="2013" t="s">
        <v>49</v>
      </c>
      <c r="D61" s="2014"/>
      <c r="E61" s="2015" t="s">
        <v>50</v>
      </c>
      <c r="F61" s="2015"/>
      <c r="G61" s="2002" t="s">
        <v>141</v>
      </c>
      <c r="H61" s="1982"/>
      <c r="I61" s="1974" t="s">
        <v>152</v>
      </c>
      <c r="J61" s="1982"/>
      <c r="K61" s="1974" t="s">
        <v>154</v>
      </c>
      <c r="L61" s="1974"/>
      <c r="M61" s="2002" t="s">
        <v>171</v>
      </c>
      <c r="N61" s="1982"/>
      <c r="O61" s="1974" t="s">
        <v>227</v>
      </c>
      <c r="P61" s="1982"/>
      <c r="Q61" s="1974" t="s">
        <v>237</v>
      </c>
      <c r="R61" s="1982"/>
      <c r="S61" s="1974" t="s">
        <v>272</v>
      </c>
      <c r="T61" s="1982"/>
      <c r="U61" s="1974" t="s">
        <v>274</v>
      </c>
      <c r="V61" s="1982"/>
      <c r="W61" s="1974" t="s">
        <v>280</v>
      </c>
      <c r="X61" s="1982"/>
      <c r="Y61" s="1974" t="s">
        <v>290</v>
      </c>
      <c r="Z61" s="1975"/>
      <c r="AB61" s="2003" t="s">
        <v>213</v>
      </c>
      <c r="AC61" s="2004"/>
    </row>
    <row r="62" spans="1:29" s="3" customFormat="1" ht="12" x14ac:dyDescent="0.2">
      <c r="B62" s="73" t="s">
        <v>53</v>
      </c>
      <c r="C62" s="54"/>
      <c r="D62" s="92"/>
      <c r="E62" s="30"/>
      <c r="F62" s="30"/>
      <c r="G62" s="243"/>
      <c r="H62" s="244"/>
      <c r="I62" s="138"/>
      <c r="J62" s="244"/>
      <c r="K62" s="138"/>
      <c r="L62" s="138"/>
      <c r="M62" s="243"/>
      <c r="N62" s="244"/>
      <c r="O62" s="138"/>
      <c r="P62" s="244"/>
      <c r="Q62" s="138"/>
      <c r="R62" s="244"/>
      <c r="S62" s="138"/>
      <c r="T62" s="244"/>
      <c r="U62" s="138"/>
      <c r="V62" s="244"/>
      <c r="W62" s="138"/>
      <c r="X62" s="244"/>
      <c r="Y62" s="138"/>
      <c r="Z62" s="140"/>
      <c r="AB62" s="831"/>
      <c r="AC62" s="930"/>
    </row>
    <row r="63" spans="1:29" s="3" customFormat="1" ht="12" x14ac:dyDescent="0.2">
      <c r="B63" s="74" t="s">
        <v>54</v>
      </c>
      <c r="C63" s="184"/>
      <c r="D63" s="165"/>
      <c r="E63" s="31"/>
      <c r="F63" s="171"/>
      <c r="G63" s="239"/>
      <c r="H63" s="261"/>
      <c r="I63" s="139"/>
      <c r="J63" s="261"/>
      <c r="K63" s="139"/>
      <c r="L63" s="183"/>
      <c r="M63" s="239"/>
      <c r="N63" s="261"/>
      <c r="O63" s="139"/>
      <c r="P63" s="261"/>
      <c r="Q63" s="139"/>
      <c r="R63" s="261"/>
      <c r="S63" s="139"/>
      <c r="T63" s="261"/>
      <c r="U63" s="139"/>
      <c r="V63" s="261"/>
      <c r="W63" s="139"/>
      <c r="X63" s="261"/>
      <c r="Y63" s="139"/>
      <c r="Z63" s="142"/>
      <c r="AB63" s="24"/>
      <c r="AC63" s="579"/>
    </row>
    <row r="64" spans="1:29" s="3" customFormat="1" ht="12" x14ac:dyDescent="0.2">
      <c r="B64" s="75" t="s">
        <v>55</v>
      </c>
      <c r="C64" s="184"/>
      <c r="D64" s="165">
        <v>15</v>
      </c>
      <c r="E64" s="31"/>
      <c r="F64" s="171">
        <v>17</v>
      </c>
      <c r="G64" s="239"/>
      <c r="H64" s="261">
        <v>17</v>
      </c>
      <c r="I64" s="139"/>
      <c r="J64" s="261">
        <v>18</v>
      </c>
      <c r="K64" s="139"/>
      <c r="L64" s="183">
        <v>17</v>
      </c>
      <c r="M64" s="239"/>
      <c r="N64" s="261">
        <v>18</v>
      </c>
      <c r="O64" s="139"/>
      <c r="P64" s="261">
        <v>17</v>
      </c>
      <c r="Q64" s="139"/>
      <c r="R64" s="261">
        <v>17</v>
      </c>
      <c r="S64" s="139"/>
      <c r="T64" s="261">
        <v>17</v>
      </c>
      <c r="U64" s="139"/>
      <c r="V64" s="261">
        <v>17</v>
      </c>
      <c r="W64" s="139"/>
      <c r="X64" s="261">
        <v>17</v>
      </c>
      <c r="Y64" s="139"/>
      <c r="Z64" s="142">
        <v>17</v>
      </c>
      <c r="AB64" s="12"/>
      <c r="AC64" s="1113">
        <f>AVERAGE(X64,V64,R64,T64,Z64)</f>
        <v>17</v>
      </c>
    </row>
    <row r="65" spans="2:29" s="3" customFormat="1" ht="12" x14ac:dyDescent="0.2">
      <c r="B65" s="75" t="s">
        <v>181</v>
      </c>
      <c r="C65" s="184"/>
      <c r="D65" s="165">
        <v>1</v>
      </c>
      <c r="E65" s="31"/>
      <c r="F65" s="171">
        <v>2</v>
      </c>
      <c r="G65" s="239"/>
      <c r="H65" s="261">
        <v>2</v>
      </c>
      <c r="I65" s="139"/>
      <c r="J65" s="261">
        <v>0</v>
      </c>
      <c r="K65" s="139"/>
      <c r="L65" s="183">
        <v>2</v>
      </c>
      <c r="M65" s="239"/>
      <c r="N65" s="261">
        <v>2</v>
      </c>
      <c r="O65" s="139"/>
      <c r="P65" s="261">
        <v>2</v>
      </c>
      <c r="Q65" s="139"/>
      <c r="R65" s="261">
        <v>3</v>
      </c>
      <c r="S65" s="139"/>
      <c r="T65" s="261">
        <v>3</v>
      </c>
      <c r="U65" s="139"/>
      <c r="V65" s="261">
        <v>3</v>
      </c>
      <c r="W65" s="139"/>
      <c r="X65" s="261">
        <v>3</v>
      </c>
      <c r="Y65" s="139"/>
      <c r="Z65" s="142">
        <v>2</v>
      </c>
      <c r="AB65" s="12"/>
      <c r="AC65" s="1113">
        <f t="shared" ref="AC65:AC69" si="7">AVERAGE(X65,V65,R65,T65,Z65)</f>
        <v>2.8</v>
      </c>
    </row>
    <row r="66" spans="2:29" s="3" customFormat="1" ht="12" x14ac:dyDescent="0.2">
      <c r="B66" s="74" t="s">
        <v>57</v>
      </c>
      <c r="C66" s="184"/>
      <c r="D66" s="94"/>
      <c r="E66" s="31"/>
      <c r="F66" s="39"/>
      <c r="G66" s="239"/>
      <c r="H66" s="240"/>
      <c r="I66" s="139"/>
      <c r="J66" s="240"/>
      <c r="K66" s="139"/>
      <c r="L66" s="241"/>
      <c r="M66" s="239"/>
      <c r="N66" s="240"/>
      <c r="O66" s="139"/>
      <c r="P66" s="240"/>
      <c r="Q66" s="139"/>
      <c r="R66" s="240"/>
      <c r="S66" s="139"/>
      <c r="T66" s="240"/>
      <c r="U66" s="139"/>
      <c r="V66" s="240"/>
      <c r="W66" s="139"/>
      <c r="X66" s="240"/>
      <c r="Y66" s="139"/>
      <c r="Z66" s="143"/>
      <c r="AB66" s="12"/>
      <c r="AC66" s="1113"/>
    </row>
    <row r="67" spans="2:29" s="3" customFormat="1" ht="12" x14ac:dyDescent="0.2">
      <c r="B67" s="75" t="s">
        <v>55</v>
      </c>
      <c r="C67" s="184"/>
      <c r="D67" s="94">
        <v>0</v>
      </c>
      <c r="E67" s="31"/>
      <c r="F67" s="39">
        <v>0</v>
      </c>
      <c r="G67" s="239"/>
      <c r="H67" s="240">
        <v>0</v>
      </c>
      <c r="I67" s="139"/>
      <c r="J67" s="240">
        <v>0</v>
      </c>
      <c r="K67" s="139"/>
      <c r="L67" s="241">
        <v>0</v>
      </c>
      <c r="M67" s="239"/>
      <c r="N67" s="240">
        <v>0</v>
      </c>
      <c r="O67" s="139"/>
      <c r="P67" s="240">
        <v>0</v>
      </c>
      <c r="Q67" s="139"/>
      <c r="R67" s="240">
        <v>0</v>
      </c>
      <c r="S67" s="139"/>
      <c r="T67" s="240">
        <v>0</v>
      </c>
      <c r="U67" s="139"/>
      <c r="V67" s="240">
        <v>0</v>
      </c>
      <c r="W67" s="139"/>
      <c r="X67" s="240">
        <v>0</v>
      </c>
      <c r="Y67" s="139"/>
      <c r="Z67" s="143">
        <v>0</v>
      </c>
      <c r="AB67" s="12"/>
      <c r="AC67" s="1113">
        <f t="shared" si="7"/>
        <v>0</v>
      </c>
    </row>
    <row r="68" spans="2:29" s="3" customFormat="1" ht="12" x14ac:dyDescent="0.2">
      <c r="B68" s="341" t="s">
        <v>181</v>
      </c>
      <c r="C68" s="184"/>
      <c r="D68" s="94">
        <v>0</v>
      </c>
      <c r="E68" s="31"/>
      <c r="F68" s="39">
        <v>0</v>
      </c>
      <c r="G68" s="239"/>
      <c r="H68" s="240">
        <v>0</v>
      </c>
      <c r="I68" s="139"/>
      <c r="J68" s="240">
        <v>1</v>
      </c>
      <c r="K68" s="139"/>
      <c r="L68" s="241">
        <v>0</v>
      </c>
      <c r="M68" s="239"/>
      <c r="N68" s="240">
        <v>0</v>
      </c>
      <c r="O68" s="139"/>
      <c r="P68" s="240">
        <v>0</v>
      </c>
      <c r="Q68" s="139"/>
      <c r="R68" s="240">
        <v>1</v>
      </c>
      <c r="S68" s="139"/>
      <c r="T68" s="240">
        <v>0</v>
      </c>
      <c r="U68" s="139"/>
      <c r="V68" s="240">
        <v>0</v>
      </c>
      <c r="W68" s="139"/>
      <c r="X68" s="240">
        <v>0</v>
      </c>
      <c r="Y68" s="139"/>
      <c r="Z68" s="143">
        <v>0</v>
      </c>
      <c r="AB68" s="12"/>
      <c r="AC68" s="1113">
        <f t="shared" si="7"/>
        <v>0.2</v>
      </c>
    </row>
    <row r="69" spans="2:29" s="3" customFormat="1" thickBot="1" x14ac:dyDescent="0.25">
      <c r="B69" s="79" t="s">
        <v>13</v>
      </c>
      <c r="C69" s="233"/>
      <c r="D69" s="234">
        <f>SUM(D64:D68)</f>
        <v>16</v>
      </c>
      <c r="E69" s="107"/>
      <c r="F69" s="106">
        <f>SUM(F64:F68)</f>
        <v>19</v>
      </c>
      <c r="G69" s="297"/>
      <c r="H69" s="427">
        <v>19</v>
      </c>
      <c r="I69" s="426"/>
      <c r="J69" s="427">
        <f>SUM(J64:J68)</f>
        <v>19</v>
      </c>
      <c r="K69" s="426"/>
      <c r="L69" s="454">
        <f>SUM(L64:L68)</f>
        <v>19</v>
      </c>
      <c r="M69" s="297"/>
      <c r="N69" s="427">
        <f>SUM(N64:N68)</f>
        <v>20</v>
      </c>
      <c r="O69" s="426"/>
      <c r="P69" s="427">
        <f>SUM(P64:P68)</f>
        <v>19</v>
      </c>
      <c r="Q69" s="426"/>
      <c r="R69" s="427">
        <f>SUM(R64:R68)</f>
        <v>21</v>
      </c>
      <c r="S69" s="426"/>
      <c r="T69" s="427">
        <f>SUM(T64:T68)</f>
        <v>20</v>
      </c>
      <c r="U69" s="426"/>
      <c r="V69" s="427">
        <f>SUM(V64:V68)</f>
        <v>20</v>
      </c>
      <c r="W69" s="426"/>
      <c r="X69" s="427">
        <f>SUM(X64:X68)</f>
        <v>20</v>
      </c>
      <c r="Y69" s="426"/>
      <c r="Z69" s="374">
        <f>SUM(Z64:Z68)</f>
        <v>19</v>
      </c>
      <c r="AB69" s="831"/>
      <c r="AC69" s="1114">
        <f t="shared" si="7"/>
        <v>20</v>
      </c>
    </row>
    <row r="70" spans="2:29" s="3" customFormat="1" thickTop="1" x14ac:dyDescent="0.2">
      <c r="B70" s="342" t="s">
        <v>135</v>
      </c>
      <c r="C70" s="392"/>
      <c r="D70" s="393"/>
      <c r="E70" s="43" t="s">
        <v>133</v>
      </c>
      <c r="F70" s="41" t="s">
        <v>134</v>
      </c>
      <c r="G70" s="317" t="s">
        <v>133</v>
      </c>
      <c r="H70" s="412" t="s">
        <v>134</v>
      </c>
      <c r="I70" s="411" t="s">
        <v>133</v>
      </c>
      <c r="J70" s="449" t="s">
        <v>134</v>
      </c>
      <c r="K70" s="317" t="s">
        <v>133</v>
      </c>
      <c r="L70" s="449" t="s">
        <v>134</v>
      </c>
      <c r="M70" s="317" t="s">
        <v>133</v>
      </c>
      <c r="N70" s="441" t="s">
        <v>134</v>
      </c>
      <c r="O70" s="411" t="s">
        <v>133</v>
      </c>
      <c r="P70" s="412" t="s">
        <v>134</v>
      </c>
      <c r="Q70" s="411" t="s">
        <v>133</v>
      </c>
      <c r="R70" s="412" t="s">
        <v>134</v>
      </c>
      <c r="S70" s="411" t="s">
        <v>133</v>
      </c>
      <c r="T70" s="412" t="s">
        <v>134</v>
      </c>
      <c r="U70" s="411" t="s">
        <v>133</v>
      </c>
      <c r="V70" s="412" t="s">
        <v>134</v>
      </c>
      <c r="W70" s="411" t="s">
        <v>133</v>
      </c>
      <c r="X70" s="412" t="s">
        <v>134</v>
      </c>
      <c r="Y70" s="411" t="s">
        <v>133</v>
      </c>
      <c r="Z70" s="289" t="s">
        <v>134</v>
      </c>
      <c r="AB70" s="952" t="s">
        <v>133</v>
      </c>
      <c r="AC70" s="1509" t="s">
        <v>134</v>
      </c>
    </row>
    <row r="71" spans="2:29" s="3" customFormat="1" ht="12" x14ac:dyDescent="0.2">
      <c r="B71" s="75" t="s">
        <v>87</v>
      </c>
      <c r="C71" s="319">
        <v>11</v>
      </c>
      <c r="D71" s="216">
        <f>C71/D$69</f>
        <v>0.6875</v>
      </c>
      <c r="E71" s="173">
        <v>13</v>
      </c>
      <c r="F71" s="221">
        <f t="shared" ref="F71:H78" si="8">E71/F$69</f>
        <v>0.68421052631578949</v>
      </c>
      <c r="G71" s="215">
        <v>14</v>
      </c>
      <c r="H71" s="216">
        <f t="shared" si="8"/>
        <v>0.73684210526315785</v>
      </c>
      <c r="I71" s="173">
        <v>14</v>
      </c>
      <c r="J71" s="216">
        <f t="shared" ref="J71:L78" si="9">I71/J$69</f>
        <v>0.73684210526315785</v>
      </c>
      <c r="K71" s="173">
        <f>14+1</f>
        <v>15</v>
      </c>
      <c r="L71" s="221">
        <f t="shared" si="9"/>
        <v>0.78947368421052633</v>
      </c>
      <c r="M71" s="215">
        <f>15+1</f>
        <v>16</v>
      </c>
      <c r="N71" s="216">
        <f t="shared" ref="N71:T78" si="10">M71/N$69</f>
        <v>0.8</v>
      </c>
      <c r="O71" s="173">
        <v>15</v>
      </c>
      <c r="P71" s="216">
        <f t="shared" si="10"/>
        <v>0.78947368421052633</v>
      </c>
      <c r="Q71" s="173">
        <v>15</v>
      </c>
      <c r="R71" s="216">
        <f t="shared" si="10"/>
        <v>0.7142857142857143</v>
      </c>
      <c r="S71" s="173">
        <f>2+10</f>
        <v>12</v>
      </c>
      <c r="T71" s="216">
        <f t="shared" si="10"/>
        <v>0.6</v>
      </c>
      <c r="U71" s="173">
        <v>12</v>
      </c>
      <c r="V71" s="216">
        <f t="shared" ref="V71:V76" si="11">U71/V$69</f>
        <v>0.6</v>
      </c>
      <c r="W71" s="173">
        <f>3+10</f>
        <v>13</v>
      </c>
      <c r="X71" s="216">
        <f t="shared" ref="X71:Z76" si="12">W71/X$69</f>
        <v>0.65</v>
      </c>
      <c r="Y71" s="173">
        <v>11</v>
      </c>
      <c r="Z71" s="1494">
        <f t="shared" si="12"/>
        <v>0.57894736842105265</v>
      </c>
      <c r="AA71" s="955"/>
      <c r="AB71" s="1016">
        <f t="shared" ref="AB71:AB90" si="13">AVERAGE(W71,U71,Q71,S71,Y71)</f>
        <v>12.6</v>
      </c>
      <c r="AC71" s="863">
        <f t="shared" ref="AC71:AC90" si="14">AVERAGE(X71,V71,R71,T71,Z71)</f>
        <v>0.62864661654135345</v>
      </c>
    </row>
    <row r="72" spans="2:29" s="3" customFormat="1" ht="12" x14ac:dyDescent="0.2">
      <c r="B72" s="85" t="s">
        <v>88</v>
      </c>
      <c r="C72" s="319">
        <v>0</v>
      </c>
      <c r="D72" s="216">
        <f t="shared" ref="D72:D90" si="15">C72/$D$69</f>
        <v>0</v>
      </c>
      <c r="E72" s="173">
        <v>0</v>
      </c>
      <c r="F72" s="221">
        <f t="shared" si="8"/>
        <v>0</v>
      </c>
      <c r="G72" s="215">
        <v>0</v>
      </c>
      <c r="H72" s="216">
        <f t="shared" si="8"/>
        <v>0</v>
      </c>
      <c r="I72" s="173">
        <v>1</v>
      </c>
      <c r="J72" s="216">
        <f t="shared" si="9"/>
        <v>5.2631578947368418E-2</v>
      </c>
      <c r="K72" s="173">
        <f>1</f>
        <v>1</v>
      </c>
      <c r="L72" s="221">
        <f t="shared" si="9"/>
        <v>5.2631578947368418E-2</v>
      </c>
      <c r="M72" s="215">
        <v>1</v>
      </c>
      <c r="N72" s="216">
        <f t="shared" si="10"/>
        <v>0.05</v>
      </c>
      <c r="O72" s="173">
        <v>1</v>
      </c>
      <c r="P72" s="216">
        <f t="shared" si="10"/>
        <v>5.2631578947368418E-2</v>
      </c>
      <c r="Q72" s="173">
        <v>1</v>
      </c>
      <c r="R72" s="216">
        <f t="shared" si="10"/>
        <v>4.7619047619047616E-2</v>
      </c>
      <c r="S72" s="173">
        <f>0+1</f>
        <v>1</v>
      </c>
      <c r="T72" s="216">
        <f t="shared" si="10"/>
        <v>0.05</v>
      </c>
      <c r="U72" s="173">
        <v>1</v>
      </c>
      <c r="V72" s="216">
        <f t="shared" si="11"/>
        <v>0.05</v>
      </c>
      <c r="W72" s="173">
        <v>1</v>
      </c>
      <c r="X72" s="216">
        <f t="shared" si="12"/>
        <v>0.05</v>
      </c>
      <c r="Y72" s="173">
        <v>2</v>
      </c>
      <c r="Z72" s="1494">
        <f t="shared" si="12"/>
        <v>0.10526315789473684</v>
      </c>
      <c r="AA72" s="955"/>
      <c r="AB72" s="1016">
        <f t="shared" si="13"/>
        <v>1.2</v>
      </c>
      <c r="AC72" s="863">
        <f t="shared" si="14"/>
        <v>6.0576441102756895E-2</v>
      </c>
    </row>
    <row r="73" spans="2:29" s="3" customFormat="1" ht="12" x14ac:dyDescent="0.2">
      <c r="B73" s="85" t="s">
        <v>89</v>
      </c>
      <c r="C73" s="319">
        <v>0</v>
      </c>
      <c r="D73" s="216">
        <f t="shared" si="15"/>
        <v>0</v>
      </c>
      <c r="E73" s="173">
        <v>0</v>
      </c>
      <c r="F73" s="221">
        <f t="shared" si="8"/>
        <v>0</v>
      </c>
      <c r="G73" s="215">
        <v>0</v>
      </c>
      <c r="H73" s="216">
        <f t="shared" si="8"/>
        <v>0</v>
      </c>
      <c r="I73" s="173">
        <v>0</v>
      </c>
      <c r="J73" s="216">
        <f t="shared" si="9"/>
        <v>0</v>
      </c>
      <c r="K73" s="173">
        <v>0</v>
      </c>
      <c r="L73" s="221">
        <f t="shared" si="9"/>
        <v>0</v>
      </c>
      <c r="M73" s="215">
        <v>0</v>
      </c>
      <c r="N73" s="216">
        <f t="shared" si="10"/>
        <v>0</v>
      </c>
      <c r="O73" s="173">
        <v>0</v>
      </c>
      <c r="P73" s="216">
        <f t="shared" si="10"/>
        <v>0</v>
      </c>
      <c r="Q73" s="173">
        <v>0</v>
      </c>
      <c r="R73" s="216">
        <f t="shared" si="10"/>
        <v>0</v>
      </c>
      <c r="S73" s="173">
        <f>0+1</f>
        <v>1</v>
      </c>
      <c r="T73" s="216">
        <f t="shared" si="10"/>
        <v>0.05</v>
      </c>
      <c r="U73" s="173">
        <v>1</v>
      </c>
      <c r="V73" s="216">
        <f t="shared" si="11"/>
        <v>0.05</v>
      </c>
      <c r="W73" s="173">
        <v>1</v>
      </c>
      <c r="X73" s="216">
        <f t="shared" si="12"/>
        <v>0.05</v>
      </c>
      <c r="Y73" s="173">
        <v>1</v>
      </c>
      <c r="Z73" s="1494">
        <f t="shared" si="12"/>
        <v>5.2631578947368418E-2</v>
      </c>
      <c r="AA73" s="955"/>
      <c r="AB73" s="1016">
        <f t="shared" si="13"/>
        <v>0.8</v>
      </c>
      <c r="AC73" s="863">
        <f t="shared" si="14"/>
        <v>4.0526315789473688E-2</v>
      </c>
    </row>
    <row r="74" spans="2:29" s="3" customFormat="1" ht="12" x14ac:dyDescent="0.2">
      <c r="B74" s="85" t="s">
        <v>90</v>
      </c>
      <c r="C74" s="319">
        <v>0</v>
      </c>
      <c r="D74" s="216">
        <f t="shared" si="15"/>
        <v>0</v>
      </c>
      <c r="E74" s="173">
        <v>0</v>
      </c>
      <c r="F74" s="221">
        <f t="shared" si="8"/>
        <v>0</v>
      </c>
      <c r="G74" s="215">
        <v>0</v>
      </c>
      <c r="H74" s="216">
        <f t="shared" si="8"/>
        <v>0</v>
      </c>
      <c r="I74" s="173">
        <v>0</v>
      </c>
      <c r="J74" s="216">
        <f t="shared" si="9"/>
        <v>0</v>
      </c>
      <c r="K74" s="173">
        <v>0</v>
      </c>
      <c r="L74" s="221">
        <f t="shared" si="9"/>
        <v>0</v>
      </c>
      <c r="M74" s="215">
        <v>0</v>
      </c>
      <c r="N74" s="216">
        <f t="shared" si="10"/>
        <v>0</v>
      </c>
      <c r="O74" s="173">
        <v>0</v>
      </c>
      <c r="P74" s="216">
        <f t="shared" si="10"/>
        <v>0</v>
      </c>
      <c r="Q74" s="173">
        <v>0</v>
      </c>
      <c r="R74" s="216">
        <f t="shared" si="10"/>
        <v>0</v>
      </c>
      <c r="S74" s="173">
        <f>0</f>
        <v>0</v>
      </c>
      <c r="T74" s="216">
        <f t="shared" si="10"/>
        <v>0</v>
      </c>
      <c r="U74" s="173">
        <v>0</v>
      </c>
      <c r="V74" s="216">
        <f t="shared" si="11"/>
        <v>0</v>
      </c>
      <c r="W74" s="173">
        <v>0</v>
      </c>
      <c r="X74" s="216">
        <f t="shared" si="12"/>
        <v>0</v>
      </c>
      <c r="Y74" s="173">
        <v>0</v>
      </c>
      <c r="Z74" s="1494">
        <f t="shared" si="12"/>
        <v>0</v>
      </c>
      <c r="AA74" s="955"/>
      <c r="AB74" s="1016">
        <f t="shared" si="13"/>
        <v>0</v>
      </c>
      <c r="AC74" s="863">
        <f t="shared" si="14"/>
        <v>0</v>
      </c>
    </row>
    <row r="75" spans="2:29" s="3" customFormat="1" ht="12" x14ac:dyDescent="0.2">
      <c r="B75" s="85" t="s">
        <v>91</v>
      </c>
      <c r="C75" s="319">
        <v>2</v>
      </c>
      <c r="D75" s="216">
        <f t="shared" si="15"/>
        <v>0.125</v>
      </c>
      <c r="E75" s="173">
        <v>3</v>
      </c>
      <c r="F75" s="221">
        <f t="shared" si="8"/>
        <v>0.15789473684210525</v>
      </c>
      <c r="G75" s="215">
        <v>4</v>
      </c>
      <c r="H75" s="216">
        <f t="shared" si="8"/>
        <v>0.21052631578947367</v>
      </c>
      <c r="I75" s="173">
        <v>4</v>
      </c>
      <c r="J75" s="216">
        <f t="shared" si="9"/>
        <v>0.21052631578947367</v>
      </c>
      <c r="K75" s="173">
        <f>1</f>
        <v>1</v>
      </c>
      <c r="L75" s="221">
        <f t="shared" si="9"/>
        <v>5.2631578947368418E-2</v>
      </c>
      <c r="M75" s="215">
        <f>2+1</f>
        <v>3</v>
      </c>
      <c r="N75" s="216">
        <f t="shared" si="10"/>
        <v>0.15</v>
      </c>
      <c r="O75" s="173">
        <v>3</v>
      </c>
      <c r="P75" s="216">
        <f t="shared" si="10"/>
        <v>0.15789473684210525</v>
      </c>
      <c r="Q75" s="173">
        <v>4</v>
      </c>
      <c r="R75" s="216">
        <f t="shared" si="10"/>
        <v>0.19047619047619047</v>
      </c>
      <c r="S75" s="173">
        <f>1+3</f>
        <v>4</v>
      </c>
      <c r="T75" s="216">
        <f t="shared" si="10"/>
        <v>0.2</v>
      </c>
      <c r="U75" s="173">
        <v>2</v>
      </c>
      <c r="V75" s="216">
        <f t="shared" si="11"/>
        <v>0.1</v>
      </c>
      <c r="W75" s="173">
        <v>2</v>
      </c>
      <c r="X75" s="216">
        <f t="shared" si="12"/>
        <v>0.1</v>
      </c>
      <c r="Y75" s="173">
        <v>3</v>
      </c>
      <c r="Z75" s="1494">
        <f t="shared" si="12"/>
        <v>0.15789473684210525</v>
      </c>
      <c r="AA75" s="955"/>
      <c r="AB75" s="1016">
        <f t="shared" si="13"/>
        <v>3</v>
      </c>
      <c r="AC75" s="863">
        <f t="shared" si="14"/>
        <v>0.14967418546365913</v>
      </c>
    </row>
    <row r="76" spans="2:29" s="3" customFormat="1" ht="12" x14ac:dyDescent="0.2">
      <c r="B76" s="85" t="s">
        <v>92</v>
      </c>
      <c r="C76" s="319">
        <v>3</v>
      </c>
      <c r="D76" s="216">
        <f t="shared" si="15"/>
        <v>0.1875</v>
      </c>
      <c r="E76" s="173">
        <v>3</v>
      </c>
      <c r="F76" s="221">
        <f t="shared" si="8"/>
        <v>0.15789473684210525</v>
      </c>
      <c r="G76" s="215">
        <v>1</v>
      </c>
      <c r="H76" s="216">
        <f t="shared" si="8"/>
        <v>5.2631578947368418E-2</v>
      </c>
      <c r="I76" s="173">
        <v>0</v>
      </c>
      <c r="J76" s="216">
        <f t="shared" si="9"/>
        <v>0</v>
      </c>
      <c r="K76" s="173">
        <v>0</v>
      </c>
      <c r="L76" s="221">
        <f t="shared" si="9"/>
        <v>0</v>
      </c>
      <c r="M76" s="215">
        <v>0</v>
      </c>
      <c r="N76" s="216">
        <f t="shared" si="10"/>
        <v>0</v>
      </c>
      <c r="O76" s="173">
        <v>0</v>
      </c>
      <c r="P76" s="216">
        <f t="shared" si="10"/>
        <v>0</v>
      </c>
      <c r="Q76" s="173">
        <v>1</v>
      </c>
      <c r="R76" s="216">
        <f t="shared" si="10"/>
        <v>4.7619047619047616E-2</v>
      </c>
      <c r="S76" s="173">
        <f>0+2</f>
        <v>2</v>
      </c>
      <c r="T76" s="216">
        <f t="shared" si="10"/>
        <v>0.1</v>
      </c>
      <c r="U76" s="173">
        <v>4</v>
      </c>
      <c r="V76" s="216">
        <f t="shared" si="11"/>
        <v>0.2</v>
      </c>
      <c r="W76" s="173">
        <v>3</v>
      </c>
      <c r="X76" s="216">
        <f t="shared" si="12"/>
        <v>0.15</v>
      </c>
      <c r="Y76" s="173">
        <v>2</v>
      </c>
      <c r="Z76" s="1494">
        <f t="shared" si="12"/>
        <v>0.10526315789473684</v>
      </c>
      <c r="AA76" s="955"/>
      <c r="AB76" s="1016">
        <f t="shared" si="13"/>
        <v>2.4</v>
      </c>
      <c r="AC76" s="863">
        <f t="shared" si="14"/>
        <v>0.12057644110275689</v>
      </c>
    </row>
    <row r="77" spans="2:29" s="3" customFormat="1" ht="12" x14ac:dyDescent="0.2">
      <c r="B77" s="85" t="s">
        <v>256</v>
      </c>
      <c r="C77" s="346"/>
      <c r="D77" s="216"/>
      <c r="E77" s="174"/>
      <c r="F77" s="221"/>
      <c r="G77" s="1510"/>
      <c r="H77" s="1511"/>
      <c r="I77" s="1512"/>
      <c r="J77" s="1511"/>
      <c r="K77" s="1512"/>
      <c r="L77" s="1513"/>
      <c r="M77" s="1510"/>
      <c r="N77" s="1511"/>
      <c r="O77" s="1512"/>
      <c r="P77" s="1511"/>
      <c r="Q77" s="173">
        <v>0</v>
      </c>
      <c r="R77" s="216">
        <f>Q77/R$69</f>
        <v>0</v>
      </c>
      <c r="S77" s="173">
        <f>0</f>
        <v>0</v>
      </c>
      <c r="T77" s="216">
        <f>S77/T$69</f>
        <v>0</v>
      </c>
      <c r="U77" s="173">
        <v>0</v>
      </c>
      <c r="V77" s="216">
        <f>U77/V$69</f>
        <v>0</v>
      </c>
      <c r="W77" s="173">
        <v>0</v>
      </c>
      <c r="X77" s="216">
        <f>W77/X$69</f>
        <v>0</v>
      </c>
      <c r="Y77" s="173">
        <v>0</v>
      </c>
      <c r="Z77" s="1494">
        <f>Y77/Z$69</f>
        <v>0</v>
      </c>
      <c r="AA77" s="955"/>
      <c r="AB77" s="1016">
        <f t="shared" si="13"/>
        <v>0</v>
      </c>
      <c r="AC77" s="863">
        <f t="shared" si="14"/>
        <v>0</v>
      </c>
    </row>
    <row r="78" spans="2:29" s="3" customFormat="1" ht="12" x14ac:dyDescent="0.2">
      <c r="B78" s="85" t="s">
        <v>93</v>
      </c>
      <c r="C78" s="346">
        <v>0</v>
      </c>
      <c r="D78" s="216">
        <f t="shared" si="15"/>
        <v>0</v>
      </c>
      <c r="E78" s="174">
        <v>0</v>
      </c>
      <c r="F78" s="221">
        <f t="shared" si="8"/>
        <v>0</v>
      </c>
      <c r="G78" s="217">
        <v>0</v>
      </c>
      <c r="H78" s="216">
        <f t="shared" si="8"/>
        <v>0</v>
      </c>
      <c r="I78" s="174">
        <v>0</v>
      </c>
      <c r="J78" s="216">
        <f t="shared" si="9"/>
        <v>0</v>
      </c>
      <c r="K78" s="174">
        <v>0</v>
      </c>
      <c r="L78" s="221">
        <f t="shared" si="9"/>
        <v>0</v>
      </c>
      <c r="M78" s="217">
        <v>0</v>
      </c>
      <c r="N78" s="216">
        <f t="shared" si="10"/>
        <v>0</v>
      </c>
      <c r="O78" s="174">
        <v>0</v>
      </c>
      <c r="P78" s="216">
        <f t="shared" si="10"/>
        <v>0</v>
      </c>
      <c r="Q78" s="174">
        <v>0</v>
      </c>
      <c r="R78" s="216">
        <f t="shared" si="10"/>
        <v>0</v>
      </c>
      <c r="S78" s="174">
        <f>0</f>
        <v>0</v>
      </c>
      <c r="T78" s="216">
        <f t="shared" si="10"/>
        <v>0</v>
      </c>
      <c r="U78" s="174">
        <v>0</v>
      </c>
      <c r="V78" s="216">
        <f>U78/V$69</f>
        <v>0</v>
      </c>
      <c r="W78" s="174">
        <v>0</v>
      </c>
      <c r="X78" s="216">
        <f>W78/X$69</f>
        <v>0</v>
      </c>
      <c r="Y78" s="174">
        <v>0</v>
      </c>
      <c r="Z78" s="1494">
        <f>Y78/Z$69</f>
        <v>0</v>
      </c>
      <c r="AA78" s="955"/>
      <c r="AB78" s="1016">
        <f t="shared" si="13"/>
        <v>0</v>
      </c>
      <c r="AC78" s="863">
        <f t="shared" si="14"/>
        <v>0</v>
      </c>
    </row>
    <row r="79" spans="2:29" s="3" customFormat="1" ht="12" x14ac:dyDescent="0.2">
      <c r="B79" s="343" t="s">
        <v>136</v>
      </c>
      <c r="C79" s="218"/>
      <c r="D79" s="216"/>
      <c r="E79" s="226"/>
      <c r="F79" s="310"/>
      <c r="G79" s="326"/>
      <c r="H79" s="394"/>
      <c r="I79" s="226"/>
      <c r="J79" s="394"/>
      <c r="K79" s="226"/>
      <c r="L79" s="310"/>
      <c r="M79" s="326"/>
      <c r="N79" s="394"/>
      <c r="O79" s="226"/>
      <c r="P79" s="394"/>
      <c r="Q79" s="226"/>
      <c r="R79" s="394"/>
      <c r="S79" s="226"/>
      <c r="T79" s="394"/>
      <c r="U79" s="226"/>
      <c r="V79" s="394"/>
      <c r="W79" s="226"/>
      <c r="X79" s="394"/>
      <c r="Y79" s="226"/>
      <c r="Z79" s="1500"/>
      <c r="AA79" s="955"/>
      <c r="AB79" s="1016"/>
      <c r="AC79" s="863"/>
    </row>
    <row r="80" spans="2:29" s="3" customFormat="1" ht="12" x14ac:dyDescent="0.2">
      <c r="B80" s="75" t="s">
        <v>124</v>
      </c>
      <c r="C80" s="230">
        <v>14</v>
      </c>
      <c r="D80" s="216">
        <f t="shared" si="15"/>
        <v>0.875</v>
      </c>
      <c r="E80" s="171">
        <v>16</v>
      </c>
      <c r="F80" s="311">
        <f>E80/F$69</f>
        <v>0.84210526315789469</v>
      </c>
      <c r="G80" s="229">
        <v>17</v>
      </c>
      <c r="H80" s="395">
        <f>G80/H$69</f>
        <v>0.89473684210526316</v>
      </c>
      <c r="I80" s="183">
        <v>15</v>
      </c>
      <c r="J80" s="216">
        <f>I80/J$69</f>
        <v>0.78947368421052633</v>
      </c>
      <c r="K80" s="183">
        <v>16</v>
      </c>
      <c r="L80" s="221">
        <f>K80/L$69</f>
        <v>0.84210526315789469</v>
      </c>
      <c r="M80" s="229">
        <f>15+2</f>
        <v>17</v>
      </c>
      <c r="N80" s="216">
        <f>M80/N$69</f>
        <v>0.85</v>
      </c>
      <c r="O80" s="183">
        <v>16</v>
      </c>
      <c r="P80" s="216">
        <f>O80/P$69</f>
        <v>0.84210526315789469</v>
      </c>
      <c r="Q80" s="183">
        <v>17</v>
      </c>
      <c r="R80" s="216">
        <f>Q80/R$69</f>
        <v>0.80952380952380953</v>
      </c>
      <c r="S80" s="183">
        <f>3+14</f>
        <v>17</v>
      </c>
      <c r="T80" s="216">
        <f>S80/T$69</f>
        <v>0.85</v>
      </c>
      <c r="U80" s="183">
        <v>16</v>
      </c>
      <c r="V80" s="216">
        <f>U80/V$69</f>
        <v>0.8</v>
      </c>
      <c r="W80" s="183">
        <f>3+13</f>
        <v>16</v>
      </c>
      <c r="X80" s="216">
        <f>W80/X$69</f>
        <v>0.8</v>
      </c>
      <c r="Y80" s="183">
        <v>15</v>
      </c>
      <c r="Z80" s="1494">
        <f>Y80/Z$69</f>
        <v>0.78947368421052633</v>
      </c>
      <c r="AA80" s="955"/>
      <c r="AB80" s="1016">
        <f t="shared" si="13"/>
        <v>16.2</v>
      </c>
      <c r="AC80" s="863">
        <f t="shared" si="14"/>
        <v>0.80979949874686719</v>
      </c>
    </row>
    <row r="81" spans="1:31" s="3" customFormat="1" ht="12" x14ac:dyDescent="0.2">
      <c r="B81" s="75" t="s">
        <v>125</v>
      </c>
      <c r="C81" s="230">
        <v>2</v>
      </c>
      <c r="D81" s="216">
        <f t="shared" si="15"/>
        <v>0.125</v>
      </c>
      <c r="E81" s="223">
        <v>3</v>
      </c>
      <c r="F81" s="311">
        <f>E81/F$69</f>
        <v>0.15789473684210525</v>
      </c>
      <c r="G81" s="230">
        <v>2</v>
      </c>
      <c r="H81" s="395">
        <f>G81/H$69</f>
        <v>0.10526315789473684</v>
      </c>
      <c r="I81" s="283">
        <v>4</v>
      </c>
      <c r="J81" s="216">
        <f>I81/J$69</f>
        <v>0.21052631578947367</v>
      </c>
      <c r="K81" s="283">
        <v>3</v>
      </c>
      <c r="L81" s="221">
        <f>K81/L$69</f>
        <v>0.15789473684210525</v>
      </c>
      <c r="M81" s="230">
        <v>3</v>
      </c>
      <c r="N81" s="216">
        <f>M81/N$69</f>
        <v>0.15</v>
      </c>
      <c r="O81" s="283">
        <v>3</v>
      </c>
      <c r="P81" s="216">
        <f>O81/P$69</f>
        <v>0.15789473684210525</v>
      </c>
      <c r="Q81" s="283">
        <v>4</v>
      </c>
      <c r="R81" s="216">
        <f>Q81/R$69</f>
        <v>0.19047619047619047</v>
      </c>
      <c r="S81" s="283">
        <f>0+3</f>
        <v>3</v>
      </c>
      <c r="T81" s="216">
        <f>S81/T$69</f>
        <v>0.15</v>
      </c>
      <c r="U81" s="283">
        <v>4</v>
      </c>
      <c r="V81" s="216">
        <f>U81/V$69</f>
        <v>0.2</v>
      </c>
      <c r="W81" s="283">
        <v>4</v>
      </c>
      <c r="X81" s="216">
        <f>W81/X$69</f>
        <v>0.2</v>
      </c>
      <c r="Y81" s="283">
        <v>4</v>
      </c>
      <c r="Z81" s="1494">
        <f>Y81/Z$69</f>
        <v>0.21052631578947367</v>
      </c>
      <c r="AA81" s="955"/>
      <c r="AB81" s="1016">
        <f t="shared" si="13"/>
        <v>3.8</v>
      </c>
      <c r="AC81" s="863">
        <f t="shared" si="14"/>
        <v>0.19020050125313284</v>
      </c>
    </row>
    <row r="82" spans="1:31" s="3" customFormat="1" ht="12" x14ac:dyDescent="0.2">
      <c r="B82" s="343" t="s">
        <v>137</v>
      </c>
      <c r="C82" s="219"/>
      <c r="D82" s="216"/>
      <c r="E82" s="227"/>
      <c r="F82" s="311"/>
      <c r="G82" s="315"/>
      <c r="H82" s="395"/>
      <c r="I82" s="285"/>
      <c r="J82" s="216"/>
      <c r="K82" s="285"/>
      <c r="L82" s="221"/>
      <c r="M82" s="315"/>
      <c r="N82" s="216"/>
      <c r="O82" s="285"/>
      <c r="P82" s="216"/>
      <c r="Q82" s="285"/>
      <c r="R82" s="216"/>
      <c r="S82" s="285"/>
      <c r="T82" s="216"/>
      <c r="U82" s="285"/>
      <c r="V82" s="216"/>
      <c r="W82" s="285"/>
      <c r="X82" s="216"/>
      <c r="Y82" s="285"/>
      <c r="Z82" s="1494"/>
      <c r="AA82" s="955"/>
      <c r="AB82" s="1016"/>
      <c r="AC82" s="863"/>
    </row>
    <row r="83" spans="1:31" s="3" customFormat="1" ht="12" x14ac:dyDescent="0.2">
      <c r="B83" s="75" t="s">
        <v>126</v>
      </c>
      <c r="C83" s="224">
        <v>10</v>
      </c>
      <c r="D83" s="216">
        <f t="shared" si="15"/>
        <v>0.625</v>
      </c>
      <c r="E83" s="223">
        <v>11</v>
      </c>
      <c r="F83" s="311">
        <f>E83/F$69</f>
        <v>0.57894736842105265</v>
      </c>
      <c r="G83" s="230">
        <v>11</v>
      </c>
      <c r="H83" s="395">
        <f>G83/H$69</f>
        <v>0.57894736842105265</v>
      </c>
      <c r="I83" s="283">
        <v>11</v>
      </c>
      <c r="J83" s="216">
        <f>I83/J$69</f>
        <v>0.57894736842105265</v>
      </c>
      <c r="K83" s="283">
        <v>12</v>
      </c>
      <c r="L83" s="221">
        <f>K83/L$69</f>
        <v>0.63157894736842102</v>
      </c>
      <c r="M83" s="230">
        <f>12+2</f>
        <v>14</v>
      </c>
      <c r="N83" s="216">
        <f>M83/N$69</f>
        <v>0.7</v>
      </c>
      <c r="O83" s="283">
        <v>13</v>
      </c>
      <c r="P83" s="216">
        <f>O83/P$69</f>
        <v>0.68421052631578949</v>
      </c>
      <c r="Q83" s="283">
        <v>13</v>
      </c>
      <c r="R83" s="216">
        <f>Q83/R$69</f>
        <v>0.61904761904761907</v>
      </c>
      <c r="S83" s="283">
        <f>3+11</f>
        <v>14</v>
      </c>
      <c r="T83" s="216">
        <f>S83/T$69</f>
        <v>0.7</v>
      </c>
      <c r="U83" s="283">
        <v>11</v>
      </c>
      <c r="V83" s="216">
        <f>U83/V$69</f>
        <v>0.55000000000000004</v>
      </c>
      <c r="W83" s="283">
        <f>3+9</f>
        <v>12</v>
      </c>
      <c r="X83" s="216">
        <f>W83/X$69</f>
        <v>0.6</v>
      </c>
      <c r="Y83" s="283">
        <v>9</v>
      </c>
      <c r="Z83" s="1494">
        <f>Y83/Z$69</f>
        <v>0.47368421052631576</v>
      </c>
      <c r="AA83" s="955"/>
      <c r="AB83" s="1016">
        <f t="shared" si="13"/>
        <v>11.8</v>
      </c>
      <c r="AC83" s="863">
        <f t="shared" si="14"/>
        <v>0.58854636591478704</v>
      </c>
    </row>
    <row r="84" spans="1:31" s="3" customFormat="1" ht="12" x14ac:dyDescent="0.2">
      <c r="B84" s="75" t="s">
        <v>127</v>
      </c>
      <c r="C84" s="224">
        <v>5</v>
      </c>
      <c r="D84" s="216">
        <f t="shared" si="15"/>
        <v>0.3125</v>
      </c>
      <c r="E84" s="223">
        <v>5</v>
      </c>
      <c r="F84" s="311">
        <f>E84/F$69</f>
        <v>0.26315789473684209</v>
      </c>
      <c r="G84" s="230">
        <v>4</v>
      </c>
      <c r="H84" s="395">
        <f>G84/H$69</f>
        <v>0.21052631578947367</v>
      </c>
      <c r="I84" s="283">
        <v>4</v>
      </c>
      <c r="J84" s="216">
        <f>I84/J$69</f>
        <v>0.21052631578947367</v>
      </c>
      <c r="K84" s="283">
        <v>5</v>
      </c>
      <c r="L84" s="221">
        <f>K84/L$69</f>
        <v>0.26315789473684209</v>
      </c>
      <c r="M84" s="230">
        <v>4</v>
      </c>
      <c r="N84" s="216">
        <f>M84/N$69</f>
        <v>0.2</v>
      </c>
      <c r="O84" s="283">
        <v>4</v>
      </c>
      <c r="P84" s="216">
        <f>O84/P$69</f>
        <v>0.21052631578947367</v>
      </c>
      <c r="Q84" s="283">
        <v>3</v>
      </c>
      <c r="R84" s="216">
        <f>Q84/R$69</f>
        <v>0.14285714285714285</v>
      </c>
      <c r="S84" s="283">
        <f>0+4</f>
        <v>4</v>
      </c>
      <c r="T84" s="216">
        <f>S84/T$69</f>
        <v>0.2</v>
      </c>
      <c r="U84" s="283">
        <v>4</v>
      </c>
      <c r="V84" s="216">
        <f>U84/V$69</f>
        <v>0.2</v>
      </c>
      <c r="W84" s="283">
        <v>4</v>
      </c>
      <c r="X84" s="216">
        <f>W84/X$69</f>
        <v>0.2</v>
      </c>
      <c r="Y84" s="283">
        <v>5</v>
      </c>
      <c r="Z84" s="1494">
        <f>Y84/Z$69</f>
        <v>0.26315789473684209</v>
      </c>
      <c r="AA84" s="955"/>
      <c r="AB84" s="1016">
        <f t="shared" si="13"/>
        <v>4</v>
      </c>
      <c r="AC84" s="863">
        <f t="shared" si="14"/>
        <v>0.20120300751879699</v>
      </c>
    </row>
    <row r="85" spans="1:31" s="3" customFormat="1" ht="12" x14ac:dyDescent="0.2">
      <c r="B85" s="75" t="s">
        <v>128</v>
      </c>
      <c r="C85" s="224">
        <v>1</v>
      </c>
      <c r="D85" s="216">
        <f t="shared" si="15"/>
        <v>6.25E-2</v>
      </c>
      <c r="E85" s="223">
        <v>3</v>
      </c>
      <c r="F85" s="311">
        <f>E85/F$69</f>
        <v>0.15789473684210525</v>
      </c>
      <c r="G85" s="230">
        <v>4</v>
      </c>
      <c r="H85" s="395">
        <f>G85/H$69</f>
        <v>0.21052631578947367</v>
      </c>
      <c r="I85" s="283">
        <v>4</v>
      </c>
      <c r="J85" s="216">
        <f>I85/J$69</f>
        <v>0.21052631578947367</v>
      </c>
      <c r="K85" s="283">
        <v>2</v>
      </c>
      <c r="L85" s="221">
        <f>K85/L$69</f>
        <v>0.10526315789473684</v>
      </c>
      <c r="M85" s="230">
        <v>2</v>
      </c>
      <c r="N85" s="216">
        <f>M85/N$69</f>
        <v>0.1</v>
      </c>
      <c r="O85" s="283">
        <v>2</v>
      </c>
      <c r="P85" s="216">
        <f>O85/P$69</f>
        <v>0.10526315789473684</v>
      </c>
      <c r="Q85" s="283">
        <v>5</v>
      </c>
      <c r="R85" s="216">
        <f>Q85/R$69</f>
        <v>0.23809523809523808</v>
      </c>
      <c r="S85" s="283">
        <f>0+2</f>
        <v>2</v>
      </c>
      <c r="T85" s="216">
        <f>S85/T$69</f>
        <v>0.1</v>
      </c>
      <c r="U85" s="283">
        <v>5</v>
      </c>
      <c r="V85" s="216">
        <f>U85/V$69</f>
        <v>0.25</v>
      </c>
      <c r="W85" s="283">
        <v>4</v>
      </c>
      <c r="X85" s="216">
        <f>W85/X$69</f>
        <v>0.2</v>
      </c>
      <c r="Y85" s="283">
        <v>5</v>
      </c>
      <c r="Z85" s="1494">
        <f>Y85/Z$69</f>
        <v>0.26315789473684209</v>
      </c>
      <c r="AA85" s="955"/>
      <c r="AB85" s="1016">
        <f t="shared" si="13"/>
        <v>4.2</v>
      </c>
      <c r="AC85" s="863">
        <f t="shared" si="14"/>
        <v>0.21025062656641605</v>
      </c>
    </row>
    <row r="86" spans="1:31" s="3" customFormat="1" ht="12" x14ac:dyDescent="0.2">
      <c r="B86" s="343" t="s">
        <v>138</v>
      </c>
      <c r="C86" s="219"/>
      <c r="D86" s="216"/>
      <c r="E86" s="227"/>
      <c r="F86" s="311"/>
      <c r="G86" s="315"/>
      <c r="H86" s="395"/>
      <c r="I86" s="285"/>
      <c r="J86" s="216"/>
      <c r="K86" s="285"/>
      <c r="L86" s="221"/>
      <c r="M86" s="315"/>
      <c r="N86" s="216"/>
      <c r="O86" s="285"/>
      <c r="P86" s="216"/>
      <c r="Q86" s="285"/>
      <c r="R86" s="216"/>
      <c r="S86" s="285"/>
      <c r="T86" s="216"/>
      <c r="U86" s="285"/>
      <c r="V86" s="216"/>
      <c r="W86" s="285"/>
      <c r="X86" s="216"/>
      <c r="Y86" s="285"/>
      <c r="Z86" s="1494"/>
      <c r="AB86" s="1016"/>
      <c r="AC86" s="863"/>
    </row>
    <row r="87" spans="1:31" s="3" customFormat="1" ht="12" x14ac:dyDescent="0.2">
      <c r="B87" s="75" t="s">
        <v>129</v>
      </c>
      <c r="C87" s="224">
        <v>15</v>
      </c>
      <c r="D87" s="216">
        <f t="shared" si="15"/>
        <v>0.9375</v>
      </c>
      <c r="E87" s="223">
        <v>18</v>
      </c>
      <c r="F87" s="311">
        <f>E87/F$69</f>
        <v>0.94736842105263153</v>
      </c>
      <c r="G87" s="230">
        <v>17</v>
      </c>
      <c r="H87" s="395">
        <f>G87/H$69</f>
        <v>0.89473684210526316</v>
      </c>
      <c r="I87" s="283">
        <v>17</v>
      </c>
      <c r="J87" s="216">
        <f>I87/J$69</f>
        <v>0.89473684210526316</v>
      </c>
      <c r="K87" s="283">
        <v>18</v>
      </c>
      <c r="L87" s="221">
        <f>K87/L$69</f>
        <v>0.94736842105263153</v>
      </c>
      <c r="M87" s="230">
        <f>17+2</f>
        <v>19</v>
      </c>
      <c r="N87" s="216">
        <f>M87/N$69</f>
        <v>0.95</v>
      </c>
      <c r="O87" s="283">
        <v>18</v>
      </c>
      <c r="P87" s="216">
        <f>O87/P$69</f>
        <v>0.94736842105263153</v>
      </c>
      <c r="Q87" s="283">
        <v>21</v>
      </c>
      <c r="R87" s="216">
        <f>Q87/R$69</f>
        <v>1</v>
      </c>
      <c r="S87" s="283">
        <f>3+17</f>
        <v>20</v>
      </c>
      <c r="T87" s="216">
        <f>S87/T$69</f>
        <v>1</v>
      </c>
      <c r="U87" s="283">
        <v>19</v>
      </c>
      <c r="V87" s="216">
        <f>U87/V$69</f>
        <v>0.95</v>
      </c>
      <c r="W87" s="283">
        <f>3+16</f>
        <v>19</v>
      </c>
      <c r="X87" s="216">
        <f>W87/X$69</f>
        <v>0.95</v>
      </c>
      <c r="Y87" s="283">
        <v>18</v>
      </c>
      <c r="Z87" s="1494">
        <f>Y87/Z$69</f>
        <v>0.94736842105263153</v>
      </c>
      <c r="AB87" s="1016">
        <f t="shared" si="13"/>
        <v>19.399999999999999</v>
      </c>
      <c r="AC87" s="863">
        <f t="shared" si="14"/>
        <v>0.96947368421052627</v>
      </c>
    </row>
    <row r="88" spans="1:31" s="3" customFormat="1" ht="12" x14ac:dyDescent="0.2">
      <c r="B88" s="75" t="s">
        <v>130</v>
      </c>
      <c r="C88" s="224">
        <v>1</v>
      </c>
      <c r="D88" s="216">
        <f t="shared" si="15"/>
        <v>6.25E-2</v>
      </c>
      <c r="E88" s="223">
        <v>1</v>
      </c>
      <c r="F88" s="311">
        <f>E88/F$69</f>
        <v>5.2631578947368418E-2</v>
      </c>
      <c r="G88" s="230">
        <v>2</v>
      </c>
      <c r="H88" s="395">
        <f>G88/H$69</f>
        <v>0.10526315789473684</v>
      </c>
      <c r="I88" s="283">
        <v>2</v>
      </c>
      <c r="J88" s="216">
        <f>I88/J$69</f>
        <v>0.10526315789473684</v>
      </c>
      <c r="K88" s="283">
        <v>1</v>
      </c>
      <c r="L88" s="221">
        <f>K88/L$69</f>
        <v>5.2631578947368418E-2</v>
      </c>
      <c r="M88" s="230">
        <v>1</v>
      </c>
      <c r="N88" s="216">
        <f>M88/N$69</f>
        <v>0.05</v>
      </c>
      <c r="O88" s="283">
        <v>1</v>
      </c>
      <c r="P88" s="216">
        <f>O88/P$69</f>
        <v>5.2631578947368418E-2</v>
      </c>
      <c r="Q88" s="283">
        <v>0</v>
      </c>
      <c r="R88" s="216">
        <f>Q88/R$69</f>
        <v>0</v>
      </c>
      <c r="S88" s="283">
        <f>0</f>
        <v>0</v>
      </c>
      <c r="T88" s="216">
        <f>S88/T$69</f>
        <v>0</v>
      </c>
      <c r="U88" s="283">
        <v>1</v>
      </c>
      <c r="V88" s="216">
        <f>U88/V$69</f>
        <v>0.05</v>
      </c>
      <c r="W88" s="283">
        <v>1</v>
      </c>
      <c r="X88" s="216">
        <f>W88/X$69</f>
        <v>0.05</v>
      </c>
      <c r="Y88" s="283">
        <v>1</v>
      </c>
      <c r="Z88" s="1494">
        <f>Y88/Z$69</f>
        <v>5.2631578947368418E-2</v>
      </c>
      <c r="AB88" s="1016">
        <f t="shared" si="13"/>
        <v>0.6</v>
      </c>
      <c r="AC88" s="863">
        <f t="shared" si="14"/>
        <v>3.0526315789473686E-2</v>
      </c>
    </row>
    <row r="89" spans="1:31" s="3" customFormat="1" ht="12" x14ac:dyDescent="0.2">
      <c r="B89" s="75" t="s">
        <v>131</v>
      </c>
      <c r="C89" s="224">
        <v>0</v>
      </c>
      <c r="D89" s="216">
        <f t="shared" si="15"/>
        <v>0</v>
      </c>
      <c r="E89" s="223">
        <v>0</v>
      </c>
      <c r="F89" s="311">
        <f>E89/F$69</f>
        <v>0</v>
      </c>
      <c r="G89" s="230">
        <v>0</v>
      </c>
      <c r="H89" s="395">
        <f>G89/H$69</f>
        <v>0</v>
      </c>
      <c r="I89" s="283">
        <v>0</v>
      </c>
      <c r="J89" s="216">
        <f>I89/J$69</f>
        <v>0</v>
      </c>
      <c r="K89" s="283">
        <v>0</v>
      </c>
      <c r="L89" s="221">
        <f>K89/L$69</f>
        <v>0</v>
      </c>
      <c r="M89" s="230">
        <v>0</v>
      </c>
      <c r="N89" s="216">
        <f>M89/N$69</f>
        <v>0</v>
      </c>
      <c r="O89" s="283">
        <v>0</v>
      </c>
      <c r="P89" s="216">
        <f>O89/P$69</f>
        <v>0</v>
      </c>
      <c r="Q89" s="283">
        <v>0</v>
      </c>
      <c r="R89" s="216">
        <f>Q89/R$69</f>
        <v>0</v>
      </c>
      <c r="S89" s="283">
        <f>0</f>
        <v>0</v>
      </c>
      <c r="T89" s="216">
        <f>S89/T$69</f>
        <v>0</v>
      </c>
      <c r="U89" s="283">
        <v>0</v>
      </c>
      <c r="V89" s="216">
        <f>U89/V$69</f>
        <v>0</v>
      </c>
      <c r="W89" s="283">
        <v>0</v>
      </c>
      <c r="X89" s="216">
        <f>W89/X$69</f>
        <v>0</v>
      </c>
      <c r="Y89" s="283">
        <v>0</v>
      </c>
      <c r="Z89" s="1494">
        <f>Y89/Z$69</f>
        <v>0</v>
      </c>
      <c r="AB89" s="1016">
        <f t="shared" si="13"/>
        <v>0</v>
      </c>
      <c r="AC89" s="863">
        <f t="shared" si="14"/>
        <v>0</v>
      </c>
    </row>
    <row r="90" spans="1:31" s="3" customFormat="1" thickBot="1" x14ac:dyDescent="0.25">
      <c r="B90" s="344" t="s">
        <v>132</v>
      </c>
      <c r="C90" s="61">
        <v>0</v>
      </c>
      <c r="D90" s="220">
        <f t="shared" si="15"/>
        <v>0</v>
      </c>
      <c r="E90" s="228">
        <v>0</v>
      </c>
      <c r="F90" s="312">
        <f>E90/F$69</f>
        <v>0</v>
      </c>
      <c r="G90" s="375">
        <v>0</v>
      </c>
      <c r="H90" s="397">
        <f>G90/H$69</f>
        <v>0</v>
      </c>
      <c r="I90" s="284">
        <v>0</v>
      </c>
      <c r="J90" s="220">
        <f>I90/J$69</f>
        <v>0</v>
      </c>
      <c r="K90" s="284">
        <v>0</v>
      </c>
      <c r="L90" s="222">
        <f>K90/L$69</f>
        <v>0</v>
      </c>
      <c r="M90" s="375">
        <v>0</v>
      </c>
      <c r="N90" s="220">
        <f>M90/N$69</f>
        <v>0</v>
      </c>
      <c r="O90" s="284">
        <v>0</v>
      </c>
      <c r="P90" s="220">
        <f>O90/P$69</f>
        <v>0</v>
      </c>
      <c r="Q90" s="284">
        <v>0</v>
      </c>
      <c r="R90" s="220">
        <f>Q90/R$69</f>
        <v>0</v>
      </c>
      <c r="S90" s="284">
        <f>0</f>
        <v>0</v>
      </c>
      <c r="T90" s="220">
        <f>S90/T$69</f>
        <v>0</v>
      </c>
      <c r="U90" s="284">
        <v>0</v>
      </c>
      <c r="V90" s="220">
        <f>U90/V$69</f>
        <v>0</v>
      </c>
      <c r="W90" s="284">
        <v>0</v>
      </c>
      <c r="X90" s="220">
        <f>W90/X$69</f>
        <v>0</v>
      </c>
      <c r="Y90" s="284">
        <v>0</v>
      </c>
      <c r="Z90" s="1495">
        <f>Y90/Z$69</f>
        <v>0</v>
      </c>
      <c r="AB90" s="1016">
        <f t="shared" si="13"/>
        <v>0</v>
      </c>
      <c r="AC90" s="863">
        <f t="shared" si="14"/>
        <v>0</v>
      </c>
    </row>
    <row r="91" spans="1:31" ht="14.25" thickTop="1" thickBot="1" x14ac:dyDescent="0.25">
      <c r="A91" s="1"/>
      <c r="B91" s="956" t="s">
        <v>186</v>
      </c>
      <c r="C91" s="1992" t="s">
        <v>51</v>
      </c>
      <c r="D91" s="1993"/>
      <c r="E91" s="1992" t="s">
        <v>52</v>
      </c>
      <c r="F91" s="1993"/>
      <c r="G91" s="1989" t="s">
        <v>184</v>
      </c>
      <c r="H91" s="1990"/>
      <c r="I91" s="1989" t="s">
        <v>185</v>
      </c>
      <c r="J91" s="1990"/>
      <c r="K91" s="1989" t="s">
        <v>202</v>
      </c>
      <c r="L91" s="1990"/>
      <c r="M91" s="1991" t="s">
        <v>203</v>
      </c>
      <c r="N91" s="1979"/>
      <c r="O91" s="1970" t="s">
        <v>228</v>
      </c>
      <c r="P91" s="1979"/>
      <c r="Q91" s="1970" t="s">
        <v>238</v>
      </c>
      <c r="R91" s="1979"/>
      <c r="S91" s="1970" t="s">
        <v>273</v>
      </c>
      <c r="T91" s="1979"/>
      <c r="U91" s="1970" t="s">
        <v>275</v>
      </c>
      <c r="V91" s="1979"/>
      <c r="W91" s="1970" t="s">
        <v>281</v>
      </c>
      <c r="X91" s="1979"/>
      <c r="Y91" s="1970" t="s">
        <v>291</v>
      </c>
      <c r="Z91" s="1976"/>
      <c r="AB91" s="2003" t="s">
        <v>213</v>
      </c>
      <c r="AC91" s="2004"/>
    </row>
    <row r="92" spans="1:31" x14ac:dyDescent="0.2">
      <c r="A92" s="1"/>
      <c r="B92" s="957"/>
      <c r="C92" s="958"/>
      <c r="D92" s="959"/>
      <c r="E92" s="1273" t="s">
        <v>133</v>
      </c>
      <c r="F92" s="1180" t="s">
        <v>17</v>
      </c>
      <c r="G92" s="958" t="s">
        <v>133</v>
      </c>
      <c r="H92" s="1242" t="s">
        <v>17</v>
      </c>
      <c r="I92" s="1273" t="s">
        <v>133</v>
      </c>
      <c r="J92" s="1242" t="s">
        <v>17</v>
      </c>
      <c r="K92" s="1273" t="s">
        <v>133</v>
      </c>
      <c r="L92" s="1242" t="s">
        <v>17</v>
      </c>
      <c r="M92" s="1273" t="s">
        <v>133</v>
      </c>
      <c r="N92" s="1242" t="s">
        <v>17</v>
      </c>
      <c r="O92" s="1448" t="s">
        <v>133</v>
      </c>
      <c r="P92" s="1450" t="s">
        <v>17</v>
      </c>
      <c r="Q92" s="1451" t="s">
        <v>133</v>
      </c>
      <c r="R92" s="1450" t="s">
        <v>17</v>
      </c>
      <c r="S92" s="1451" t="s">
        <v>133</v>
      </c>
      <c r="T92" s="1450" t="s">
        <v>17</v>
      </c>
      <c r="U92" s="1768" t="s">
        <v>133</v>
      </c>
      <c r="V92" s="1450" t="s">
        <v>17</v>
      </c>
      <c r="W92" s="1768" t="s">
        <v>133</v>
      </c>
      <c r="X92" s="1450" t="s">
        <v>17</v>
      </c>
      <c r="Y92" s="1768" t="s">
        <v>133</v>
      </c>
      <c r="Z92" s="1452" t="s">
        <v>17</v>
      </c>
      <c r="AB92" s="953" t="s">
        <v>133</v>
      </c>
      <c r="AC92" s="954" t="s">
        <v>17</v>
      </c>
    </row>
    <row r="93" spans="1:31" x14ac:dyDescent="0.2">
      <c r="A93" s="1"/>
      <c r="B93" s="341" t="s">
        <v>187</v>
      </c>
      <c r="C93" s="960">
        <v>1</v>
      </c>
      <c r="D93" s="961">
        <v>0.5</v>
      </c>
      <c r="E93" s="960">
        <v>0</v>
      </c>
      <c r="F93" s="961">
        <v>0</v>
      </c>
      <c r="G93" s="960">
        <v>0</v>
      </c>
      <c r="H93" s="961">
        <v>0</v>
      </c>
      <c r="I93" s="960">
        <v>0</v>
      </c>
      <c r="J93" s="961">
        <v>0</v>
      </c>
      <c r="K93" s="960">
        <v>1</v>
      </c>
      <c r="L93" s="961">
        <v>0.5</v>
      </c>
      <c r="M93" s="960">
        <v>1</v>
      </c>
      <c r="N93" s="961">
        <v>0.4</v>
      </c>
      <c r="O93" s="960">
        <v>2</v>
      </c>
      <c r="P93" s="961">
        <v>0.6</v>
      </c>
      <c r="Q93" s="960">
        <v>1</v>
      </c>
      <c r="R93" s="961">
        <v>0.4</v>
      </c>
      <c r="S93" s="960">
        <v>0</v>
      </c>
      <c r="T93" s="961">
        <v>0</v>
      </c>
      <c r="U93" s="960">
        <v>0</v>
      </c>
      <c r="V93" s="961">
        <v>0</v>
      </c>
      <c r="W93" s="960">
        <v>0</v>
      </c>
      <c r="X93" s="961">
        <v>0</v>
      </c>
      <c r="Y93" s="960">
        <v>0</v>
      </c>
      <c r="Z93" s="1517">
        <v>0</v>
      </c>
      <c r="AB93" s="1115">
        <f t="shared" ref="AB93:AB95" si="16">AVERAGE(W93,U93,Q93,S93,Y93)</f>
        <v>0.2</v>
      </c>
      <c r="AC93" s="1116">
        <f t="shared" ref="AC93:AC95" si="17">AVERAGE(X93,V93,R93,T93,Z93)</f>
        <v>0.08</v>
      </c>
    </row>
    <row r="94" spans="1:31" x14ac:dyDescent="0.2">
      <c r="A94" s="1"/>
      <c r="B94" s="341" t="s">
        <v>188</v>
      </c>
      <c r="C94" s="960">
        <v>22</v>
      </c>
      <c r="D94" s="961">
        <v>9.5</v>
      </c>
      <c r="E94" s="960">
        <v>24</v>
      </c>
      <c r="F94" s="961">
        <v>10.5</v>
      </c>
      <c r="G94" s="960">
        <v>23</v>
      </c>
      <c r="H94" s="961">
        <v>10.5</v>
      </c>
      <c r="I94" s="960">
        <v>22</v>
      </c>
      <c r="J94" s="961">
        <v>10.5</v>
      </c>
      <c r="K94" s="960">
        <v>24</v>
      </c>
      <c r="L94" s="961">
        <v>10.6</v>
      </c>
      <c r="M94" s="960">
        <v>31</v>
      </c>
      <c r="N94" s="961">
        <v>13</v>
      </c>
      <c r="O94" s="960">
        <v>27</v>
      </c>
      <c r="P94" s="961">
        <v>11.4</v>
      </c>
      <c r="Q94" s="960">
        <v>25</v>
      </c>
      <c r="R94" s="961">
        <v>12</v>
      </c>
      <c r="S94" s="960">
        <v>25</v>
      </c>
      <c r="T94" s="961">
        <v>12.5</v>
      </c>
      <c r="U94" s="960">
        <v>23</v>
      </c>
      <c r="V94" s="961">
        <v>11.5</v>
      </c>
      <c r="W94" s="960">
        <v>26</v>
      </c>
      <c r="X94" s="961">
        <v>12.7</v>
      </c>
      <c r="Y94" s="960">
        <v>26</v>
      </c>
      <c r="Z94" s="1517">
        <v>12.6</v>
      </c>
      <c r="AB94" s="1115">
        <f t="shared" si="16"/>
        <v>25</v>
      </c>
      <c r="AC94" s="1116">
        <f t="shared" si="17"/>
        <v>12.260000000000002</v>
      </c>
      <c r="AE94" s="1" t="s">
        <v>29</v>
      </c>
    </row>
    <row r="95" spans="1:31" ht="13.5" thickBot="1" x14ac:dyDescent="0.25">
      <c r="A95" s="1"/>
      <c r="B95" s="344" t="s">
        <v>211</v>
      </c>
      <c r="C95" s="962">
        <v>0</v>
      </c>
      <c r="D95" s="963">
        <v>0</v>
      </c>
      <c r="E95" s="964">
        <v>0</v>
      </c>
      <c r="F95" s="963">
        <v>0</v>
      </c>
      <c r="G95" s="964">
        <v>0</v>
      </c>
      <c r="H95" s="963">
        <v>0</v>
      </c>
      <c r="I95" s="964">
        <v>0</v>
      </c>
      <c r="J95" s="963">
        <v>0</v>
      </c>
      <c r="K95" s="964">
        <v>0</v>
      </c>
      <c r="L95" s="963">
        <v>0</v>
      </c>
      <c r="M95" s="964">
        <v>0</v>
      </c>
      <c r="N95" s="963">
        <v>0</v>
      </c>
      <c r="O95" s="964">
        <v>0</v>
      </c>
      <c r="P95" s="963">
        <v>0</v>
      </c>
      <c r="Q95" s="964">
        <v>0</v>
      </c>
      <c r="R95" s="963">
        <v>0</v>
      </c>
      <c r="S95" s="964">
        <v>0</v>
      </c>
      <c r="T95" s="963">
        <v>0</v>
      </c>
      <c r="U95" s="964">
        <v>0</v>
      </c>
      <c r="V95" s="963">
        <v>0</v>
      </c>
      <c r="W95" s="964">
        <v>0</v>
      </c>
      <c r="X95" s="963">
        <v>0</v>
      </c>
      <c r="Y95" s="964">
        <v>0</v>
      </c>
      <c r="Z95" s="1518">
        <v>0</v>
      </c>
      <c r="AB95" s="1115">
        <f t="shared" si="16"/>
        <v>0</v>
      </c>
      <c r="AC95" s="1116">
        <f t="shared" si="17"/>
        <v>0</v>
      </c>
    </row>
    <row r="96" spans="1:31" ht="17.25" thickTop="1" thickBot="1" x14ac:dyDescent="0.3">
      <c r="A96" s="966"/>
      <c r="B96" s="967"/>
      <c r="C96" s="1992" t="s">
        <v>51</v>
      </c>
      <c r="D96" s="1993"/>
      <c r="E96" s="1992" t="s">
        <v>52</v>
      </c>
      <c r="F96" s="1993"/>
      <c r="G96" s="1989" t="s">
        <v>184</v>
      </c>
      <c r="H96" s="1990"/>
      <c r="I96" s="1989" t="s">
        <v>185</v>
      </c>
      <c r="J96" s="1990"/>
      <c r="K96" s="1989" t="s">
        <v>202</v>
      </c>
      <c r="L96" s="1990"/>
      <c r="M96" s="1991" t="s">
        <v>203</v>
      </c>
      <c r="N96" s="1979"/>
      <c r="O96" s="1970" t="s">
        <v>254</v>
      </c>
      <c r="P96" s="1979"/>
      <c r="Q96" s="1970" t="s">
        <v>238</v>
      </c>
      <c r="R96" s="1979"/>
      <c r="S96" s="1970" t="s">
        <v>273</v>
      </c>
      <c r="T96" s="1979"/>
      <c r="U96" s="1970" t="s">
        <v>275</v>
      </c>
      <c r="V96" s="1979"/>
      <c r="W96" s="1970" t="s">
        <v>281</v>
      </c>
      <c r="X96" s="1979"/>
      <c r="Y96" s="1970" t="s">
        <v>291</v>
      </c>
      <c r="Z96" s="1976"/>
      <c r="AA96" s="968"/>
      <c r="AB96" s="1987"/>
      <c r="AC96" s="1988"/>
      <c r="AD96" s="28"/>
      <c r="AE96" s="3"/>
    </row>
    <row r="97" spans="1:31" x14ac:dyDescent="0.2">
      <c r="A97" s="3"/>
      <c r="B97" s="342" t="s">
        <v>210</v>
      </c>
      <c r="C97" s="3"/>
      <c r="D97" s="969"/>
      <c r="E97" s="970"/>
      <c r="F97" s="971"/>
      <c r="G97" s="972"/>
      <c r="H97" s="973"/>
      <c r="I97" s="974"/>
      <c r="J97" s="593"/>
      <c r="K97" s="975"/>
      <c r="L97" s="976"/>
      <c r="M97" s="975"/>
      <c r="N97" s="991"/>
      <c r="O97" s="117"/>
      <c r="P97" s="1422"/>
      <c r="Q97" s="975"/>
      <c r="R97" s="991"/>
      <c r="S97" s="975"/>
      <c r="T97" s="991"/>
      <c r="U97" s="117"/>
      <c r="V97" s="1422"/>
      <c r="W97" s="975"/>
      <c r="X97" s="991"/>
      <c r="Y97" s="975"/>
      <c r="Z97" s="977"/>
      <c r="AA97" s="28"/>
      <c r="AB97" s="28"/>
      <c r="AC97" s="28"/>
      <c r="AD97" s="3"/>
      <c r="AE97" s="3"/>
    </row>
    <row r="98" spans="1:31" x14ac:dyDescent="0.2">
      <c r="A98" s="930"/>
      <c r="B98" s="1331" t="s">
        <v>192</v>
      </c>
      <c r="C98" s="1983">
        <v>7.1</v>
      </c>
      <c r="D98" s="1984"/>
      <c r="E98" s="980"/>
      <c r="F98" s="981"/>
      <c r="G98" s="982"/>
      <c r="H98" s="983"/>
      <c r="I98" s="1983">
        <v>7.2</v>
      </c>
      <c r="J98" s="1984"/>
      <c r="K98" s="984"/>
      <c r="L98" s="985"/>
      <c r="M98" s="984"/>
      <c r="N98" s="991"/>
      <c r="O98" s="136"/>
      <c r="P98" s="1401">
        <v>15.1</v>
      </c>
      <c r="Q98" s="984"/>
      <c r="R98" s="991"/>
      <c r="S98" s="984"/>
      <c r="T98" s="991"/>
      <c r="U98" s="136"/>
      <c r="V98" s="1401">
        <v>13.9</v>
      </c>
      <c r="W98" s="984"/>
      <c r="X98" s="991"/>
      <c r="Y98" s="984"/>
      <c r="Z98" s="977"/>
      <c r="AA98" s="28"/>
      <c r="AB98" s="28"/>
      <c r="AC98" s="1106"/>
      <c r="AD98" s="3"/>
      <c r="AE98" s="3"/>
    </row>
    <row r="99" spans="1:31" x14ac:dyDescent="0.2">
      <c r="A99" s="930"/>
      <c r="B99" s="1332" t="s">
        <v>193</v>
      </c>
      <c r="C99" s="1983"/>
      <c r="D99" s="1984"/>
      <c r="E99" s="980"/>
      <c r="F99" s="981"/>
      <c r="G99" s="982"/>
      <c r="H99" s="983"/>
      <c r="I99" s="1983"/>
      <c r="J99" s="1984"/>
      <c r="K99" s="984"/>
      <c r="L99" s="985"/>
      <c r="M99" s="984"/>
      <c r="N99" s="991"/>
      <c r="O99" s="136"/>
      <c r="P99" s="1401"/>
      <c r="Q99" s="984"/>
      <c r="R99" s="991"/>
      <c r="S99" s="984"/>
      <c r="T99" s="991"/>
      <c r="U99" s="136"/>
      <c r="V99" s="1401"/>
      <c r="W99" s="984"/>
      <c r="X99" s="991"/>
      <c r="Y99" s="984"/>
      <c r="Z99" s="977"/>
      <c r="AA99" s="28"/>
      <c r="AB99" s="28"/>
      <c r="AC99" s="1106"/>
      <c r="AD99" s="3"/>
      <c r="AE99" s="3"/>
    </row>
    <row r="100" spans="1:31" x14ac:dyDescent="0.2">
      <c r="A100" s="930"/>
      <c r="B100" s="1332" t="s">
        <v>194</v>
      </c>
      <c r="C100" s="1983">
        <v>5.2</v>
      </c>
      <c r="D100" s="1984"/>
      <c r="E100" s="980"/>
      <c r="F100" s="981"/>
      <c r="G100" s="982"/>
      <c r="H100" s="983"/>
      <c r="I100" s="1983">
        <v>5</v>
      </c>
      <c r="J100" s="1984"/>
      <c r="K100" s="984"/>
      <c r="L100" s="985"/>
      <c r="M100" s="984"/>
      <c r="N100" s="991"/>
      <c r="O100" s="136"/>
      <c r="P100" s="1401">
        <v>8</v>
      </c>
      <c r="Q100" s="984"/>
      <c r="R100" s="991"/>
      <c r="S100" s="984"/>
      <c r="T100" s="991"/>
      <c r="U100" s="136"/>
      <c r="V100" s="1401">
        <v>7</v>
      </c>
      <c r="W100" s="984"/>
      <c r="X100" s="991"/>
      <c r="Y100" s="984"/>
      <c r="Z100" s="977"/>
      <c r="AA100" s="28"/>
      <c r="AB100" s="28"/>
      <c r="AC100" s="1106"/>
      <c r="AD100" s="3"/>
      <c r="AE100" s="3"/>
    </row>
    <row r="101" spans="1:31" x14ac:dyDescent="0.2">
      <c r="A101" s="930"/>
      <c r="B101" s="1331" t="s">
        <v>195</v>
      </c>
      <c r="C101" s="1983">
        <v>4.3</v>
      </c>
      <c r="D101" s="1984"/>
      <c r="E101" s="980"/>
      <c r="F101" s="981"/>
      <c r="G101" s="982"/>
      <c r="H101" s="983"/>
      <c r="I101" s="1983">
        <v>5.5</v>
      </c>
      <c r="J101" s="1984"/>
      <c r="K101" s="984"/>
      <c r="L101" s="985"/>
      <c r="M101" s="984"/>
      <c r="N101" s="991"/>
      <c r="O101" s="136"/>
      <c r="P101" s="1401">
        <v>4</v>
      </c>
      <c r="Q101" s="984"/>
      <c r="R101" s="991"/>
      <c r="S101" s="984"/>
      <c r="T101" s="991"/>
      <c r="U101" s="136"/>
      <c r="V101" s="1401">
        <v>4.5</v>
      </c>
      <c r="W101" s="984"/>
      <c r="X101" s="991"/>
      <c r="Y101" s="984"/>
      <c r="Z101" s="977"/>
      <c r="AA101" s="28"/>
      <c r="AB101" s="28"/>
      <c r="AC101" s="1106"/>
      <c r="AD101" s="3"/>
      <c r="AE101" s="3"/>
    </row>
    <row r="102" spans="1:31" x14ac:dyDescent="0.2">
      <c r="A102" s="930"/>
      <c r="B102" s="1333" t="s">
        <v>196</v>
      </c>
      <c r="C102" s="1983">
        <v>0.76</v>
      </c>
      <c r="D102" s="1984"/>
      <c r="E102" s="980"/>
      <c r="F102" s="981"/>
      <c r="G102" s="982"/>
      <c r="H102" s="983"/>
      <c r="I102" s="1983">
        <v>2</v>
      </c>
      <c r="J102" s="1984"/>
      <c r="K102" s="984"/>
      <c r="L102" s="985"/>
      <c r="M102" s="984"/>
      <c r="N102" s="991"/>
      <c r="O102" s="136"/>
      <c r="P102" s="1401">
        <v>3</v>
      </c>
      <c r="Q102" s="984"/>
      <c r="R102" s="991"/>
      <c r="S102" s="984"/>
      <c r="T102" s="991"/>
      <c r="U102" s="136"/>
      <c r="V102" s="1401">
        <f>1.75+3</f>
        <v>4.75</v>
      </c>
      <c r="W102" s="984"/>
      <c r="X102" s="991"/>
      <c r="Y102" s="984"/>
      <c r="Z102" s="977"/>
      <c r="AA102" s="28"/>
      <c r="AB102" s="28"/>
      <c r="AC102" s="1106"/>
      <c r="AD102" s="3"/>
      <c r="AE102" s="3"/>
    </row>
    <row r="103" spans="1:31" x14ac:dyDescent="0.2">
      <c r="A103" s="930"/>
      <c r="B103" s="1333" t="s">
        <v>197</v>
      </c>
      <c r="C103" s="1983">
        <f>SUM(C98:D102)</f>
        <v>17.360000000000003</v>
      </c>
      <c r="D103" s="1984"/>
      <c r="E103" s="980"/>
      <c r="F103" s="981"/>
      <c r="G103" s="982"/>
      <c r="H103" s="983"/>
      <c r="I103" s="1983">
        <f>SUM(I98:J102)</f>
        <v>19.7</v>
      </c>
      <c r="J103" s="1984"/>
      <c r="K103" s="984"/>
      <c r="L103" s="985"/>
      <c r="M103" s="984"/>
      <c r="N103" s="991"/>
      <c r="O103" s="136"/>
      <c r="P103" s="1401">
        <f>SUM(P98:P102)</f>
        <v>30.1</v>
      </c>
      <c r="Q103" s="984"/>
      <c r="R103" s="991"/>
      <c r="S103" s="984"/>
      <c r="T103" s="991"/>
      <c r="U103" s="136"/>
      <c r="V103" s="1401">
        <f>SUM(V98:V102)</f>
        <v>30.15</v>
      </c>
      <c r="W103" s="984"/>
      <c r="X103" s="991"/>
      <c r="Y103" s="984"/>
      <c r="Z103" s="977"/>
      <c r="AA103" s="28"/>
      <c r="AB103" s="28"/>
      <c r="AC103" s="1106"/>
      <c r="AD103" s="3"/>
      <c r="AE103" s="3"/>
    </row>
    <row r="104" spans="1:31" ht="13.5" thickBot="1" x14ac:dyDescent="0.25">
      <c r="A104" s="930"/>
      <c r="B104" s="1334" t="s">
        <v>204</v>
      </c>
      <c r="C104" s="2056"/>
      <c r="D104" s="2055"/>
      <c r="E104" s="989"/>
      <c r="F104" s="990"/>
      <c r="G104" s="975"/>
      <c r="H104" s="991"/>
      <c r="I104" s="2056"/>
      <c r="J104" s="2055"/>
      <c r="K104" s="984"/>
      <c r="L104" s="985"/>
      <c r="M104" s="984"/>
      <c r="N104" s="991"/>
      <c r="O104" s="136"/>
      <c r="P104" s="1422"/>
      <c r="Q104" s="984"/>
      <c r="R104" s="991"/>
      <c r="S104" s="984"/>
      <c r="T104" s="991"/>
      <c r="U104" s="136"/>
      <c r="V104" s="1422" t="s">
        <v>157</v>
      </c>
      <c r="W104" s="984"/>
      <c r="X104" s="991"/>
      <c r="Y104" s="984"/>
      <c r="Z104" s="977"/>
      <c r="AA104" s="28"/>
      <c r="AB104" s="28"/>
      <c r="AC104" s="1106"/>
      <c r="AD104" s="3"/>
      <c r="AE104" s="3"/>
    </row>
    <row r="105" spans="1:31" x14ac:dyDescent="0.2">
      <c r="A105" s="930"/>
      <c r="B105" s="1331" t="s">
        <v>198</v>
      </c>
      <c r="C105" s="2043">
        <v>5355</v>
      </c>
      <c r="D105" s="2044"/>
      <c r="E105" s="992"/>
      <c r="F105" s="993"/>
      <c r="G105" s="994"/>
      <c r="H105" s="995"/>
      <c r="I105" s="2043">
        <v>3951</v>
      </c>
      <c r="J105" s="2044"/>
      <c r="K105" s="984"/>
      <c r="L105" s="985"/>
      <c r="M105" s="984"/>
      <c r="N105" s="991"/>
      <c r="O105" s="136"/>
      <c r="P105" s="1462">
        <v>3164</v>
      </c>
      <c r="Q105" s="984"/>
      <c r="R105" s="991"/>
      <c r="S105" s="984"/>
      <c r="T105" s="991"/>
      <c r="U105" s="136"/>
      <c r="V105" s="1462">
        <v>1549</v>
      </c>
      <c r="W105" s="984"/>
      <c r="X105" s="991"/>
      <c r="Y105" s="984"/>
      <c r="Z105" s="977"/>
      <c r="AA105" s="28"/>
      <c r="AB105" s="28"/>
      <c r="AC105" s="1473"/>
      <c r="AD105" s="3"/>
      <c r="AE105" s="3"/>
    </row>
    <row r="106" spans="1:31" x14ac:dyDescent="0.2">
      <c r="A106" s="930"/>
      <c r="B106" s="1333" t="s">
        <v>199</v>
      </c>
      <c r="C106" s="2043">
        <v>2973</v>
      </c>
      <c r="D106" s="2044"/>
      <c r="E106" s="992"/>
      <c r="F106" s="993"/>
      <c r="G106" s="994"/>
      <c r="H106" s="995"/>
      <c r="I106" s="2043">
        <v>2664</v>
      </c>
      <c r="J106" s="2044"/>
      <c r="K106" s="984"/>
      <c r="L106" s="985"/>
      <c r="M106" s="984"/>
      <c r="N106" s="991"/>
      <c r="O106" s="136"/>
      <c r="P106" s="1462">
        <v>2814</v>
      </c>
      <c r="Q106" s="984"/>
      <c r="R106" s="991"/>
      <c r="S106" s="984"/>
      <c r="T106" s="991"/>
      <c r="U106" s="136"/>
      <c r="V106" s="1462">
        <v>2598</v>
      </c>
      <c r="W106" s="984"/>
      <c r="X106" s="991"/>
      <c r="Y106" s="984"/>
      <c r="Z106" s="977"/>
      <c r="AA106" s="28"/>
      <c r="AB106" s="28"/>
      <c r="AC106" s="1473"/>
      <c r="AD106" s="3"/>
      <c r="AE106" s="3"/>
    </row>
    <row r="107" spans="1:31" x14ac:dyDescent="0.2">
      <c r="A107" s="930"/>
      <c r="B107" s="1333" t="s">
        <v>200</v>
      </c>
      <c r="C107" s="2043">
        <v>1044</v>
      </c>
      <c r="D107" s="2044"/>
      <c r="E107" s="992"/>
      <c r="F107" s="993"/>
      <c r="G107" s="994"/>
      <c r="H107" s="995"/>
      <c r="I107" s="2043">
        <v>2487</v>
      </c>
      <c r="J107" s="2044"/>
      <c r="K107" s="984"/>
      <c r="L107" s="985"/>
      <c r="M107" s="984"/>
      <c r="N107" s="991"/>
      <c r="O107" s="136"/>
      <c r="P107" s="1462">
        <f>1227+1986</f>
        <v>3213</v>
      </c>
      <c r="Q107" s="984"/>
      <c r="R107" s="991"/>
      <c r="S107" s="984"/>
      <c r="T107" s="991"/>
      <c r="U107" s="136"/>
      <c r="V107" s="1462">
        <f>2095+3885</f>
        <v>5980</v>
      </c>
      <c r="W107" s="984"/>
      <c r="X107" s="991"/>
      <c r="Y107" s="984"/>
      <c r="Z107" s="977"/>
      <c r="AA107" s="28"/>
      <c r="AB107" s="28"/>
      <c r="AC107" s="1473"/>
      <c r="AD107" s="3"/>
      <c r="AE107" s="3"/>
    </row>
    <row r="108" spans="1:31" x14ac:dyDescent="0.2">
      <c r="A108" s="930"/>
      <c r="B108" s="1333" t="s">
        <v>209</v>
      </c>
      <c r="C108" s="2043">
        <f>SUM(C105:D107)</f>
        <v>9372</v>
      </c>
      <c r="D108" s="2044"/>
      <c r="E108" s="992"/>
      <c r="F108" s="993"/>
      <c r="G108" s="994"/>
      <c r="H108" s="995"/>
      <c r="I108" s="2043">
        <f>SUM(I105:J107)</f>
        <v>9102</v>
      </c>
      <c r="J108" s="2044"/>
      <c r="K108" s="984"/>
      <c r="L108" s="985"/>
      <c r="M108" s="984"/>
      <c r="N108" s="991"/>
      <c r="O108" s="136"/>
      <c r="P108" s="1462">
        <f>SUM(P105:P107)</f>
        <v>9191</v>
      </c>
      <c r="Q108" s="984"/>
      <c r="R108" s="991"/>
      <c r="S108" s="984"/>
      <c r="T108" s="991"/>
      <c r="U108" s="136"/>
      <c r="V108" s="1462">
        <f>SUM(V105:V107)</f>
        <v>10127</v>
      </c>
      <c r="W108" s="984"/>
      <c r="X108" s="991"/>
      <c r="Y108" s="984"/>
      <c r="Z108" s="977"/>
      <c r="AA108" s="28"/>
      <c r="AB108" s="28"/>
      <c r="AC108" s="1473"/>
      <c r="AD108" s="3"/>
      <c r="AE108" s="3"/>
    </row>
    <row r="109" spans="1:31" ht="13.5" thickBot="1" x14ac:dyDescent="0.25">
      <c r="A109" s="930"/>
      <c r="B109" s="1334" t="s">
        <v>205</v>
      </c>
      <c r="C109" s="2056"/>
      <c r="D109" s="2055"/>
      <c r="E109" s="989"/>
      <c r="F109" s="990"/>
      <c r="G109" s="975"/>
      <c r="H109" s="991"/>
      <c r="I109" s="2056"/>
      <c r="J109" s="2055"/>
      <c r="K109" s="984"/>
      <c r="L109" s="985"/>
      <c r="M109" s="984"/>
      <c r="N109" s="991"/>
      <c r="O109" s="136"/>
      <c r="P109" s="1422"/>
      <c r="Q109" s="984"/>
      <c r="R109" s="991"/>
      <c r="S109" s="984"/>
      <c r="T109" s="991"/>
      <c r="U109" s="136"/>
      <c r="V109" s="1422"/>
      <c r="W109" s="984"/>
      <c r="X109" s="991"/>
      <c r="Y109" s="984"/>
      <c r="Z109" s="977"/>
      <c r="AA109" s="28"/>
      <c r="AB109" s="28"/>
      <c r="AC109" s="1106"/>
      <c r="AD109" s="28"/>
      <c r="AE109" s="28"/>
    </row>
    <row r="110" spans="1:31" x14ac:dyDescent="0.2">
      <c r="A110" s="930"/>
      <c r="B110" s="1331" t="s">
        <v>206</v>
      </c>
      <c r="C110" s="1985">
        <f>C105/C98</f>
        <v>754.22535211267609</v>
      </c>
      <c r="D110" s="1986"/>
      <c r="E110" s="996"/>
      <c r="F110" s="997"/>
      <c r="G110" s="998"/>
      <c r="H110" s="999"/>
      <c r="I110" s="1985">
        <f>I105/I98</f>
        <v>548.75</v>
      </c>
      <c r="J110" s="1986"/>
      <c r="K110" s="1000"/>
      <c r="L110" s="1001"/>
      <c r="M110" s="1000"/>
      <c r="N110" s="999"/>
      <c r="O110" s="494"/>
      <c r="P110" s="1402">
        <f>P105/P98</f>
        <v>209.53642384105962</v>
      </c>
      <c r="Q110" s="1000"/>
      <c r="R110" s="999"/>
      <c r="S110" s="1000"/>
      <c r="T110" s="999"/>
      <c r="U110" s="494"/>
      <c r="V110" s="1402">
        <f>V105/V98</f>
        <v>111.43884892086331</v>
      </c>
      <c r="W110" s="1000"/>
      <c r="X110" s="999"/>
      <c r="Y110" s="1000"/>
      <c r="Z110" s="1460"/>
      <c r="AA110" s="668"/>
      <c r="AB110" s="668"/>
      <c r="AC110" s="1106"/>
      <c r="AD110" s="21"/>
      <c r="AE110" s="21"/>
    </row>
    <row r="111" spans="1:31" x14ac:dyDescent="0.2">
      <c r="A111" s="930"/>
      <c r="B111" s="1333" t="s">
        <v>207</v>
      </c>
      <c r="C111" s="1985">
        <f>C106/C100</f>
        <v>571.73076923076917</v>
      </c>
      <c r="D111" s="1986"/>
      <c r="E111" s="996"/>
      <c r="F111" s="997"/>
      <c r="G111" s="998"/>
      <c r="H111" s="999"/>
      <c r="I111" s="1985">
        <f>I106/I100</f>
        <v>532.79999999999995</v>
      </c>
      <c r="J111" s="1986"/>
      <c r="K111" s="1000"/>
      <c r="L111" s="1001"/>
      <c r="M111" s="1000"/>
      <c r="N111" s="999"/>
      <c r="O111" s="494"/>
      <c r="P111" s="1402">
        <f>P106/P100</f>
        <v>351.75</v>
      </c>
      <c r="Q111" s="1000"/>
      <c r="R111" s="999"/>
      <c r="S111" s="1000"/>
      <c r="T111" s="999"/>
      <c r="U111" s="494"/>
      <c r="V111" s="1402">
        <f>V106/(V100+V101)</f>
        <v>225.91304347826087</v>
      </c>
      <c r="W111" s="1000"/>
      <c r="X111" s="999"/>
      <c r="Y111" s="1000"/>
      <c r="Z111" s="1460"/>
      <c r="AA111" s="668"/>
      <c r="AB111" s="668"/>
      <c r="AC111" s="1106"/>
      <c r="AD111" s="21"/>
      <c r="AE111" s="21"/>
    </row>
    <row r="112" spans="1:31" x14ac:dyDescent="0.2">
      <c r="A112" s="930"/>
      <c r="B112" s="1333" t="s">
        <v>208</v>
      </c>
      <c r="C112" s="1985">
        <f>C107/C102</f>
        <v>1373.6842105263158</v>
      </c>
      <c r="D112" s="1986"/>
      <c r="E112" s="996"/>
      <c r="F112" s="997"/>
      <c r="G112" s="998"/>
      <c r="H112" s="999"/>
      <c r="I112" s="1985">
        <f>I107/I102</f>
        <v>1243.5</v>
      </c>
      <c r="J112" s="1986"/>
      <c r="K112" s="1000"/>
      <c r="L112" s="1001"/>
      <c r="M112" s="1000"/>
      <c r="N112" s="999"/>
      <c r="O112" s="494"/>
      <c r="P112" s="1402">
        <f>P107/P102</f>
        <v>1071</v>
      </c>
      <c r="Q112" s="1000"/>
      <c r="R112" s="999"/>
      <c r="S112" s="1000"/>
      <c r="T112" s="999"/>
      <c r="U112" s="494"/>
      <c r="V112" s="1402">
        <f>V107/V102</f>
        <v>1258.9473684210527</v>
      </c>
      <c r="W112" s="1000"/>
      <c r="X112" s="999"/>
      <c r="Y112" s="1000"/>
      <c r="Z112" s="1460"/>
      <c r="AA112" s="668"/>
      <c r="AB112" s="668"/>
      <c r="AC112" s="1106"/>
      <c r="AD112" s="21"/>
      <c r="AE112" s="21"/>
    </row>
    <row r="113" spans="1:31" ht="13.5" thickBot="1" x14ac:dyDescent="0.25">
      <c r="A113" s="930"/>
      <c r="B113" s="1335" t="s">
        <v>201</v>
      </c>
      <c r="C113" s="2045">
        <f>C108/C103</f>
        <v>539.86175115207368</v>
      </c>
      <c r="D113" s="2046"/>
      <c r="E113" s="1003"/>
      <c r="F113" s="1004"/>
      <c r="G113" s="1005"/>
      <c r="H113" s="1006"/>
      <c r="I113" s="2045">
        <f>I108/I103</f>
        <v>462.03045685279187</v>
      </c>
      <c r="J113" s="2046"/>
      <c r="K113" s="1005"/>
      <c r="L113" s="1006"/>
      <c r="M113" s="1005"/>
      <c r="N113" s="1006"/>
      <c r="O113" s="1233"/>
      <c r="P113" s="1423">
        <f>P108/P103</f>
        <v>305.3488372093023</v>
      </c>
      <c r="Q113" s="1005"/>
      <c r="R113" s="1006"/>
      <c r="S113" s="1005"/>
      <c r="T113" s="1006"/>
      <c r="U113" s="1233"/>
      <c r="V113" s="1423">
        <f>V108/V103</f>
        <v>335.88723051409619</v>
      </c>
      <c r="W113" s="1005"/>
      <c r="X113" s="1006"/>
      <c r="Y113" s="1005"/>
      <c r="Z113" s="1461"/>
      <c r="AA113" s="668"/>
      <c r="AB113" s="668"/>
      <c r="AC113" s="1106"/>
      <c r="AD113" s="21"/>
      <c r="AE113" s="21"/>
    </row>
    <row r="114" spans="1:31" ht="13.5" thickTop="1" x14ac:dyDescent="0.2">
      <c r="A114" s="3"/>
      <c r="B114" s="3" t="str">
        <f>Dean_AS!B169</f>
        <v>*Note: Beginning with the 2009 collection cycle, Instructional FTE was defined according to the national Delaware Study of Instructional Costs and Productivity</v>
      </c>
      <c r="C114" s="3"/>
      <c r="D114" s="3"/>
      <c r="E114" s="3"/>
      <c r="F114" s="3"/>
      <c r="G114" s="117"/>
      <c r="H114" s="117"/>
      <c r="I114" s="117"/>
      <c r="J114" s="117"/>
      <c r="AC114" s="91"/>
    </row>
    <row r="115" spans="1:31" x14ac:dyDescent="0.2">
      <c r="A115" s="3"/>
      <c r="B115" s="3"/>
      <c r="N115" s="1" t="s">
        <v>29</v>
      </c>
    </row>
    <row r="116" spans="1:31" x14ac:dyDescent="0.2">
      <c r="A116" s="3"/>
      <c r="B116" s="3"/>
    </row>
    <row r="117" spans="1:31" x14ac:dyDescent="0.2">
      <c r="A117" s="3"/>
      <c r="B117" s="3"/>
    </row>
    <row r="118" spans="1:31" x14ac:dyDescent="0.2">
      <c r="A118" s="3"/>
      <c r="B118" s="3"/>
    </row>
    <row r="119" spans="1:31" x14ac:dyDescent="0.2">
      <c r="A119" s="3"/>
      <c r="B119" s="3"/>
    </row>
    <row r="120" spans="1:31" x14ac:dyDescent="0.2">
      <c r="A120" s="3"/>
      <c r="B120" s="3"/>
    </row>
    <row r="121" spans="1:31" x14ac:dyDescent="0.2">
      <c r="A121" s="3"/>
      <c r="B121" s="3"/>
    </row>
    <row r="122" spans="1:31" x14ac:dyDescent="0.2">
      <c r="A122" s="3"/>
      <c r="B122" s="3"/>
    </row>
    <row r="123" spans="1:31" x14ac:dyDescent="0.2">
      <c r="A123" s="3"/>
      <c r="B123" s="3"/>
    </row>
    <row r="124" spans="1:31" x14ac:dyDescent="0.2">
      <c r="A124" s="3"/>
      <c r="B124" s="3"/>
    </row>
    <row r="125" spans="1:31" x14ac:dyDescent="0.2">
      <c r="A125" s="3"/>
      <c r="B125" s="3"/>
    </row>
    <row r="126" spans="1:31" x14ac:dyDescent="0.2">
      <c r="A126" s="3"/>
      <c r="B126" s="3"/>
    </row>
    <row r="127" spans="1:31" x14ac:dyDescent="0.2">
      <c r="A127" s="3"/>
      <c r="B127" s="3"/>
    </row>
    <row r="128" spans="1:31" x14ac:dyDescent="0.2">
      <c r="A128" s="3"/>
      <c r="B128" s="3"/>
    </row>
    <row r="129" spans="1:2" x14ac:dyDescent="0.2">
      <c r="A129" s="3"/>
      <c r="B129" s="3"/>
    </row>
    <row r="130" spans="1:2" x14ac:dyDescent="0.2">
      <c r="A130" s="3"/>
      <c r="B130" s="3"/>
    </row>
    <row r="131" spans="1:2" x14ac:dyDescent="0.2">
      <c r="A131" s="3"/>
      <c r="B131" s="3"/>
    </row>
    <row r="132" spans="1:2" x14ac:dyDescent="0.2">
      <c r="A132" s="3"/>
      <c r="B132" s="3"/>
    </row>
    <row r="133" spans="1:2" x14ac:dyDescent="0.2">
      <c r="A133" s="3"/>
      <c r="B133" s="3"/>
    </row>
    <row r="134" spans="1:2" x14ac:dyDescent="0.2">
      <c r="A134" s="3"/>
      <c r="B134" s="3"/>
    </row>
    <row r="135" spans="1:2" x14ac:dyDescent="0.2">
      <c r="A135" s="3"/>
      <c r="B135" s="3"/>
    </row>
    <row r="136" spans="1:2" x14ac:dyDescent="0.2">
      <c r="A136" s="3"/>
      <c r="B136" s="3"/>
    </row>
    <row r="137" spans="1:2" x14ac:dyDescent="0.2">
      <c r="A137" s="3"/>
      <c r="B137" s="3"/>
    </row>
    <row r="138" spans="1:2" x14ac:dyDescent="0.2">
      <c r="A138" s="3"/>
      <c r="B138" s="3"/>
    </row>
    <row r="139" spans="1:2" x14ac:dyDescent="0.2">
      <c r="A139" s="3"/>
      <c r="B139" s="3"/>
    </row>
    <row r="140" spans="1:2" x14ac:dyDescent="0.2">
      <c r="A140" s="3"/>
      <c r="B140" s="3"/>
    </row>
    <row r="141" spans="1:2" x14ac:dyDescent="0.2">
      <c r="A141" s="3"/>
      <c r="B141" s="3"/>
    </row>
    <row r="142" spans="1:2" x14ac:dyDescent="0.2">
      <c r="A142" s="3"/>
      <c r="B142" s="3"/>
    </row>
    <row r="143" spans="1:2" x14ac:dyDescent="0.2">
      <c r="A143" s="3"/>
      <c r="B143" s="3"/>
    </row>
    <row r="144" spans="1:2" x14ac:dyDescent="0.2">
      <c r="A144" s="3"/>
      <c r="B144" s="3"/>
    </row>
    <row r="145" spans="1:2" x14ac:dyDescent="0.2">
      <c r="A145" s="3"/>
      <c r="B145" s="3"/>
    </row>
    <row r="146" spans="1:2" x14ac:dyDescent="0.2">
      <c r="A146" s="3"/>
      <c r="B146" s="3"/>
    </row>
    <row r="147" spans="1:2" x14ac:dyDescent="0.2">
      <c r="A147" s="3"/>
      <c r="B147" s="3"/>
    </row>
    <row r="148" spans="1:2" x14ac:dyDescent="0.2">
      <c r="A148" s="3"/>
      <c r="B148" s="3"/>
    </row>
    <row r="149" spans="1:2" x14ac:dyDescent="0.2">
      <c r="A149" s="3"/>
      <c r="B149" s="3"/>
    </row>
    <row r="150" spans="1:2" x14ac:dyDescent="0.2">
      <c r="A150" s="3"/>
      <c r="B150" s="3"/>
    </row>
    <row r="151" spans="1:2" x14ac:dyDescent="0.2">
      <c r="A151" s="3"/>
      <c r="B151" s="3"/>
    </row>
    <row r="152" spans="1:2" x14ac:dyDescent="0.2">
      <c r="A152" s="3"/>
      <c r="B152" s="3"/>
    </row>
    <row r="153" spans="1:2" x14ac:dyDescent="0.2">
      <c r="A153" s="3"/>
      <c r="B153" s="3"/>
    </row>
    <row r="154" spans="1:2" x14ac:dyDescent="0.2">
      <c r="A154" s="3"/>
      <c r="B154" s="3"/>
    </row>
    <row r="155" spans="1:2" x14ac:dyDescent="0.2">
      <c r="A155" s="3"/>
      <c r="B155" s="3"/>
    </row>
    <row r="156" spans="1:2" x14ac:dyDescent="0.2">
      <c r="A156" s="3"/>
      <c r="B156" s="3"/>
    </row>
    <row r="157" spans="1:2" x14ac:dyDescent="0.2">
      <c r="A157" s="3"/>
      <c r="B157" s="3"/>
    </row>
    <row r="158" spans="1:2" x14ac:dyDescent="0.2">
      <c r="A158" s="3"/>
      <c r="B158" s="3"/>
    </row>
    <row r="159" spans="1:2" x14ac:dyDescent="0.2">
      <c r="A159" s="3"/>
      <c r="B159" s="3"/>
    </row>
    <row r="160" spans="1:2" x14ac:dyDescent="0.2">
      <c r="A160" s="3"/>
      <c r="B160" s="3"/>
    </row>
    <row r="161" spans="1:2" x14ac:dyDescent="0.2">
      <c r="A161" s="3"/>
      <c r="B161" s="3"/>
    </row>
    <row r="162" spans="1:2" x14ac:dyDescent="0.2">
      <c r="A162" s="3"/>
      <c r="B162" s="3"/>
    </row>
    <row r="163" spans="1:2" x14ac:dyDescent="0.2">
      <c r="A163" s="3"/>
      <c r="B163" s="3"/>
    </row>
    <row r="164" spans="1:2" x14ac:dyDescent="0.2">
      <c r="A164" s="3"/>
      <c r="B164" s="3"/>
    </row>
    <row r="165" spans="1:2" x14ac:dyDescent="0.2">
      <c r="A165" s="3"/>
      <c r="B165" s="3"/>
    </row>
    <row r="166" spans="1:2" x14ac:dyDescent="0.2">
      <c r="A166" s="3"/>
      <c r="B166" s="3"/>
    </row>
    <row r="167" spans="1:2" x14ac:dyDescent="0.2">
      <c r="A167" s="3"/>
      <c r="B167" s="3"/>
    </row>
    <row r="168" spans="1:2" x14ac:dyDescent="0.2">
      <c r="A168" s="3"/>
      <c r="B168" s="3"/>
    </row>
    <row r="169" spans="1:2" x14ac:dyDescent="0.2">
      <c r="A169" s="3"/>
      <c r="B169" s="3"/>
    </row>
    <row r="170" spans="1:2" x14ac:dyDescent="0.2">
      <c r="A170" s="3"/>
      <c r="B170" s="3"/>
    </row>
    <row r="171" spans="1:2" x14ac:dyDescent="0.2">
      <c r="A171" s="3"/>
      <c r="B171" s="3"/>
    </row>
    <row r="172" spans="1:2" x14ac:dyDescent="0.2">
      <c r="A172" s="3"/>
      <c r="B172" s="3"/>
    </row>
    <row r="173" spans="1:2" x14ac:dyDescent="0.2">
      <c r="A173" s="3"/>
      <c r="B173" s="3"/>
    </row>
    <row r="174" spans="1:2" x14ac:dyDescent="0.2">
      <c r="A174" s="3"/>
      <c r="B174" s="3"/>
    </row>
    <row r="175" spans="1:2" x14ac:dyDescent="0.2">
      <c r="A175" s="3"/>
      <c r="B175" s="3"/>
    </row>
    <row r="176" spans="1:2" x14ac:dyDescent="0.2">
      <c r="A176" s="3"/>
      <c r="B176" s="3"/>
    </row>
    <row r="177" spans="1:2" x14ac:dyDescent="0.2">
      <c r="A177" s="3"/>
      <c r="B177" s="3"/>
    </row>
    <row r="178" spans="1:2" x14ac:dyDescent="0.2">
      <c r="A178" s="3"/>
      <c r="B178" s="3"/>
    </row>
    <row r="179" spans="1:2" x14ac:dyDescent="0.2">
      <c r="A179" s="3"/>
      <c r="B179" s="3"/>
    </row>
    <row r="180" spans="1:2" x14ac:dyDescent="0.2">
      <c r="A180" s="3"/>
      <c r="B180" s="3"/>
    </row>
    <row r="181" spans="1:2" x14ac:dyDescent="0.2">
      <c r="A181" s="3"/>
      <c r="B181" s="3"/>
    </row>
    <row r="182" spans="1:2" x14ac:dyDescent="0.2">
      <c r="A182" s="3"/>
      <c r="B182" s="3"/>
    </row>
    <row r="183" spans="1:2" x14ac:dyDescent="0.2">
      <c r="A183" s="3"/>
      <c r="B183" s="3"/>
    </row>
    <row r="184" spans="1:2" x14ac:dyDescent="0.2">
      <c r="A184" s="3"/>
      <c r="B184" s="3"/>
    </row>
    <row r="185" spans="1:2" x14ac:dyDescent="0.2">
      <c r="A185" s="3"/>
      <c r="B185" s="3"/>
    </row>
    <row r="186" spans="1:2" x14ac:dyDescent="0.2">
      <c r="A186" s="3"/>
      <c r="B186" s="3"/>
    </row>
    <row r="187" spans="1:2" x14ac:dyDescent="0.2">
      <c r="A187" s="3"/>
      <c r="B187" s="3"/>
    </row>
    <row r="188" spans="1:2" x14ac:dyDescent="0.2">
      <c r="A188" s="3"/>
      <c r="B188" s="3"/>
    </row>
    <row r="189" spans="1:2" x14ac:dyDescent="0.2">
      <c r="A189" s="3"/>
      <c r="B189" s="3"/>
    </row>
    <row r="190" spans="1:2" x14ac:dyDescent="0.2">
      <c r="A190" s="3"/>
      <c r="B190" s="3"/>
    </row>
    <row r="191" spans="1:2" x14ac:dyDescent="0.2">
      <c r="A191" s="3"/>
      <c r="B191" s="3"/>
    </row>
    <row r="192" spans="1:2" x14ac:dyDescent="0.2">
      <c r="A192" s="3"/>
      <c r="B192" s="3"/>
    </row>
    <row r="193" spans="1:2" x14ac:dyDescent="0.2">
      <c r="A193" s="3"/>
      <c r="B193" s="3"/>
    </row>
    <row r="194" spans="1:2" x14ac:dyDescent="0.2">
      <c r="A194" s="3"/>
      <c r="B194" s="3"/>
    </row>
    <row r="195" spans="1:2" x14ac:dyDescent="0.2">
      <c r="A195" s="3"/>
      <c r="B195" s="3"/>
    </row>
    <row r="196" spans="1:2" x14ac:dyDescent="0.2">
      <c r="A196" s="3"/>
      <c r="B196" s="3"/>
    </row>
    <row r="197" spans="1:2" x14ac:dyDescent="0.2">
      <c r="A197" s="3"/>
      <c r="B197" s="3"/>
    </row>
    <row r="198" spans="1:2" x14ac:dyDescent="0.2">
      <c r="A198" s="3"/>
      <c r="B198" s="3"/>
    </row>
    <row r="199" spans="1:2" x14ac:dyDescent="0.2">
      <c r="A199" s="3"/>
      <c r="B199" s="3"/>
    </row>
    <row r="200" spans="1:2" x14ac:dyDescent="0.2">
      <c r="A200" s="3"/>
      <c r="B200" s="3"/>
    </row>
    <row r="201" spans="1:2" x14ac:dyDescent="0.2">
      <c r="A201" s="3"/>
      <c r="B201" s="3"/>
    </row>
    <row r="202" spans="1:2" x14ac:dyDescent="0.2">
      <c r="A202" s="3"/>
      <c r="B202" s="3"/>
    </row>
    <row r="203" spans="1:2" x14ac:dyDescent="0.2">
      <c r="A203" s="3"/>
      <c r="B203" s="3"/>
    </row>
    <row r="204" spans="1:2" x14ac:dyDescent="0.2">
      <c r="A204" s="3"/>
      <c r="B204" s="3"/>
    </row>
    <row r="205" spans="1:2" x14ac:dyDescent="0.2">
      <c r="A205" s="3"/>
      <c r="B205" s="3"/>
    </row>
    <row r="206" spans="1:2" x14ac:dyDescent="0.2">
      <c r="A206" s="3"/>
      <c r="B206" s="3"/>
    </row>
    <row r="207" spans="1:2" x14ac:dyDescent="0.2">
      <c r="A207" s="3"/>
      <c r="B207" s="3"/>
    </row>
    <row r="208" spans="1:2" x14ac:dyDescent="0.2">
      <c r="A208" s="3"/>
      <c r="B208" s="3"/>
    </row>
    <row r="209" spans="1:2" x14ac:dyDescent="0.2">
      <c r="A209" s="3"/>
      <c r="B209" s="3"/>
    </row>
    <row r="210" spans="1:2" x14ac:dyDescent="0.2">
      <c r="A210" s="3"/>
      <c r="B210" s="3"/>
    </row>
    <row r="211" spans="1:2" x14ac:dyDescent="0.2">
      <c r="A211" s="3"/>
      <c r="B211" s="3"/>
    </row>
    <row r="212" spans="1:2" x14ac:dyDescent="0.2">
      <c r="A212" s="3"/>
      <c r="B212" s="3"/>
    </row>
    <row r="213" spans="1:2" x14ac:dyDescent="0.2">
      <c r="A213" s="3"/>
      <c r="B213" s="3"/>
    </row>
    <row r="214" spans="1:2" x14ac:dyDescent="0.2">
      <c r="A214" s="3"/>
      <c r="B214" s="3"/>
    </row>
    <row r="215" spans="1:2" x14ac:dyDescent="0.2">
      <c r="A215" s="3"/>
      <c r="B215" s="3"/>
    </row>
    <row r="216" spans="1:2" x14ac:dyDescent="0.2">
      <c r="A216" s="3"/>
      <c r="B216" s="3"/>
    </row>
    <row r="217" spans="1:2" x14ac:dyDescent="0.2">
      <c r="A217" s="3"/>
      <c r="B217" s="3"/>
    </row>
    <row r="218" spans="1:2" x14ac:dyDescent="0.2">
      <c r="A218" s="3"/>
      <c r="B218" s="3"/>
    </row>
    <row r="219" spans="1:2" x14ac:dyDescent="0.2">
      <c r="A219" s="3"/>
      <c r="B219" s="3"/>
    </row>
    <row r="220" spans="1:2" x14ac:dyDescent="0.2">
      <c r="A220" s="3"/>
      <c r="B220" s="3"/>
    </row>
    <row r="221" spans="1:2" x14ac:dyDescent="0.2">
      <c r="A221" s="3"/>
      <c r="B221" s="3"/>
    </row>
    <row r="222" spans="1:2" x14ac:dyDescent="0.2">
      <c r="A222" s="3"/>
      <c r="B222" s="3"/>
    </row>
    <row r="223" spans="1:2" x14ac:dyDescent="0.2">
      <c r="A223" s="3"/>
      <c r="B223" s="3"/>
    </row>
    <row r="224" spans="1:2" x14ac:dyDescent="0.2">
      <c r="A224" s="3"/>
      <c r="B224" s="3"/>
    </row>
    <row r="225" spans="1:2" x14ac:dyDescent="0.2">
      <c r="A225" s="3"/>
      <c r="B225" s="3"/>
    </row>
    <row r="226" spans="1:2" x14ac:dyDescent="0.2">
      <c r="A226" s="3"/>
      <c r="B226" s="3"/>
    </row>
    <row r="227" spans="1:2" x14ac:dyDescent="0.2">
      <c r="A227" s="3"/>
      <c r="B227" s="3"/>
    </row>
    <row r="228" spans="1:2" x14ac:dyDescent="0.2">
      <c r="A228" s="3"/>
      <c r="B228" s="3"/>
    </row>
    <row r="229" spans="1:2" x14ac:dyDescent="0.2">
      <c r="A229" s="3"/>
      <c r="B229" s="3"/>
    </row>
    <row r="230" spans="1:2" x14ac:dyDescent="0.2">
      <c r="A230" s="3"/>
      <c r="B230" s="3"/>
    </row>
    <row r="231" spans="1:2" x14ac:dyDescent="0.2">
      <c r="A231" s="3"/>
      <c r="B231" s="3"/>
    </row>
    <row r="232" spans="1:2" x14ac:dyDescent="0.2">
      <c r="A232" s="3"/>
      <c r="B232" s="3"/>
    </row>
    <row r="233" spans="1:2" x14ac:dyDescent="0.2">
      <c r="A233" s="3"/>
      <c r="B233" s="3"/>
    </row>
    <row r="234" spans="1:2" x14ac:dyDescent="0.2">
      <c r="A234" s="3"/>
      <c r="B234" s="3"/>
    </row>
    <row r="235" spans="1:2" x14ac:dyDescent="0.2">
      <c r="A235" s="3"/>
      <c r="B235" s="3"/>
    </row>
    <row r="236" spans="1:2" x14ac:dyDescent="0.2">
      <c r="A236" s="3"/>
      <c r="B236" s="3"/>
    </row>
    <row r="237" spans="1:2" x14ac:dyDescent="0.2">
      <c r="A237" s="3"/>
      <c r="B237" s="3"/>
    </row>
    <row r="238" spans="1:2" x14ac:dyDescent="0.2">
      <c r="A238" s="3"/>
      <c r="B238" s="3"/>
    </row>
    <row r="239" spans="1:2" x14ac:dyDescent="0.2">
      <c r="A239" s="3"/>
      <c r="B239" s="3"/>
    </row>
    <row r="240" spans="1:2" x14ac:dyDescent="0.2">
      <c r="A240" s="3"/>
      <c r="B240" s="3"/>
    </row>
    <row r="241" spans="1:2" x14ac:dyDescent="0.2">
      <c r="A241" s="3"/>
      <c r="B241" s="3"/>
    </row>
    <row r="242" spans="1:2" x14ac:dyDescent="0.2">
      <c r="A242" s="3"/>
      <c r="B242" s="3"/>
    </row>
    <row r="243" spans="1:2" x14ac:dyDescent="0.2">
      <c r="A243" s="3"/>
      <c r="B243" s="3"/>
    </row>
    <row r="244" spans="1:2" x14ac:dyDescent="0.2">
      <c r="A244" s="3"/>
      <c r="B244" s="3"/>
    </row>
    <row r="245" spans="1:2" x14ac:dyDescent="0.2">
      <c r="A245" s="3"/>
      <c r="B245" s="3"/>
    </row>
    <row r="246" spans="1:2" x14ac:dyDescent="0.2">
      <c r="A246" s="3"/>
      <c r="B246" s="3"/>
    </row>
    <row r="247" spans="1:2" x14ac:dyDescent="0.2">
      <c r="A247" s="3"/>
      <c r="B247" s="3"/>
    </row>
  </sheetData>
  <mergeCells count="141">
    <mergeCell ref="W61:X61"/>
    <mergeCell ref="C112:D112"/>
    <mergeCell ref="I112:J112"/>
    <mergeCell ref="C113:D113"/>
    <mergeCell ref="I113:J113"/>
    <mergeCell ref="C110:D110"/>
    <mergeCell ref="I110:J110"/>
    <mergeCell ref="C111:D111"/>
    <mergeCell ref="I111:J111"/>
    <mergeCell ref="O96:P96"/>
    <mergeCell ref="U96:V96"/>
    <mergeCell ref="C105:D105"/>
    <mergeCell ref="I105:J105"/>
    <mergeCell ref="C102:D102"/>
    <mergeCell ref="I102:J102"/>
    <mergeCell ref="C103:D103"/>
    <mergeCell ref="I103:J103"/>
    <mergeCell ref="C108:D108"/>
    <mergeCell ref="I108:J108"/>
    <mergeCell ref="C109:D109"/>
    <mergeCell ref="I109:J109"/>
    <mergeCell ref="C106:D106"/>
    <mergeCell ref="I106:J106"/>
    <mergeCell ref="C107:D107"/>
    <mergeCell ref="AB7:AC7"/>
    <mergeCell ref="AB20:AC20"/>
    <mergeCell ref="AB35:AC35"/>
    <mergeCell ref="AB61:AC61"/>
    <mergeCell ref="AB31:AC31"/>
    <mergeCell ref="AB28:AC28"/>
    <mergeCell ref="O35:P35"/>
    <mergeCell ref="O61:P61"/>
    <mergeCell ref="O91:P91"/>
    <mergeCell ref="O7:P7"/>
    <mergeCell ref="O20:P20"/>
    <mergeCell ref="O28:P28"/>
    <mergeCell ref="O31:P31"/>
    <mergeCell ref="U91:V91"/>
    <mergeCell ref="AB91:AC91"/>
    <mergeCell ref="Q7:R7"/>
    <mergeCell ref="Q20:R20"/>
    <mergeCell ref="Q28:R28"/>
    <mergeCell ref="Q31:R31"/>
    <mergeCell ref="Q35:R35"/>
    <mergeCell ref="Q61:R61"/>
    <mergeCell ref="Y61:Z61"/>
    <mergeCell ref="S61:T61"/>
    <mergeCell ref="U61:V61"/>
    <mergeCell ref="I107:J107"/>
    <mergeCell ref="C100:D100"/>
    <mergeCell ref="I100:J100"/>
    <mergeCell ref="C101:D101"/>
    <mergeCell ref="I101:J101"/>
    <mergeCell ref="C98:D98"/>
    <mergeCell ref="I98:J98"/>
    <mergeCell ref="C99:D99"/>
    <mergeCell ref="I99:J99"/>
    <mergeCell ref="C104:D104"/>
    <mergeCell ref="I104:J104"/>
    <mergeCell ref="C96:D96"/>
    <mergeCell ref="E96:F96"/>
    <mergeCell ref="G96:H96"/>
    <mergeCell ref="I96:J96"/>
    <mergeCell ref="K96:L96"/>
    <mergeCell ref="M96:N96"/>
    <mergeCell ref="AB96:AC96"/>
    <mergeCell ref="K91:L91"/>
    <mergeCell ref="Q91:R91"/>
    <mergeCell ref="S91:T91"/>
    <mergeCell ref="S96:T96"/>
    <mergeCell ref="W91:X91"/>
    <mergeCell ref="W96:X96"/>
    <mergeCell ref="M91:N91"/>
    <mergeCell ref="C91:D91"/>
    <mergeCell ref="E91:F91"/>
    <mergeCell ref="G91:H91"/>
    <mergeCell ref="I91:J91"/>
    <mergeCell ref="Q96:R96"/>
    <mergeCell ref="Y91:Z91"/>
    <mergeCell ref="Y96:Z96"/>
    <mergeCell ref="M61:N61"/>
    <mergeCell ref="M28:N28"/>
    <mergeCell ref="M31:N31"/>
    <mergeCell ref="C61:D61"/>
    <mergeCell ref="E61:F61"/>
    <mergeCell ref="C20:D20"/>
    <mergeCell ref="E20:F20"/>
    <mergeCell ref="G20:H20"/>
    <mergeCell ref="I20:J20"/>
    <mergeCell ref="I35:J35"/>
    <mergeCell ref="K31:L31"/>
    <mergeCell ref="E35:F35"/>
    <mergeCell ref="I28:J28"/>
    <mergeCell ref="I29:J29"/>
    <mergeCell ref="I30:J30"/>
    <mergeCell ref="I31:J31"/>
    <mergeCell ref="I61:J61"/>
    <mergeCell ref="G61:H61"/>
    <mergeCell ref="K61:L61"/>
    <mergeCell ref="K20:L20"/>
    <mergeCell ref="K35:L35"/>
    <mergeCell ref="G29:H29"/>
    <mergeCell ref="G30:H30"/>
    <mergeCell ref="K28:L28"/>
    <mergeCell ref="C30:D30"/>
    <mergeCell ref="E30:F30"/>
    <mergeCell ref="C28:D28"/>
    <mergeCell ref="E28:F28"/>
    <mergeCell ref="G28:H28"/>
    <mergeCell ref="M7:N7"/>
    <mergeCell ref="M20:N20"/>
    <mergeCell ref="M35:N35"/>
    <mergeCell ref="K7:L7"/>
    <mergeCell ref="I7:J7"/>
    <mergeCell ref="G31:H31"/>
    <mergeCell ref="C35:D35"/>
    <mergeCell ref="G35:H35"/>
    <mergeCell ref="C29:D29"/>
    <mergeCell ref="E29:F29"/>
    <mergeCell ref="E31:F31"/>
    <mergeCell ref="C31:D31"/>
    <mergeCell ref="Y7:Z7"/>
    <mergeCell ref="Y20:Z20"/>
    <mergeCell ref="Y28:Z28"/>
    <mergeCell ref="Y31:Z31"/>
    <mergeCell ref="Y35:Z35"/>
    <mergeCell ref="S7:T7"/>
    <mergeCell ref="S20:T20"/>
    <mergeCell ref="S28:T28"/>
    <mergeCell ref="S31:T31"/>
    <mergeCell ref="S35:T35"/>
    <mergeCell ref="U7:V7"/>
    <mergeCell ref="U20:V20"/>
    <mergeCell ref="U28:V28"/>
    <mergeCell ref="U31:V31"/>
    <mergeCell ref="U35:V35"/>
    <mergeCell ref="W7:X7"/>
    <mergeCell ref="W20:X20"/>
    <mergeCell ref="W28:X28"/>
    <mergeCell ref="W35:X35"/>
    <mergeCell ref="W31:X31"/>
  </mergeCells>
  <phoneticPr fontId="3" type="noConversion"/>
  <printOptions horizontalCentered="1"/>
  <pageMargins left="0.5" right="0.5" top="0.5" bottom="0.5" header="0.5" footer="0.25"/>
  <pageSetup scale="70" orientation="landscape" r:id="rId1"/>
  <headerFooter alignWithMargins="0">
    <oddFooter>&amp;R&amp;P of &amp;N
&amp;D</oddFooter>
  </headerFooter>
  <rowBreaks count="1" manualBreakCount="1">
    <brk id="58" max="21" man="1"/>
  </rowBreaks>
  <ignoredErrors>
    <ignoredError sqref="S71:S9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9"/>
  <sheetViews>
    <sheetView view="pageBreakPreview" zoomScaleNormal="100" workbookViewId="0">
      <pane xSplit="2" ySplit="1" topLeftCell="O2" activePane="bottomRight" state="frozen"/>
      <selection activeCell="AF81" sqref="AF81"/>
      <selection pane="topRight" activeCell="AF81" sqref="AF81"/>
      <selection pane="bottomLeft" activeCell="AF81" sqref="AF81"/>
      <selection pane="bottomRight" activeCell="AF81" sqref="AF81"/>
    </sheetView>
  </sheetViews>
  <sheetFormatPr defaultColWidth="10.28515625" defaultRowHeight="12.75" x14ac:dyDescent="0.2"/>
  <cols>
    <col min="1" max="1" width="3.7109375" customWidth="1"/>
    <col min="2" max="2" width="29.85546875" customWidth="1"/>
    <col min="3" max="3" width="7.7109375" hidden="1" customWidth="1"/>
    <col min="4" max="4" width="11.28515625" hidden="1" customWidth="1"/>
    <col min="5" max="5" width="7.7109375" hidden="1" customWidth="1"/>
    <col min="6" max="6" width="11" hidden="1" customWidth="1"/>
    <col min="7" max="7" width="7.7109375" style="115" hidden="1" customWidth="1"/>
    <col min="8" max="8" width="11.42578125" style="115" hidden="1" customWidth="1"/>
    <col min="9" max="9" width="7.7109375" style="115" hidden="1" customWidth="1"/>
    <col min="10" max="10" width="11" style="115" hidden="1" customWidth="1"/>
    <col min="11" max="11" width="7.7109375" hidden="1" customWidth="1"/>
    <col min="12" max="12" width="11" hidden="1" customWidth="1"/>
    <col min="13" max="13" width="7.7109375" hidden="1" customWidth="1"/>
    <col min="14" max="14" width="11.28515625" hidden="1" customWidth="1"/>
    <col min="15" max="15" width="7.7109375" customWidth="1"/>
    <col min="16" max="16" width="11.28515625" customWidth="1"/>
    <col min="17" max="17" width="7.7109375" customWidth="1"/>
    <col min="18" max="18" width="11.28515625" customWidth="1"/>
    <col min="19" max="19" width="7.7109375" customWidth="1"/>
    <col min="20" max="20" width="11.28515625" customWidth="1"/>
    <col min="21" max="21" width="7.7109375" customWidth="1"/>
    <col min="22" max="22" width="11.28515625" customWidth="1"/>
    <col min="23" max="23" width="7.7109375" customWidth="1"/>
    <col min="24" max="24" width="11.28515625" customWidth="1"/>
    <col min="25" max="25" width="7.7109375" customWidth="1"/>
    <col min="26" max="26" width="11.28515625" customWidth="1"/>
    <col min="27" max="27" width="1.7109375" customWidth="1"/>
    <col min="28" max="28" width="7.7109375" customWidth="1"/>
    <col min="29" max="29" width="10.28515625" customWidth="1"/>
    <col min="30" max="30" width="1.5703125" customWidth="1"/>
  </cols>
  <sheetData>
    <row r="1" spans="1:31" ht="18" x14ac:dyDescent="0.25">
      <c r="A1" s="1183" t="str">
        <f>Dean_AS!A1</f>
        <v>Department Profile Report - FY 2015</v>
      </c>
      <c r="B1" s="1183"/>
      <c r="C1" s="1183"/>
      <c r="D1" s="1183"/>
      <c r="E1" s="1183"/>
      <c r="F1" s="1183"/>
      <c r="G1" s="1183"/>
      <c r="H1" s="1183"/>
      <c r="I1" s="1239"/>
      <c r="J1" s="1181"/>
      <c r="K1" s="1182"/>
      <c r="L1" s="1182"/>
      <c r="M1" s="1182"/>
      <c r="N1" s="1182"/>
      <c r="O1" s="1182"/>
      <c r="P1" s="1182"/>
      <c r="Q1" s="1182"/>
      <c r="R1" s="1182"/>
      <c r="S1" s="1182"/>
      <c r="T1" s="1182"/>
      <c r="U1" s="1182"/>
      <c r="V1" s="1182"/>
      <c r="W1" s="1182"/>
      <c r="X1" s="1182"/>
      <c r="Y1" s="1182"/>
      <c r="Z1" s="1182"/>
      <c r="AA1" s="1182"/>
      <c r="AB1" s="1182"/>
      <c r="AC1" s="1182"/>
    </row>
    <row r="2" spans="1:31" x14ac:dyDescent="0.2">
      <c r="A2" s="3"/>
      <c r="B2" s="3"/>
      <c r="C2" s="3"/>
      <c r="D2" s="3"/>
      <c r="E2" s="3"/>
      <c r="F2" s="3"/>
      <c r="G2" s="117"/>
      <c r="H2" s="117"/>
      <c r="I2" s="117"/>
      <c r="J2" s="117"/>
    </row>
    <row r="3" spans="1:31" x14ac:dyDescent="0.2">
      <c r="A3" s="2" t="s">
        <v>20</v>
      </c>
      <c r="B3" s="117"/>
      <c r="C3" s="3"/>
      <c r="D3" s="3"/>
      <c r="E3" s="3"/>
      <c r="F3" s="3"/>
      <c r="G3" s="117"/>
      <c r="H3" s="117"/>
      <c r="I3" s="117"/>
      <c r="J3" s="117"/>
    </row>
    <row r="4" spans="1:31" x14ac:dyDescent="0.2">
      <c r="A4" s="3"/>
      <c r="B4" s="3"/>
      <c r="C4" s="3"/>
      <c r="D4" s="3"/>
      <c r="E4" s="3"/>
      <c r="F4" s="3"/>
      <c r="G4" s="117"/>
      <c r="H4" s="117"/>
      <c r="I4" s="117"/>
      <c r="J4" s="117"/>
    </row>
    <row r="5" spans="1:31" x14ac:dyDescent="0.2">
      <c r="A5" s="2" t="s">
        <v>77</v>
      </c>
      <c r="B5" s="3"/>
      <c r="C5" s="3"/>
      <c r="D5" s="3"/>
      <c r="E5" s="3"/>
      <c r="F5" s="3"/>
      <c r="G5" s="117"/>
      <c r="H5" s="117"/>
      <c r="I5" s="117"/>
      <c r="J5" s="117"/>
    </row>
    <row r="6" spans="1:31" ht="13.5" thickBot="1" x14ac:dyDescent="0.25">
      <c r="A6" s="2"/>
      <c r="B6" s="3"/>
      <c r="C6" s="3"/>
      <c r="D6" s="3"/>
      <c r="E6" s="3"/>
      <c r="F6" s="3"/>
      <c r="G6" s="117"/>
      <c r="H6" s="117"/>
      <c r="I6" s="117"/>
      <c r="J6" s="117"/>
    </row>
    <row r="7" spans="1:31" ht="14.25" thickTop="1" thickBot="1" x14ac:dyDescent="0.25">
      <c r="A7" s="3"/>
      <c r="B7" s="22"/>
      <c r="C7" s="29" t="s">
        <v>49</v>
      </c>
      <c r="D7" s="51"/>
      <c r="E7" s="29" t="s">
        <v>50</v>
      </c>
      <c r="F7" s="7"/>
      <c r="G7" s="302" t="s">
        <v>141</v>
      </c>
      <c r="H7" s="121"/>
      <c r="I7" s="120" t="s">
        <v>152</v>
      </c>
      <c r="J7" s="121"/>
      <c r="K7" s="1968" t="s">
        <v>154</v>
      </c>
      <c r="L7" s="1968"/>
      <c r="M7" s="1994" t="s">
        <v>171</v>
      </c>
      <c r="N7" s="1980"/>
      <c r="O7" s="1968" t="s">
        <v>227</v>
      </c>
      <c r="P7" s="1980"/>
      <c r="Q7" s="1968" t="s">
        <v>237</v>
      </c>
      <c r="R7" s="1980"/>
      <c r="S7" s="1968" t="s">
        <v>272</v>
      </c>
      <c r="T7" s="1980"/>
      <c r="U7" s="1968" t="s">
        <v>274</v>
      </c>
      <c r="V7" s="1980"/>
      <c r="W7" s="1968" t="s">
        <v>280</v>
      </c>
      <c r="X7" s="1980"/>
      <c r="Y7" s="1968" t="s">
        <v>290</v>
      </c>
      <c r="Z7" s="1969"/>
      <c r="AB7" s="2003" t="s">
        <v>213</v>
      </c>
      <c r="AC7" s="2004"/>
    </row>
    <row r="8" spans="1:31" x14ac:dyDescent="0.2">
      <c r="A8" s="3"/>
      <c r="B8" s="71"/>
      <c r="C8" s="42" t="s">
        <v>1</v>
      </c>
      <c r="D8" s="47" t="s">
        <v>2</v>
      </c>
      <c r="E8" s="42" t="s">
        <v>1</v>
      </c>
      <c r="F8" s="8" t="s">
        <v>2</v>
      </c>
      <c r="G8" s="303" t="s">
        <v>1</v>
      </c>
      <c r="H8" s="125" t="s">
        <v>2</v>
      </c>
      <c r="I8" s="124" t="s">
        <v>1</v>
      </c>
      <c r="J8" s="125" t="s">
        <v>2</v>
      </c>
      <c r="K8" s="124" t="s">
        <v>1</v>
      </c>
      <c r="L8" s="300" t="s">
        <v>2</v>
      </c>
      <c r="M8" s="303" t="s">
        <v>1</v>
      </c>
      <c r="N8" s="125" t="s">
        <v>2</v>
      </c>
      <c r="O8" s="124" t="s">
        <v>1</v>
      </c>
      <c r="P8" s="125" t="s">
        <v>2</v>
      </c>
      <c r="Q8" s="124" t="s">
        <v>1</v>
      </c>
      <c r="R8" s="125" t="s">
        <v>2</v>
      </c>
      <c r="S8" s="124" t="s">
        <v>1</v>
      </c>
      <c r="T8" s="125" t="s">
        <v>2</v>
      </c>
      <c r="U8" s="124" t="s">
        <v>1</v>
      </c>
      <c r="V8" s="125" t="s">
        <v>2</v>
      </c>
      <c r="W8" s="124" t="s">
        <v>1</v>
      </c>
      <c r="X8" s="125" t="s">
        <v>2</v>
      </c>
      <c r="Y8" s="124" t="s">
        <v>1</v>
      </c>
      <c r="Z8" s="126" t="s">
        <v>2</v>
      </c>
      <c r="AB8" s="921" t="s">
        <v>214</v>
      </c>
      <c r="AC8" s="922" t="s">
        <v>215</v>
      </c>
    </row>
    <row r="9" spans="1:31" ht="13.5" thickBot="1" x14ac:dyDescent="0.25">
      <c r="A9" s="3"/>
      <c r="B9" s="72"/>
      <c r="C9" s="46" t="s">
        <v>3</v>
      </c>
      <c r="D9" s="48" t="s">
        <v>4</v>
      </c>
      <c r="E9" s="46" t="s">
        <v>3</v>
      </c>
      <c r="F9" s="26" t="s">
        <v>4</v>
      </c>
      <c r="G9" s="304" t="s">
        <v>3</v>
      </c>
      <c r="H9" s="123" t="s">
        <v>4</v>
      </c>
      <c r="I9" s="127" t="s">
        <v>3</v>
      </c>
      <c r="J9" s="123" t="s">
        <v>4</v>
      </c>
      <c r="K9" s="127" t="s">
        <v>3</v>
      </c>
      <c r="L9" s="301" t="s">
        <v>4</v>
      </c>
      <c r="M9" s="304" t="s">
        <v>3</v>
      </c>
      <c r="N9" s="123" t="s">
        <v>4</v>
      </c>
      <c r="O9" s="127" t="s">
        <v>3</v>
      </c>
      <c r="P9" s="123" t="s">
        <v>4</v>
      </c>
      <c r="Q9" s="127" t="s">
        <v>3</v>
      </c>
      <c r="R9" s="123" t="s">
        <v>4</v>
      </c>
      <c r="S9" s="127" t="s">
        <v>3</v>
      </c>
      <c r="T9" s="123" t="s">
        <v>4</v>
      </c>
      <c r="U9" s="127" t="s">
        <v>3</v>
      </c>
      <c r="V9" s="123" t="s">
        <v>4</v>
      </c>
      <c r="W9" s="127" t="s">
        <v>3</v>
      </c>
      <c r="X9" s="123" t="s">
        <v>4</v>
      </c>
      <c r="Y9" s="127" t="s">
        <v>3</v>
      </c>
      <c r="Z9" s="128" t="s">
        <v>4</v>
      </c>
      <c r="AB9" s="923" t="s">
        <v>3</v>
      </c>
      <c r="AC9" s="924" t="s">
        <v>4</v>
      </c>
    </row>
    <row r="10" spans="1:31" x14ac:dyDescent="0.2">
      <c r="A10" s="3"/>
      <c r="B10" s="73" t="s">
        <v>5</v>
      </c>
      <c r="C10" s="15"/>
      <c r="D10" s="49"/>
      <c r="E10" s="15"/>
      <c r="F10" s="13"/>
      <c r="G10" s="305"/>
      <c r="H10" s="131"/>
      <c r="I10" s="130"/>
      <c r="J10" s="131"/>
      <c r="K10" s="130"/>
      <c r="L10" s="150"/>
      <c r="M10" s="305"/>
      <c r="N10" s="131"/>
      <c r="O10" s="130"/>
      <c r="P10" s="131"/>
      <c r="Q10" s="130"/>
      <c r="R10" s="131"/>
      <c r="S10" s="130"/>
      <c r="T10" s="131"/>
      <c r="U10" s="130"/>
      <c r="V10" s="131"/>
      <c r="W10" s="130"/>
      <c r="X10" s="131"/>
      <c r="Y10" s="130"/>
      <c r="Z10" s="296"/>
      <c r="AB10" s="925"/>
      <c r="AC10" s="581"/>
    </row>
    <row r="11" spans="1:31" x14ac:dyDescent="0.2">
      <c r="A11" s="3"/>
      <c r="B11" s="74" t="s">
        <v>34</v>
      </c>
      <c r="C11" s="14"/>
      <c r="D11" s="50"/>
      <c r="E11" s="14"/>
      <c r="F11" s="9"/>
      <c r="G11" s="318"/>
      <c r="H11" s="405"/>
      <c r="I11" s="404"/>
      <c r="J11" s="405"/>
      <c r="K11" s="404"/>
      <c r="L11" s="129"/>
      <c r="M11" s="318"/>
      <c r="N11" s="405"/>
      <c r="O11" s="404"/>
      <c r="P11" s="405"/>
      <c r="Q11" s="404"/>
      <c r="R11" s="405"/>
      <c r="S11" s="404"/>
      <c r="T11" s="405"/>
      <c r="U11" s="404"/>
      <c r="V11" s="405"/>
      <c r="W11" s="404"/>
      <c r="X11" s="405"/>
      <c r="Y11" s="404"/>
      <c r="Z11" s="291"/>
      <c r="AB11" s="926"/>
      <c r="AC11" s="927"/>
    </row>
    <row r="12" spans="1:31" s="617" customFormat="1" x14ac:dyDescent="0.2">
      <c r="A12" s="618"/>
      <c r="B12" s="654" t="s">
        <v>221</v>
      </c>
      <c r="C12" s="672">
        <v>177</v>
      </c>
      <c r="D12" s="700">
        <f>41+2</f>
        <v>43</v>
      </c>
      <c r="E12" s="672">
        <f>151+17</f>
        <v>168</v>
      </c>
      <c r="F12" s="701">
        <f>51+2</f>
        <v>53</v>
      </c>
      <c r="G12" s="772">
        <v>179</v>
      </c>
      <c r="H12" s="663">
        <f>40+5</f>
        <v>45</v>
      </c>
      <c r="I12" s="725">
        <f>155+2+6+5+10</f>
        <v>178</v>
      </c>
      <c r="J12" s="746">
        <f>31+1</f>
        <v>32</v>
      </c>
      <c r="K12" s="725">
        <v>192</v>
      </c>
      <c r="L12" s="665">
        <f>40+2</f>
        <v>42</v>
      </c>
      <c r="M12" s="727">
        <f>160+17</f>
        <v>177</v>
      </c>
      <c r="N12" s="663">
        <v>57</v>
      </c>
      <c r="O12" s="725">
        <v>165</v>
      </c>
      <c r="P12" s="663">
        <f>41+1</f>
        <v>42</v>
      </c>
      <c r="Q12" s="725">
        <v>190</v>
      </c>
      <c r="R12" s="663">
        <v>38</v>
      </c>
      <c r="S12" s="725">
        <v>177</v>
      </c>
      <c r="T12" s="663">
        <v>49</v>
      </c>
      <c r="U12" s="725">
        <v>149</v>
      </c>
      <c r="V12" s="663">
        <v>36</v>
      </c>
      <c r="W12" s="725">
        <v>159</v>
      </c>
      <c r="X12" s="663">
        <v>31</v>
      </c>
      <c r="Y12" s="725">
        <v>140</v>
      </c>
      <c r="Z12" s="1646"/>
      <c r="AB12" s="926">
        <f>AVERAGE(W12,U12,Q12,S12,Y12)</f>
        <v>163</v>
      </c>
      <c r="AC12" s="928">
        <f>AVERAGE(X12,V12,R12,T12,P12)</f>
        <v>39.200000000000003</v>
      </c>
    </row>
    <row r="13" spans="1:31" s="617" customFormat="1" x14ac:dyDescent="0.2">
      <c r="A13" s="618"/>
      <c r="B13" s="1552" t="s">
        <v>80</v>
      </c>
      <c r="C13" s="734">
        <v>40</v>
      </c>
      <c r="D13" s="703">
        <v>5</v>
      </c>
      <c r="E13" s="705">
        <v>36</v>
      </c>
      <c r="F13" s="704">
        <v>9</v>
      </c>
      <c r="G13" s="772">
        <v>47</v>
      </c>
      <c r="H13" s="729">
        <v>10</v>
      </c>
      <c r="I13" s="725">
        <v>39</v>
      </c>
      <c r="J13" s="750">
        <v>9</v>
      </c>
      <c r="K13" s="725">
        <v>55</v>
      </c>
      <c r="L13" s="730">
        <v>11</v>
      </c>
      <c r="M13" s="727">
        <v>43</v>
      </c>
      <c r="N13" s="729">
        <v>15</v>
      </c>
      <c r="O13" s="725">
        <v>39</v>
      </c>
      <c r="P13" s="729">
        <v>7</v>
      </c>
      <c r="Q13" s="725">
        <v>27</v>
      </c>
      <c r="R13" s="729">
        <v>10</v>
      </c>
      <c r="S13" s="725">
        <v>46</v>
      </c>
      <c r="T13" s="729">
        <v>9</v>
      </c>
      <c r="U13" s="725">
        <f>55+2</f>
        <v>57</v>
      </c>
      <c r="V13" s="729">
        <v>14</v>
      </c>
      <c r="W13" s="725">
        <v>56</v>
      </c>
      <c r="X13" s="729">
        <v>16</v>
      </c>
      <c r="Y13" s="725">
        <v>52</v>
      </c>
      <c r="Z13" s="1647"/>
      <c r="AB13" s="926">
        <f t="shared" ref="AB13:AB15" si="0">AVERAGE(W13,U13,Q13,S13,Y13)</f>
        <v>47.6</v>
      </c>
      <c r="AC13" s="928">
        <f t="shared" ref="AC13:AC15" si="1">AVERAGE(X13,V13,R13,T13,P13)</f>
        <v>11.2</v>
      </c>
      <c r="AE13" s="617" t="s">
        <v>29</v>
      </c>
    </row>
    <row r="14" spans="1:31" s="617" customFormat="1" x14ac:dyDescent="0.2">
      <c r="A14" s="618"/>
      <c r="B14" s="1552" t="s">
        <v>167</v>
      </c>
      <c r="C14" s="705">
        <v>56</v>
      </c>
      <c r="D14" s="703">
        <v>26</v>
      </c>
      <c r="E14" s="705">
        <v>63</v>
      </c>
      <c r="F14" s="704">
        <v>17</v>
      </c>
      <c r="G14" s="772">
        <v>65</v>
      </c>
      <c r="H14" s="729">
        <v>27</v>
      </c>
      <c r="I14" s="725">
        <v>60</v>
      </c>
      <c r="J14" s="750">
        <v>27</v>
      </c>
      <c r="K14" s="725">
        <v>73</v>
      </c>
      <c r="L14" s="730">
        <v>27</v>
      </c>
      <c r="M14" s="727">
        <v>74</v>
      </c>
      <c r="N14" s="729">
        <v>33</v>
      </c>
      <c r="O14" s="725">
        <v>67</v>
      </c>
      <c r="P14" s="729">
        <v>30</v>
      </c>
      <c r="Q14" s="725">
        <v>71</v>
      </c>
      <c r="R14" s="729">
        <v>30</v>
      </c>
      <c r="S14" s="725">
        <v>70</v>
      </c>
      <c r="T14" s="729">
        <v>24</v>
      </c>
      <c r="U14" s="725">
        <f>64+1</f>
        <v>65</v>
      </c>
      <c r="V14" s="729">
        <v>28</v>
      </c>
      <c r="W14" s="725">
        <v>55</v>
      </c>
      <c r="X14" s="729">
        <v>29</v>
      </c>
      <c r="Y14" s="725">
        <v>55</v>
      </c>
      <c r="Z14" s="1647"/>
      <c r="AB14" s="926">
        <f t="shared" si="0"/>
        <v>63.2</v>
      </c>
      <c r="AC14" s="928">
        <f t="shared" si="1"/>
        <v>28.2</v>
      </c>
    </row>
    <row r="15" spans="1:31" s="617" customFormat="1" ht="13.5" thickBot="1" x14ac:dyDescent="0.25">
      <c r="A15" s="618"/>
      <c r="B15" s="737" t="s">
        <v>82</v>
      </c>
      <c r="C15" s="714">
        <v>0</v>
      </c>
      <c r="D15" s="712">
        <v>5</v>
      </c>
      <c r="E15" s="714">
        <v>0</v>
      </c>
      <c r="F15" s="713">
        <v>2</v>
      </c>
      <c r="G15" s="715">
        <v>0</v>
      </c>
      <c r="H15" s="716">
        <v>0</v>
      </c>
      <c r="I15" s="717">
        <v>0</v>
      </c>
      <c r="J15" s="716">
        <v>6</v>
      </c>
      <c r="K15" s="717">
        <v>0</v>
      </c>
      <c r="L15" s="718">
        <v>3</v>
      </c>
      <c r="M15" s="715">
        <v>0</v>
      </c>
      <c r="N15" s="716">
        <v>2</v>
      </c>
      <c r="O15" s="717">
        <v>0</v>
      </c>
      <c r="P15" s="716">
        <v>3</v>
      </c>
      <c r="Q15" s="717">
        <v>1</v>
      </c>
      <c r="R15" s="716">
        <v>0</v>
      </c>
      <c r="S15" s="717">
        <v>2</v>
      </c>
      <c r="T15" s="716">
        <v>0</v>
      </c>
      <c r="U15" s="717">
        <v>1</v>
      </c>
      <c r="V15" s="716">
        <v>4</v>
      </c>
      <c r="W15" s="717">
        <v>1</v>
      </c>
      <c r="X15" s="716">
        <v>2</v>
      </c>
      <c r="Y15" s="717">
        <v>4</v>
      </c>
      <c r="Z15" s="1648"/>
      <c r="AB15" s="929">
        <f t="shared" si="0"/>
        <v>1.8</v>
      </c>
      <c r="AC15" s="1021">
        <f t="shared" si="1"/>
        <v>1.8</v>
      </c>
    </row>
    <row r="16" spans="1:31" ht="13.5" thickTop="1" x14ac:dyDescent="0.2">
      <c r="A16" s="3"/>
      <c r="B16" s="70" t="s">
        <v>170</v>
      </c>
      <c r="C16" s="33"/>
      <c r="D16" s="34"/>
      <c r="E16" s="33"/>
      <c r="F16" s="34"/>
      <c r="G16" s="133"/>
      <c r="H16" s="135"/>
      <c r="I16" s="133"/>
      <c r="J16" s="135"/>
      <c r="K16" s="133"/>
      <c r="L16" s="135"/>
      <c r="M16" s="133"/>
      <c r="N16" s="135"/>
      <c r="O16" s="133"/>
      <c r="P16" s="135"/>
      <c r="Q16" s="133"/>
      <c r="R16" s="135"/>
      <c r="S16" s="133"/>
      <c r="T16" s="135"/>
      <c r="U16" s="133"/>
      <c r="V16" s="135"/>
      <c r="W16" s="133"/>
      <c r="X16" s="135"/>
      <c r="Y16" s="133"/>
      <c r="Z16" s="135"/>
      <c r="AB16" s="668"/>
      <c r="AC16" s="494"/>
    </row>
    <row r="17" spans="1:32" ht="13.5" thickBot="1" x14ac:dyDescent="0.25">
      <c r="A17" s="3"/>
      <c r="B17" s="3"/>
      <c r="C17" s="3"/>
      <c r="D17" s="3"/>
      <c r="E17" s="3"/>
      <c r="F17" s="3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</row>
    <row r="18" spans="1:32" ht="14.25" thickTop="1" thickBot="1" x14ac:dyDescent="0.25">
      <c r="A18" s="3"/>
      <c r="B18" s="340"/>
      <c r="C18" s="2013" t="s">
        <v>49</v>
      </c>
      <c r="D18" s="2014"/>
      <c r="E18" s="2015" t="s">
        <v>50</v>
      </c>
      <c r="F18" s="2015"/>
      <c r="G18" s="2002" t="s">
        <v>141</v>
      </c>
      <c r="H18" s="1982"/>
      <c r="I18" s="1974" t="s">
        <v>152</v>
      </c>
      <c r="J18" s="1982"/>
      <c r="K18" s="1974" t="s">
        <v>154</v>
      </c>
      <c r="L18" s="1974"/>
      <c r="M18" s="2002" t="s">
        <v>171</v>
      </c>
      <c r="N18" s="1982"/>
      <c r="O18" s="1974" t="s">
        <v>227</v>
      </c>
      <c r="P18" s="1982"/>
      <c r="Q18" s="1974" t="s">
        <v>237</v>
      </c>
      <c r="R18" s="1982"/>
      <c r="S18" s="1974" t="s">
        <v>272</v>
      </c>
      <c r="T18" s="1982"/>
      <c r="U18" s="1974" t="s">
        <v>274</v>
      </c>
      <c r="V18" s="1982"/>
      <c r="W18" s="1974" t="s">
        <v>280</v>
      </c>
      <c r="X18" s="1982"/>
      <c r="Y18" s="1974" t="s">
        <v>290</v>
      </c>
      <c r="Z18" s="1975"/>
      <c r="AB18" s="2003" t="s">
        <v>213</v>
      </c>
      <c r="AC18" s="2004"/>
    </row>
    <row r="19" spans="1:32" x14ac:dyDescent="0.2">
      <c r="A19" s="3"/>
      <c r="B19" s="73" t="s">
        <v>7</v>
      </c>
      <c r="C19" s="54"/>
      <c r="D19" s="92"/>
      <c r="E19" s="30"/>
      <c r="F19" s="30"/>
      <c r="G19" s="243"/>
      <c r="H19" s="244"/>
      <c r="I19" s="138"/>
      <c r="J19" s="244"/>
      <c r="K19" s="138"/>
      <c r="L19" s="138"/>
      <c r="M19" s="243"/>
      <c r="N19" s="244"/>
      <c r="O19" s="138"/>
      <c r="P19" s="244"/>
      <c r="Q19" s="138"/>
      <c r="R19" s="244"/>
      <c r="S19" s="138"/>
      <c r="T19" s="244"/>
      <c r="U19" s="138"/>
      <c r="V19" s="244"/>
      <c r="W19" s="138"/>
      <c r="X19" s="244"/>
      <c r="Y19" s="138"/>
      <c r="Z19" s="140"/>
      <c r="AB19" s="831"/>
      <c r="AC19" s="930"/>
    </row>
    <row r="20" spans="1:32" x14ac:dyDescent="0.2">
      <c r="A20" s="3"/>
      <c r="B20" s="78" t="s">
        <v>8</v>
      </c>
      <c r="C20" s="184"/>
      <c r="D20" s="93"/>
      <c r="E20" s="31"/>
      <c r="F20" s="31"/>
      <c r="G20" s="239"/>
      <c r="H20" s="245"/>
      <c r="I20" s="139"/>
      <c r="J20" s="245"/>
      <c r="K20" s="139"/>
      <c r="L20" s="139"/>
      <c r="M20" s="239"/>
      <c r="N20" s="245"/>
      <c r="O20" s="139"/>
      <c r="P20" s="245"/>
      <c r="Q20" s="139"/>
      <c r="R20" s="245"/>
      <c r="S20" s="139"/>
      <c r="T20" s="245"/>
      <c r="U20" s="139"/>
      <c r="V20" s="245"/>
      <c r="W20" s="139"/>
      <c r="X20" s="245"/>
      <c r="Y20" s="139"/>
      <c r="Z20" s="141"/>
      <c r="AB20" s="831"/>
      <c r="AC20" s="930"/>
    </row>
    <row r="21" spans="1:32" x14ac:dyDescent="0.2">
      <c r="A21" s="3"/>
      <c r="B21" s="78" t="s">
        <v>9</v>
      </c>
      <c r="C21" s="184"/>
      <c r="D21" s="165">
        <v>15178</v>
      </c>
      <c r="E21" s="31"/>
      <c r="F21" s="171">
        <v>14397</v>
      </c>
      <c r="G21" s="239"/>
      <c r="H21" s="261">
        <v>14204</v>
      </c>
      <c r="I21" s="139"/>
      <c r="J21" s="261">
        <v>13715</v>
      </c>
      <c r="K21" s="139"/>
      <c r="L21" s="183">
        <v>13750</v>
      </c>
      <c r="M21" s="239"/>
      <c r="N21" s="261">
        <v>14729</v>
      </c>
      <c r="O21" s="139"/>
      <c r="P21" s="261">
        <v>14853</v>
      </c>
      <c r="Q21" s="139"/>
      <c r="R21" s="261">
        <v>18716</v>
      </c>
      <c r="S21" s="139"/>
      <c r="T21" s="261">
        <v>15959</v>
      </c>
      <c r="U21" s="139"/>
      <c r="V21" s="261">
        <v>16913</v>
      </c>
      <c r="W21" s="139"/>
      <c r="X21" s="261">
        <v>17350</v>
      </c>
      <c r="Y21" s="139"/>
      <c r="Z21" s="1649"/>
      <c r="AB21" s="24"/>
      <c r="AC21" s="947">
        <f>AVERAGE(X21,V21,R21,T21,P21)</f>
        <v>16758.2</v>
      </c>
    </row>
    <row r="22" spans="1:32" x14ac:dyDescent="0.2">
      <c r="A22" s="3"/>
      <c r="B22" s="78" t="s">
        <v>10</v>
      </c>
      <c r="C22" s="184"/>
      <c r="D22" s="165">
        <v>9201</v>
      </c>
      <c r="E22" s="31"/>
      <c r="F22" s="171">
        <v>9974</v>
      </c>
      <c r="G22" s="239"/>
      <c r="H22" s="261">
        <v>10602</v>
      </c>
      <c r="I22" s="139"/>
      <c r="J22" s="261">
        <v>10500</v>
      </c>
      <c r="K22" s="139"/>
      <c r="L22" s="183">
        <v>10474</v>
      </c>
      <c r="M22" s="239"/>
      <c r="N22" s="261">
        <v>9165</v>
      </c>
      <c r="O22" s="139"/>
      <c r="P22" s="261">
        <v>8451</v>
      </c>
      <c r="Q22" s="139"/>
      <c r="R22" s="261">
        <v>9013</v>
      </c>
      <c r="S22" s="139"/>
      <c r="T22" s="261">
        <v>8150</v>
      </c>
      <c r="U22" s="139"/>
      <c r="V22" s="261">
        <v>8240</v>
      </c>
      <c r="W22" s="139"/>
      <c r="X22" s="261">
        <v>8518</v>
      </c>
      <c r="Y22" s="139"/>
      <c r="Z22" s="1649"/>
      <c r="AB22" s="12"/>
      <c r="AC22" s="947">
        <f t="shared" ref="AC22:AC25" si="2">AVERAGE(X22,V22,R22,T22,P22)</f>
        <v>8474.4</v>
      </c>
    </row>
    <row r="23" spans="1:32" x14ac:dyDescent="0.2">
      <c r="A23" s="3"/>
      <c r="B23" s="78" t="s">
        <v>11</v>
      </c>
      <c r="C23" s="184"/>
      <c r="D23" s="165">
        <v>764</v>
      </c>
      <c r="E23" s="31"/>
      <c r="F23" s="171">
        <v>891</v>
      </c>
      <c r="G23" s="239"/>
      <c r="H23" s="261">
        <v>793</v>
      </c>
      <c r="I23" s="139"/>
      <c r="J23" s="261">
        <v>879</v>
      </c>
      <c r="K23" s="139"/>
      <c r="L23" s="183">
        <v>917</v>
      </c>
      <c r="M23" s="239"/>
      <c r="N23" s="261">
        <v>950</v>
      </c>
      <c r="O23" s="139"/>
      <c r="P23" s="261">
        <v>835</v>
      </c>
      <c r="Q23" s="139"/>
      <c r="R23" s="261">
        <v>969</v>
      </c>
      <c r="S23" s="139"/>
      <c r="T23" s="261">
        <v>905</v>
      </c>
      <c r="U23" s="139"/>
      <c r="V23" s="261">
        <v>948</v>
      </c>
      <c r="W23" s="139"/>
      <c r="X23" s="261">
        <v>951</v>
      </c>
      <c r="Y23" s="139"/>
      <c r="Z23" s="1649"/>
      <c r="AB23" s="12"/>
      <c r="AC23" s="947">
        <f t="shared" si="2"/>
        <v>921.6</v>
      </c>
    </row>
    <row r="24" spans="1:32" x14ac:dyDescent="0.2">
      <c r="A24" s="3"/>
      <c r="B24" s="78" t="s">
        <v>12</v>
      </c>
      <c r="C24" s="184"/>
      <c r="D24" s="94">
        <v>0</v>
      </c>
      <c r="E24" s="31"/>
      <c r="F24" s="39">
        <v>0</v>
      </c>
      <c r="G24" s="239"/>
      <c r="H24" s="240">
        <v>0</v>
      </c>
      <c r="I24" s="139"/>
      <c r="J24" s="240">
        <v>0</v>
      </c>
      <c r="K24" s="139"/>
      <c r="L24" s="241"/>
      <c r="M24" s="239"/>
      <c r="N24" s="240"/>
      <c r="O24" s="139"/>
      <c r="P24" s="240"/>
      <c r="Q24" s="139"/>
      <c r="R24" s="240"/>
      <c r="S24" s="139"/>
      <c r="T24" s="240"/>
      <c r="U24" s="139"/>
      <c r="V24" s="240"/>
      <c r="W24" s="139"/>
      <c r="X24" s="240"/>
      <c r="Y24" s="139"/>
      <c r="Z24" s="1650"/>
      <c r="AB24" s="12"/>
      <c r="AC24" s="947"/>
    </row>
    <row r="25" spans="1:32" ht="13.5" thickBot="1" x14ac:dyDescent="0.25">
      <c r="A25" s="3"/>
      <c r="B25" s="79" t="s">
        <v>13</v>
      </c>
      <c r="C25" s="185"/>
      <c r="D25" s="186">
        <f>SUM(D21:D24)</f>
        <v>25143</v>
      </c>
      <c r="E25" s="90"/>
      <c r="F25" s="58">
        <f>SUM(F21:F24)</f>
        <v>25262</v>
      </c>
      <c r="G25" s="246"/>
      <c r="H25" s="247">
        <f>SUM(H21:H24)</f>
        <v>25599</v>
      </c>
      <c r="I25" s="164"/>
      <c r="J25" s="247">
        <f>SUM(J21:J24)</f>
        <v>25094</v>
      </c>
      <c r="K25" s="164"/>
      <c r="L25" s="242">
        <f>SUM(L21:L24)</f>
        <v>25141</v>
      </c>
      <c r="M25" s="246"/>
      <c r="N25" s="247">
        <f>SUM(N21:N24)</f>
        <v>24844</v>
      </c>
      <c r="O25" s="164"/>
      <c r="P25" s="247">
        <f>SUM(P21:P24)</f>
        <v>24139</v>
      </c>
      <c r="Q25" s="164"/>
      <c r="R25" s="247">
        <f>SUM(R21:R24)</f>
        <v>28698</v>
      </c>
      <c r="S25" s="164"/>
      <c r="T25" s="247">
        <f>SUM(T21:T24)</f>
        <v>25014</v>
      </c>
      <c r="U25" s="164"/>
      <c r="V25" s="247">
        <f>SUM(V21:V24)</f>
        <v>26101</v>
      </c>
      <c r="W25" s="164"/>
      <c r="X25" s="247">
        <f>SUM(X21:X24)</f>
        <v>26819</v>
      </c>
      <c r="Y25" s="164"/>
      <c r="Z25" s="1651"/>
      <c r="AB25" s="946"/>
      <c r="AC25" s="1008">
        <f t="shared" si="2"/>
        <v>26154.2</v>
      </c>
    </row>
    <row r="26" spans="1:32" ht="12" customHeight="1" thickTop="1" thickBot="1" x14ac:dyDescent="0.25">
      <c r="A26" s="930"/>
      <c r="B26" s="931" t="s">
        <v>212</v>
      </c>
      <c r="C26" s="1992" t="s">
        <v>51</v>
      </c>
      <c r="D26" s="1997"/>
      <c r="E26" s="1992" t="s">
        <v>52</v>
      </c>
      <c r="F26" s="1997"/>
      <c r="G26" s="1989" t="s">
        <v>184</v>
      </c>
      <c r="H26" s="1981"/>
      <c r="I26" s="1989" t="s">
        <v>185</v>
      </c>
      <c r="J26" s="2005"/>
      <c r="K26" s="1989" t="s">
        <v>202</v>
      </c>
      <c r="L26" s="2005"/>
      <c r="M26" s="1991" t="s">
        <v>203</v>
      </c>
      <c r="N26" s="1981"/>
      <c r="O26" s="1970" t="s">
        <v>228</v>
      </c>
      <c r="P26" s="1981"/>
      <c r="Q26" s="1970" t="s">
        <v>238</v>
      </c>
      <c r="R26" s="1981"/>
      <c r="S26" s="1970" t="s">
        <v>273</v>
      </c>
      <c r="T26" s="1981"/>
      <c r="U26" s="1970" t="s">
        <v>275</v>
      </c>
      <c r="V26" s="1981"/>
      <c r="W26" s="1970" t="s">
        <v>281</v>
      </c>
      <c r="X26" s="1981"/>
      <c r="Y26" s="1970" t="s">
        <v>291</v>
      </c>
      <c r="Z26" s="1971"/>
      <c r="AA26" s="932"/>
      <c r="AB26" s="2009"/>
      <c r="AC26" s="2010"/>
      <c r="AD26" s="293"/>
      <c r="AE26" s="293"/>
      <c r="AF26" s="21"/>
    </row>
    <row r="27" spans="1:32" ht="12" customHeight="1" x14ac:dyDescent="0.2">
      <c r="A27" s="930"/>
      <c r="B27" s="933" t="s">
        <v>189</v>
      </c>
      <c r="C27" s="2016">
        <v>6.8000000000000005E-2</v>
      </c>
      <c r="D27" s="2017"/>
      <c r="E27" s="1995">
        <v>6.6000000000000003E-2</v>
      </c>
      <c r="F27" s="1996"/>
      <c r="G27" s="1995">
        <v>6.6000000000000003E-2</v>
      </c>
      <c r="H27" s="1996"/>
      <c r="I27" s="1995">
        <v>6.7000000000000004E-2</v>
      </c>
      <c r="J27" s="2006"/>
      <c r="K27" s="934"/>
      <c r="L27" s="935">
        <v>7.8E-2</v>
      </c>
      <c r="M27" s="936"/>
      <c r="N27" s="1178">
        <v>7.0000000000000007E-2</v>
      </c>
      <c r="O27" s="1176"/>
      <c r="P27" s="1178">
        <v>6.8000000000000005E-2</v>
      </c>
      <c r="Q27" s="1271"/>
      <c r="R27" s="1178">
        <v>7.1999999999999995E-2</v>
      </c>
      <c r="S27" s="1271"/>
      <c r="T27" s="1178">
        <v>7.6999999999999999E-2</v>
      </c>
      <c r="U27" s="1271"/>
      <c r="V27" s="1178">
        <v>5.5E-2</v>
      </c>
      <c r="W27" s="1271"/>
      <c r="X27" s="1178">
        <v>6.3E-2</v>
      </c>
      <c r="Y27" s="1271"/>
      <c r="Z27" s="1479">
        <v>5.7000000000000002E-2</v>
      </c>
      <c r="AA27" s="937"/>
      <c r="AB27" s="938"/>
      <c r="AC27" s="1048">
        <f>AVERAGE(X27,V27,R27,T27,Z27)</f>
        <v>6.4799999999999996E-2</v>
      </c>
      <c r="AD27" s="293"/>
      <c r="AE27" s="293"/>
      <c r="AF27" s="21"/>
    </row>
    <row r="28" spans="1:32" ht="12" customHeight="1" x14ac:dyDescent="0.2">
      <c r="A28" s="930"/>
      <c r="B28" s="940" t="s">
        <v>190</v>
      </c>
      <c r="C28" s="2018">
        <v>3.5999999999999997E-2</v>
      </c>
      <c r="D28" s="2019"/>
      <c r="E28" s="2000">
        <v>3.6999999999999998E-2</v>
      </c>
      <c r="F28" s="2001"/>
      <c r="G28" s="2000">
        <v>3.9E-2</v>
      </c>
      <c r="H28" s="2001"/>
      <c r="I28" s="2000">
        <v>3.6999999999999998E-2</v>
      </c>
      <c r="J28" s="2011"/>
      <c r="K28" s="941"/>
      <c r="L28" s="942">
        <v>4.2999999999999997E-2</v>
      </c>
      <c r="M28" s="941"/>
      <c r="N28" s="1179">
        <v>4.2999999999999997E-2</v>
      </c>
      <c r="O28" s="1177"/>
      <c r="P28" s="1179">
        <v>4.1000000000000002E-2</v>
      </c>
      <c r="Q28" s="1272"/>
      <c r="R28" s="1179">
        <v>4.4999999999999998E-2</v>
      </c>
      <c r="S28" s="1272"/>
      <c r="T28" s="1179">
        <v>4.1000000000000002E-2</v>
      </c>
      <c r="U28" s="1272"/>
      <c r="V28" s="1179">
        <v>3.5999999999999997E-2</v>
      </c>
      <c r="W28" s="1272"/>
      <c r="X28" s="1179">
        <v>3.1E-2</v>
      </c>
      <c r="Y28" s="1272"/>
      <c r="Z28" s="1480">
        <v>3.2000000000000001E-2</v>
      </c>
      <c r="AA28" s="937"/>
      <c r="AB28" s="1018"/>
      <c r="AC28" s="1049">
        <f t="shared" ref="AC28:AC29" si="3">AVERAGE(X28,V28,R28,T28,Z28)</f>
        <v>3.6999999999999998E-2</v>
      </c>
      <c r="AD28" s="293"/>
      <c r="AE28" s="293"/>
      <c r="AF28" s="21"/>
    </row>
    <row r="29" spans="1:32" ht="12" customHeight="1" thickBot="1" x14ac:dyDescent="0.25">
      <c r="A29" s="3"/>
      <c r="B29" s="943" t="s">
        <v>191</v>
      </c>
      <c r="C29" s="1998">
        <f>1-C27-C28</f>
        <v>0.89599999999999991</v>
      </c>
      <c r="D29" s="1999"/>
      <c r="E29" s="1998">
        <f>1-E27-E28</f>
        <v>0.89699999999999991</v>
      </c>
      <c r="F29" s="1999"/>
      <c r="G29" s="1998">
        <f>1-G27-G28</f>
        <v>0.89499999999999991</v>
      </c>
      <c r="H29" s="1999"/>
      <c r="I29" s="1998">
        <f>1-I27-I28</f>
        <v>0.89600000000000002</v>
      </c>
      <c r="J29" s="1999"/>
      <c r="K29" s="1998">
        <f>1-L27-L28</f>
        <v>0.879</v>
      </c>
      <c r="L29" s="1999"/>
      <c r="M29" s="1998">
        <f>1-N27-N28</f>
        <v>0.8869999999999999</v>
      </c>
      <c r="N29" s="1999"/>
      <c r="O29" s="1998">
        <f>1-P27-P28</f>
        <v>0.8909999999999999</v>
      </c>
      <c r="P29" s="1999"/>
      <c r="Q29" s="1972">
        <f>1-R27-R28</f>
        <v>0.88300000000000001</v>
      </c>
      <c r="R29" s="1973"/>
      <c r="S29" s="1972">
        <f>1-T27-T28</f>
        <v>0.88200000000000001</v>
      </c>
      <c r="T29" s="1973"/>
      <c r="U29" s="1972">
        <f>1-V27-V28</f>
        <v>0.90899999999999992</v>
      </c>
      <c r="V29" s="1973"/>
      <c r="W29" s="1972">
        <f>1-X27-X28</f>
        <v>0.90600000000000003</v>
      </c>
      <c r="X29" s="1973"/>
      <c r="Y29" s="1972">
        <f>1-Z27-Z28</f>
        <v>0.91099999999999992</v>
      </c>
      <c r="Z29" s="1973"/>
      <c r="AA29" s="937"/>
      <c r="AB29" s="2007">
        <f t="shared" ref="AB29" si="4">AVERAGE(W29,U29,Q29,S29,Y29)</f>
        <v>0.89819999999999989</v>
      </c>
      <c r="AC29" s="2008" t="e">
        <f t="shared" si="3"/>
        <v>#DIV/0!</v>
      </c>
      <c r="AD29" s="1050"/>
      <c r="AE29" s="293"/>
      <c r="AF29" s="21"/>
    </row>
    <row r="30" spans="1:32" s="3" customFormat="1" thickTop="1" x14ac:dyDescent="0.2">
      <c r="B30" s="109"/>
      <c r="C30" s="110"/>
      <c r="D30" s="111"/>
      <c r="E30" s="110"/>
      <c r="F30" s="111"/>
      <c r="G30" s="146"/>
      <c r="H30" s="147"/>
      <c r="I30" s="146"/>
      <c r="J30" s="147"/>
      <c r="K30" s="146"/>
      <c r="L30" s="147"/>
      <c r="M30" s="146"/>
      <c r="N30" s="147"/>
      <c r="O30" s="146"/>
      <c r="P30" s="147"/>
      <c r="Q30" s="146"/>
      <c r="R30" s="147"/>
      <c r="S30" s="146"/>
      <c r="T30" s="147"/>
      <c r="U30" s="146"/>
      <c r="V30" s="147"/>
      <c r="W30" s="146"/>
      <c r="X30" s="147"/>
      <c r="Y30" s="146"/>
      <c r="Z30" s="147"/>
      <c r="AC30" s="578"/>
    </row>
    <row r="31" spans="1:32" s="3" customFormat="1" x14ac:dyDescent="0.2">
      <c r="A31" s="112" t="s">
        <v>68</v>
      </c>
      <c r="B31" s="96"/>
      <c r="C31" s="28"/>
      <c r="D31" s="28"/>
      <c r="E31" s="28"/>
      <c r="F31" s="28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</row>
    <row r="32" spans="1:32" s="3" customFormat="1" ht="13.5" thickBot="1" x14ac:dyDescent="0.25">
      <c r="A32" s="112"/>
      <c r="B32" s="96"/>
      <c r="C32" s="28"/>
      <c r="D32" s="28"/>
      <c r="E32" s="28"/>
      <c r="F32" s="28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</row>
    <row r="33" spans="1:29" s="3" customFormat="1" ht="14.25" thickTop="1" thickBot="1" x14ac:dyDescent="0.25">
      <c r="A33" s="2"/>
      <c r="B33" s="329" t="s">
        <v>69</v>
      </c>
      <c r="C33" s="2013" t="s">
        <v>49</v>
      </c>
      <c r="D33" s="2014"/>
      <c r="E33" s="2015" t="s">
        <v>50</v>
      </c>
      <c r="F33" s="2015"/>
      <c r="G33" s="2002" t="s">
        <v>141</v>
      </c>
      <c r="H33" s="1982"/>
      <c r="I33" s="1974" t="s">
        <v>152</v>
      </c>
      <c r="J33" s="1982"/>
      <c r="K33" s="1974" t="s">
        <v>154</v>
      </c>
      <c r="L33" s="1974"/>
      <c r="M33" s="2002" t="s">
        <v>171</v>
      </c>
      <c r="N33" s="1982"/>
      <c r="O33" s="1974" t="s">
        <v>227</v>
      </c>
      <c r="P33" s="1982"/>
      <c r="Q33" s="1974" t="s">
        <v>237</v>
      </c>
      <c r="R33" s="1982"/>
      <c r="S33" s="1974" t="s">
        <v>272</v>
      </c>
      <c r="T33" s="1982"/>
      <c r="U33" s="1974" t="s">
        <v>274</v>
      </c>
      <c r="V33" s="1982"/>
      <c r="W33" s="1974" t="s">
        <v>280</v>
      </c>
      <c r="X33" s="1982"/>
      <c r="Y33" s="1974" t="s">
        <v>290</v>
      </c>
      <c r="Z33" s="1975"/>
      <c r="AB33" s="2003" t="s">
        <v>213</v>
      </c>
      <c r="AC33" s="2004"/>
    </row>
    <row r="34" spans="1:29" s="3" customFormat="1" x14ac:dyDescent="0.2">
      <c r="A34" s="2"/>
      <c r="B34" s="330" t="s">
        <v>70</v>
      </c>
      <c r="C34" s="184"/>
      <c r="D34" s="93"/>
      <c r="E34" s="31"/>
      <c r="F34" s="31"/>
      <c r="G34" s="239"/>
      <c r="H34" s="245"/>
      <c r="I34" s="139"/>
      <c r="J34" s="245"/>
      <c r="K34" s="139"/>
      <c r="L34" s="139"/>
      <c r="M34" s="239"/>
      <c r="N34" s="245"/>
      <c r="O34" s="139"/>
      <c r="P34" s="245"/>
      <c r="Q34" s="139"/>
      <c r="R34" s="245"/>
      <c r="S34" s="139"/>
      <c r="T34" s="245"/>
      <c r="U34" s="139"/>
      <c r="V34" s="245"/>
      <c r="W34" s="139"/>
      <c r="X34" s="245"/>
      <c r="Y34" s="139"/>
      <c r="Z34" s="141"/>
      <c r="AB34" s="831"/>
      <c r="AC34" s="930"/>
    </row>
    <row r="35" spans="1:29" s="3" customFormat="1" x14ac:dyDescent="0.2">
      <c r="A35" s="2"/>
      <c r="B35" s="331" t="s">
        <v>71</v>
      </c>
      <c r="C35" s="54"/>
      <c r="D35" s="188">
        <v>1943666</v>
      </c>
      <c r="E35" s="30"/>
      <c r="F35" s="205">
        <v>2084937</v>
      </c>
      <c r="G35" s="243"/>
      <c r="H35" s="416">
        <v>2185931</v>
      </c>
      <c r="I35" s="138"/>
      <c r="J35" s="416">
        <v>2259113</v>
      </c>
      <c r="K35" s="138"/>
      <c r="L35" s="451">
        <v>2318450</v>
      </c>
      <c r="M35" s="243"/>
      <c r="N35" s="416">
        <v>2474328</v>
      </c>
      <c r="O35" s="138"/>
      <c r="P35" s="416">
        <v>2331323</v>
      </c>
      <c r="Q35" s="138"/>
      <c r="R35" s="416">
        <v>2852838</v>
      </c>
      <c r="S35" s="138"/>
      <c r="T35" s="416">
        <v>2896280</v>
      </c>
      <c r="U35" s="138"/>
      <c r="V35" s="416">
        <v>2966630</v>
      </c>
      <c r="W35" s="138"/>
      <c r="X35" s="416">
        <v>3212838</v>
      </c>
      <c r="Y35" s="138"/>
      <c r="Z35" s="294">
        <v>3556186</v>
      </c>
      <c r="AB35" s="24"/>
      <c r="AC35" s="947">
        <f t="shared" ref="AC35:AC37" si="5">AVERAGE(X35,V35,R35,T35,Z35)</f>
        <v>3096954.4</v>
      </c>
    </row>
    <row r="36" spans="1:29" s="3" customFormat="1" x14ac:dyDescent="0.2">
      <c r="A36" s="2"/>
      <c r="B36" s="331" t="s">
        <v>247</v>
      </c>
      <c r="C36" s="54"/>
      <c r="D36" s="188"/>
      <c r="E36" s="30"/>
      <c r="F36" s="205"/>
      <c r="G36" s="243"/>
      <c r="H36" s="1439"/>
      <c r="I36" s="138"/>
      <c r="J36" s="416">
        <v>10000</v>
      </c>
      <c r="K36" s="138"/>
      <c r="L36" s="416">
        <v>10000</v>
      </c>
      <c r="M36" s="138"/>
      <c r="N36" s="416">
        <v>10000</v>
      </c>
      <c r="O36" s="138"/>
      <c r="P36" s="416">
        <v>10000</v>
      </c>
      <c r="Q36" s="138"/>
      <c r="R36" s="416">
        <v>10000</v>
      </c>
      <c r="S36" s="138"/>
      <c r="T36" s="416">
        <v>10000</v>
      </c>
      <c r="U36" s="138"/>
      <c r="V36" s="416">
        <v>10000</v>
      </c>
      <c r="W36" s="138"/>
      <c r="X36" s="416">
        <v>10000</v>
      </c>
      <c r="Y36" s="138"/>
      <c r="Z36" s="451">
        <v>10000</v>
      </c>
      <c r="AA36" s="955"/>
      <c r="AB36" s="24"/>
      <c r="AC36" s="947">
        <f t="shared" si="5"/>
        <v>10000</v>
      </c>
    </row>
    <row r="37" spans="1:29" s="3" customFormat="1" ht="36" x14ac:dyDescent="0.2">
      <c r="A37" s="2"/>
      <c r="B37" s="332" t="s">
        <v>248</v>
      </c>
      <c r="C37" s="184"/>
      <c r="D37" s="189">
        <v>23220</v>
      </c>
      <c r="E37" s="31"/>
      <c r="F37" s="206">
        <v>70314</v>
      </c>
      <c r="G37" s="239"/>
      <c r="H37" s="369">
        <v>108175</v>
      </c>
      <c r="I37" s="139"/>
      <c r="J37" s="369">
        <v>101302</v>
      </c>
      <c r="K37" s="139"/>
      <c r="L37" s="347">
        <v>90620</v>
      </c>
      <c r="M37" s="239"/>
      <c r="N37" s="369">
        <v>20415</v>
      </c>
      <c r="O37" s="139"/>
      <c r="P37" s="369">
        <v>223974</v>
      </c>
      <c r="Q37" s="139"/>
      <c r="R37" s="369">
        <v>152834</v>
      </c>
      <c r="S37" s="139"/>
      <c r="T37" s="369">
        <v>154501</v>
      </c>
      <c r="U37" s="139"/>
      <c r="V37" s="369">
        <v>219205</v>
      </c>
      <c r="W37" s="139"/>
      <c r="X37" s="369">
        <v>297066</v>
      </c>
      <c r="Y37" s="139"/>
      <c r="Z37" s="282">
        <v>191412</v>
      </c>
      <c r="AB37" s="12"/>
      <c r="AC37" s="947">
        <f t="shared" si="5"/>
        <v>203003.6</v>
      </c>
    </row>
    <row r="38" spans="1:29" s="3" customFormat="1" x14ac:dyDescent="0.2">
      <c r="A38" s="2"/>
      <c r="B38" s="333" t="s">
        <v>72</v>
      </c>
      <c r="C38" s="187"/>
      <c r="D38" s="190">
        <f>SUM(D35:D37)</f>
        <v>1966886</v>
      </c>
      <c r="E38" s="90"/>
      <c r="F38" s="207">
        <f>SUM(F35:F37)</f>
        <v>2155251</v>
      </c>
      <c r="G38" s="262"/>
      <c r="H38" s="263">
        <f>SUM(H35:H37)</f>
        <v>2294106</v>
      </c>
      <c r="I38" s="250"/>
      <c r="J38" s="263">
        <f>SUM(J35:J37)</f>
        <v>2370415</v>
      </c>
      <c r="K38" s="250"/>
      <c r="L38" s="249">
        <f>SUM(L35:L37)</f>
        <v>2419070</v>
      </c>
      <c r="M38" s="262"/>
      <c r="N38" s="263">
        <f>SUM(N35:N37)</f>
        <v>2504743</v>
      </c>
      <c r="O38" s="250"/>
      <c r="P38" s="263">
        <f>SUM(P35:P37)</f>
        <v>2565297</v>
      </c>
      <c r="Q38" s="250"/>
      <c r="R38" s="263">
        <f>SUM(R35:R37)</f>
        <v>3015672</v>
      </c>
      <c r="S38" s="250"/>
      <c r="T38" s="263">
        <f>SUM(T35:T37)</f>
        <v>3060781</v>
      </c>
      <c r="U38" s="250"/>
      <c r="V38" s="263">
        <f>SUM(V35:V37)</f>
        <v>3195835</v>
      </c>
      <c r="W38" s="250"/>
      <c r="X38" s="263">
        <f>SUM(X35:X37)</f>
        <v>3519904</v>
      </c>
      <c r="Y38" s="250"/>
      <c r="Z38" s="149">
        <f>SUM(Z35:Z37)</f>
        <v>3757598</v>
      </c>
      <c r="AB38" s="12"/>
      <c r="AC38" s="1008">
        <f>AVERAGE(X38,V38,R38,T38,Z38)</f>
        <v>3309958</v>
      </c>
    </row>
    <row r="39" spans="1:29" s="3" customFormat="1" x14ac:dyDescent="0.2">
      <c r="A39" s="2"/>
      <c r="B39" s="330" t="s">
        <v>73</v>
      </c>
      <c r="C39" s="184"/>
      <c r="D39" s="189"/>
      <c r="E39" s="31"/>
      <c r="F39" s="206"/>
      <c r="G39" s="239"/>
      <c r="H39" s="369"/>
      <c r="I39" s="139"/>
      <c r="J39" s="369"/>
      <c r="K39" s="139"/>
      <c r="L39" s="347"/>
      <c r="M39" s="239"/>
      <c r="N39" s="369"/>
      <c r="O39" s="139"/>
      <c r="P39" s="369"/>
      <c r="Q39" s="139"/>
      <c r="R39" s="369"/>
      <c r="S39" s="139"/>
      <c r="T39" s="369"/>
      <c r="U39" s="139"/>
      <c r="V39" s="369"/>
      <c r="W39" s="139"/>
      <c r="X39" s="369"/>
      <c r="Y39" s="139"/>
      <c r="Z39" s="282"/>
      <c r="AB39" s="12"/>
      <c r="AC39" s="947"/>
    </row>
    <row r="40" spans="1:29" s="3" customFormat="1" x14ac:dyDescent="0.2">
      <c r="A40" s="2"/>
      <c r="B40" s="331" t="s">
        <v>71</v>
      </c>
      <c r="C40" s="184"/>
      <c r="D40" s="189"/>
      <c r="E40" s="31"/>
      <c r="F40" s="206"/>
      <c r="G40" s="239"/>
      <c r="H40" s="369"/>
      <c r="I40" s="139"/>
      <c r="J40" s="369"/>
      <c r="K40" s="139"/>
      <c r="L40" s="347"/>
      <c r="M40" s="239"/>
      <c r="N40" s="369"/>
      <c r="O40" s="139"/>
      <c r="P40" s="369"/>
      <c r="Q40" s="139"/>
      <c r="R40" s="369"/>
      <c r="S40" s="139"/>
      <c r="T40" s="369"/>
      <c r="U40" s="139"/>
      <c r="V40" s="369"/>
      <c r="W40" s="139"/>
      <c r="X40" s="369"/>
      <c r="Y40" s="139"/>
      <c r="Z40" s="282"/>
      <c r="AB40" s="12"/>
      <c r="AC40" s="947"/>
    </row>
    <row r="41" spans="1:29" s="3" customFormat="1" x14ac:dyDescent="0.2">
      <c r="A41" s="2"/>
      <c r="B41" s="331" t="s">
        <v>247</v>
      </c>
      <c r="C41" s="184"/>
      <c r="D41" s="189"/>
      <c r="E41" s="31"/>
      <c r="F41" s="206"/>
      <c r="G41" s="239"/>
      <c r="H41" s="369"/>
      <c r="I41" s="139"/>
      <c r="J41" s="369"/>
      <c r="K41" s="139"/>
      <c r="L41" s="347"/>
      <c r="M41" s="239"/>
      <c r="N41" s="369"/>
      <c r="O41" s="139"/>
      <c r="P41" s="369"/>
      <c r="Q41" s="139"/>
      <c r="R41" s="369"/>
      <c r="S41" s="139"/>
      <c r="T41" s="369"/>
      <c r="U41" s="139"/>
      <c r="V41" s="369"/>
      <c r="W41" s="139"/>
      <c r="X41" s="369"/>
      <c r="Y41" s="139"/>
      <c r="Z41" s="282"/>
      <c r="AB41" s="12"/>
      <c r="AC41" s="947"/>
    </row>
    <row r="42" spans="1:29" s="3" customFormat="1" ht="36" x14ac:dyDescent="0.2">
      <c r="A42" s="2"/>
      <c r="B42" s="332" t="s">
        <v>250</v>
      </c>
      <c r="C42" s="184"/>
      <c r="D42" s="189"/>
      <c r="E42" s="31"/>
      <c r="F42" s="206"/>
      <c r="G42" s="239"/>
      <c r="H42" s="369"/>
      <c r="I42" s="139"/>
      <c r="J42" s="369"/>
      <c r="K42" s="139"/>
      <c r="L42" s="347"/>
      <c r="M42" s="239"/>
      <c r="N42" s="369"/>
      <c r="O42" s="139"/>
      <c r="P42" s="369"/>
      <c r="Q42" s="139"/>
      <c r="R42" s="369"/>
      <c r="S42" s="139"/>
      <c r="T42" s="369"/>
      <c r="U42" s="139"/>
      <c r="V42" s="369"/>
      <c r="W42" s="139"/>
      <c r="X42" s="369"/>
      <c r="Y42" s="139"/>
      <c r="Z42" s="282"/>
      <c r="AB42" s="12"/>
      <c r="AC42" s="947"/>
    </row>
    <row r="43" spans="1:29" s="3" customFormat="1" x14ac:dyDescent="0.2">
      <c r="A43" s="2"/>
      <c r="B43" s="851" t="s">
        <v>74</v>
      </c>
      <c r="C43" s="262"/>
      <c r="D43" s="263">
        <f>SUM(D40:D42)</f>
        <v>0</v>
      </c>
      <c r="E43" s="90"/>
      <c r="F43" s="207">
        <f>SUM(F40:F42)</f>
        <v>0</v>
      </c>
      <c r="G43" s="262"/>
      <c r="H43" s="263">
        <f>SUM(H40:H42)</f>
        <v>0</v>
      </c>
      <c r="I43" s="250"/>
      <c r="J43" s="263">
        <f>SUM(J40:J42)</f>
        <v>0</v>
      </c>
      <c r="K43" s="250"/>
      <c r="L43" s="249">
        <f>SUM(L40:L42)</f>
        <v>0</v>
      </c>
      <c r="M43" s="262"/>
      <c r="N43" s="263">
        <f>SUM(N40:N42)</f>
        <v>0</v>
      </c>
      <c r="O43" s="250"/>
      <c r="P43" s="263">
        <f>SUM(P40:P42)</f>
        <v>0</v>
      </c>
      <c r="Q43" s="250"/>
      <c r="R43" s="263">
        <f>SUM(R40:R42)</f>
        <v>0</v>
      </c>
      <c r="S43" s="250"/>
      <c r="T43" s="263">
        <f>SUM(T40:T42)</f>
        <v>0</v>
      </c>
      <c r="U43" s="250"/>
      <c r="V43" s="263">
        <f>SUM(V40:V42)</f>
        <v>0</v>
      </c>
      <c r="W43" s="250"/>
      <c r="X43" s="263">
        <f>SUM(X40:X42)</f>
        <v>0</v>
      </c>
      <c r="Y43" s="250"/>
      <c r="Z43" s="149">
        <f>SUM(Z40:Z42)</f>
        <v>0</v>
      </c>
      <c r="AB43" s="12"/>
      <c r="AC43" s="1008">
        <f t="shared" ref="AC43" si="6">AVERAGE(X43,V43,R43,T43,Z43)</f>
        <v>0</v>
      </c>
    </row>
    <row r="44" spans="1:29" s="3" customFormat="1" ht="13.5" thickBot="1" x14ac:dyDescent="0.25">
      <c r="A44" s="2"/>
      <c r="B44" s="1328" t="s">
        <v>75</v>
      </c>
      <c r="C44" s="239"/>
      <c r="D44" s="263">
        <f>SUM(D38,D43)</f>
        <v>1966886</v>
      </c>
      <c r="E44" s="31"/>
      <c r="F44" s="207">
        <f>SUM(F38,F43)</f>
        <v>2155251</v>
      </c>
      <c r="G44" s="239"/>
      <c r="H44" s="263">
        <f>SUM(H38,H43)</f>
        <v>2294106</v>
      </c>
      <c r="I44" s="139"/>
      <c r="J44" s="263">
        <f>SUM(J38,J43)</f>
        <v>2370415</v>
      </c>
      <c r="K44" s="139"/>
      <c r="L44" s="249">
        <f>SUM(L38,L43)</f>
        <v>2419070</v>
      </c>
      <c r="M44" s="239"/>
      <c r="N44" s="263">
        <f>SUM(N38,N43)</f>
        <v>2504743</v>
      </c>
      <c r="O44" s="139"/>
      <c r="P44" s="263">
        <f>SUM(P38,P43)</f>
        <v>2565297</v>
      </c>
      <c r="Q44" s="139"/>
      <c r="R44" s="263">
        <f>SUM(R38,R43)</f>
        <v>3015672</v>
      </c>
      <c r="S44" s="139"/>
      <c r="T44" s="263">
        <f>SUM(T38,T43)</f>
        <v>3060781</v>
      </c>
      <c r="U44" s="139"/>
      <c r="V44" s="263">
        <f>SUM(V38,V43)</f>
        <v>3195835</v>
      </c>
      <c r="W44" s="139"/>
      <c r="X44" s="263">
        <f>SUM(X38,X43)</f>
        <v>3519904</v>
      </c>
      <c r="Y44" s="139"/>
      <c r="Z44" s="149">
        <f>SUM(Z38,Z43)</f>
        <v>3757598</v>
      </c>
      <c r="AB44" s="948"/>
      <c r="AC44" s="1008">
        <f>AVERAGE(X44,V44,R44,T44,Z44)</f>
        <v>3309958</v>
      </c>
    </row>
    <row r="45" spans="1:29" s="3" customFormat="1" ht="12" x14ac:dyDescent="0.2">
      <c r="B45" s="586" t="s">
        <v>259</v>
      </c>
      <c r="C45" s="265"/>
      <c r="D45" s="248"/>
      <c r="E45" s="36"/>
      <c r="F45" s="36"/>
      <c r="G45" s="265"/>
      <c r="H45" s="248"/>
      <c r="I45" s="151"/>
      <c r="J45" s="248"/>
      <c r="K45" s="151"/>
      <c r="L45" s="151"/>
      <c r="M45" s="265"/>
      <c r="N45" s="248"/>
      <c r="O45" s="151"/>
      <c r="P45" s="248"/>
      <c r="Q45" s="151"/>
      <c r="R45" s="248"/>
      <c r="S45" s="151"/>
      <c r="T45" s="248"/>
      <c r="U45" s="151"/>
      <c r="V45" s="248"/>
      <c r="W45" s="151"/>
      <c r="X45" s="248"/>
      <c r="Y45" s="151"/>
      <c r="Z45" s="152"/>
      <c r="AB45" s="831"/>
      <c r="AC45" s="978"/>
    </row>
    <row r="46" spans="1:29" x14ac:dyDescent="0.2">
      <c r="A46" s="3"/>
      <c r="B46" s="161" t="s">
        <v>14</v>
      </c>
      <c r="C46" s="266"/>
      <c r="D46" s="460">
        <f>583305+2291056</f>
        <v>2874361</v>
      </c>
      <c r="E46" s="38"/>
      <c r="F46" s="458">
        <v>3165095</v>
      </c>
      <c r="G46" s="432"/>
      <c r="H46" s="433">
        <v>3407360.27</v>
      </c>
      <c r="I46" s="153"/>
      <c r="J46" s="434">
        <v>3409296.08</v>
      </c>
      <c r="K46" s="153"/>
      <c r="L46" s="823">
        <f>92018+34651+3414400</f>
        <v>3541069</v>
      </c>
      <c r="M46" s="266"/>
      <c r="N46" s="1140">
        <v>3678075</v>
      </c>
      <c r="O46" s="153"/>
      <c r="P46" s="1140">
        <v>3571228</v>
      </c>
      <c r="Q46" s="153"/>
      <c r="R46" s="1140">
        <v>3601859</v>
      </c>
      <c r="S46" s="153"/>
      <c r="T46" s="1140">
        <v>3947569</v>
      </c>
      <c r="U46" s="153"/>
      <c r="V46" s="1140">
        <v>4081060</v>
      </c>
      <c r="W46" s="153"/>
      <c r="X46" s="1140">
        <v>4394206.92</v>
      </c>
      <c r="Y46" s="153"/>
      <c r="Z46" s="1568"/>
      <c r="AB46" s="24"/>
      <c r="AC46" s="949">
        <f>AVERAGE(X46,V46,R46,T46,P46)</f>
        <v>3919184.5840000003</v>
      </c>
    </row>
    <row r="47" spans="1:29" ht="13.5" thickBot="1" x14ac:dyDescent="0.25">
      <c r="A47" s="3"/>
      <c r="B47" s="1265" t="s">
        <v>15</v>
      </c>
      <c r="C47" s="268"/>
      <c r="D47" s="467">
        <v>103</v>
      </c>
      <c r="E47" s="40"/>
      <c r="F47" s="399">
        <v>0</v>
      </c>
      <c r="G47" s="268"/>
      <c r="H47" s="428">
        <v>0</v>
      </c>
      <c r="I47" s="154"/>
      <c r="J47" s="1152">
        <v>0</v>
      </c>
      <c r="K47" s="1481"/>
      <c r="L47" s="453">
        <v>0</v>
      </c>
      <c r="M47" s="268"/>
      <c r="N47" s="1152">
        <v>0</v>
      </c>
      <c r="O47" s="154"/>
      <c r="P47" s="1152">
        <v>0</v>
      </c>
      <c r="Q47" s="154"/>
      <c r="R47" s="1152">
        <v>0</v>
      </c>
      <c r="S47" s="154"/>
      <c r="T47" s="1152">
        <v>0</v>
      </c>
      <c r="U47" s="154"/>
      <c r="V47" s="1152">
        <v>0</v>
      </c>
      <c r="W47" s="154"/>
      <c r="X47" s="1152">
        <v>0</v>
      </c>
      <c r="Y47" s="154"/>
      <c r="Z47" s="1569"/>
      <c r="AB47" s="63"/>
      <c r="AC47" s="949">
        <f>AVERAGE(X47,V47,R47,T47,P47)</f>
        <v>0</v>
      </c>
    </row>
    <row r="48" spans="1:29" x14ac:dyDescent="0.2">
      <c r="A48" s="3"/>
      <c r="B48" s="1553"/>
      <c r="C48" s="308" t="s">
        <v>133</v>
      </c>
      <c r="D48" s="417" t="s">
        <v>139</v>
      </c>
      <c r="E48" s="166" t="s">
        <v>133</v>
      </c>
      <c r="F48" s="84" t="s">
        <v>139</v>
      </c>
      <c r="G48" s="308" t="s">
        <v>133</v>
      </c>
      <c r="H48" s="417" t="s">
        <v>139</v>
      </c>
      <c r="I48" s="414" t="s">
        <v>133</v>
      </c>
      <c r="J48" s="417" t="s">
        <v>139</v>
      </c>
      <c r="K48" s="414" t="s">
        <v>133</v>
      </c>
      <c r="L48" s="352" t="s">
        <v>139</v>
      </c>
      <c r="M48" s="308" t="s">
        <v>133</v>
      </c>
      <c r="N48" s="417" t="s">
        <v>139</v>
      </c>
      <c r="O48" s="414" t="s">
        <v>133</v>
      </c>
      <c r="P48" s="417" t="s">
        <v>139</v>
      </c>
      <c r="Q48" s="414" t="s">
        <v>133</v>
      </c>
      <c r="R48" s="417" t="s">
        <v>139</v>
      </c>
      <c r="S48" s="414" t="s">
        <v>133</v>
      </c>
      <c r="T48" s="417" t="s">
        <v>139</v>
      </c>
      <c r="U48" s="414" t="s">
        <v>133</v>
      </c>
      <c r="V48" s="417" t="s">
        <v>139</v>
      </c>
      <c r="W48" s="414" t="s">
        <v>133</v>
      </c>
      <c r="X48" s="417" t="s">
        <v>139</v>
      </c>
      <c r="Y48" s="414" t="s">
        <v>133</v>
      </c>
      <c r="Z48" s="295" t="s">
        <v>139</v>
      </c>
      <c r="AA48" s="1031"/>
      <c r="AB48" s="323" t="s">
        <v>133</v>
      </c>
      <c r="AC48" s="295" t="s">
        <v>139</v>
      </c>
    </row>
    <row r="49" spans="1:29" s="3" customFormat="1" ht="11.45" customHeight="1" x14ac:dyDescent="0.2">
      <c r="B49" s="1329" t="s">
        <v>67</v>
      </c>
      <c r="C49" s="325">
        <v>1</v>
      </c>
      <c r="D49" s="510">
        <v>20000</v>
      </c>
      <c r="E49" s="108">
        <v>0</v>
      </c>
      <c r="F49" s="510">
        <v>0</v>
      </c>
      <c r="G49" s="476">
        <v>0</v>
      </c>
      <c r="H49" s="510">
        <v>0</v>
      </c>
      <c r="I49" s="477">
        <v>3</v>
      </c>
      <c r="J49" s="510">
        <v>60205</v>
      </c>
      <c r="K49" s="477">
        <v>0</v>
      </c>
      <c r="L49" s="252">
        <v>0</v>
      </c>
      <c r="M49" s="532">
        <v>0</v>
      </c>
      <c r="N49" s="510">
        <v>0</v>
      </c>
      <c r="O49" s="532">
        <v>2</v>
      </c>
      <c r="P49" s="510">
        <v>7000</v>
      </c>
      <c r="Q49" s="532">
        <v>1</v>
      </c>
      <c r="R49" s="510">
        <v>3241</v>
      </c>
      <c r="S49" s="532">
        <v>1</v>
      </c>
      <c r="T49" s="510">
        <v>180674</v>
      </c>
      <c r="U49" s="532">
        <v>2</v>
      </c>
      <c r="V49" s="510">
        <v>96350</v>
      </c>
      <c r="W49" s="532">
        <v>9</v>
      </c>
      <c r="X49" s="510">
        <v>657727</v>
      </c>
      <c r="Y49" s="1782"/>
      <c r="Z49" s="1849"/>
      <c r="AA49" s="955"/>
      <c r="AB49" s="108">
        <f>AVERAGE(W49,U49,Q49,S49,O49)</f>
        <v>3</v>
      </c>
      <c r="AC49" s="951">
        <f>AVERAGE(X49,V49,R49,T49,P49)</f>
        <v>188998.39999999999</v>
      </c>
    </row>
    <row r="50" spans="1:29" s="3" customFormat="1" ht="11.45" customHeight="1" x14ac:dyDescent="0.2">
      <c r="B50" s="80"/>
      <c r="C50" s="196"/>
      <c r="D50" s="197"/>
      <c r="E50" s="838"/>
      <c r="F50" s="306"/>
      <c r="G50" s="551"/>
      <c r="H50" s="418"/>
      <c r="I50" s="255"/>
      <c r="J50" s="418"/>
      <c r="K50" s="255"/>
      <c r="L50" s="452"/>
      <c r="M50" s="530"/>
      <c r="N50" s="418"/>
      <c r="O50" s="530"/>
      <c r="P50" s="418"/>
      <c r="Q50" s="530"/>
      <c r="R50" s="418"/>
      <c r="S50" s="530"/>
      <c r="T50" s="418"/>
      <c r="U50" s="530"/>
      <c r="V50" s="418"/>
      <c r="W50" s="530"/>
      <c r="X50" s="418"/>
      <c r="Y50" s="1784"/>
      <c r="Z50" s="1785"/>
      <c r="AA50" s="955"/>
      <c r="AB50" s="1013"/>
      <c r="AC50" s="949"/>
    </row>
    <row r="51" spans="1:29" s="3" customFormat="1" thickBot="1" x14ac:dyDescent="0.25">
      <c r="B51" s="167" t="s">
        <v>16</v>
      </c>
      <c r="C51" s="198">
        <v>0</v>
      </c>
      <c r="D51" s="208">
        <v>0</v>
      </c>
      <c r="E51" s="839">
        <v>0</v>
      </c>
      <c r="F51" s="69">
        <v>0</v>
      </c>
      <c r="G51" s="552">
        <v>0</v>
      </c>
      <c r="H51" s="509">
        <v>0</v>
      </c>
      <c r="I51" s="550">
        <v>0</v>
      </c>
      <c r="J51" s="509">
        <v>0</v>
      </c>
      <c r="K51" s="550">
        <v>1</v>
      </c>
      <c r="L51" s="253">
        <v>3300</v>
      </c>
      <c r="M51" s="552">
        <v>0</v>
      </c>
      <c r="N51" s="509">
        <v>0</v>
      </c>
      <c r="O51" s="552">
        <v>1</v>
      </c>
      <c r="P51" s="509">
        <v>740</v>
      </c>
      <c r="Q51" s="552">
        <v>2</v>
      </c>
      <c r="R51" s="509">
        <v>23334</v>
      </c>
      <c r="S51" s="552">
        <v>0</v>
      </c>
      <c r="T51" s="509">
        <v>0</v>
      </c>
      <c r="U51" s="552">
        <v>0</v>
      </c>
      <c r="V51" s="509">
        <v>0</v>
      </c>
      <c r="W51" s="552">
        <v>0</v>
      </c>
      <c r="X51" s="509">
        <v>0</v>
      </c>
      <c r="Y51" s="1786"/>
      <c r="Z51" s="1850"/>
      <c r="AA51" s="955"/>
      <c r="AB51" s="1119">
        <f>AVERAGE(W51,U51,Q51,S51,O51)</f>
        <v>0.6</v>
      </c>
      <c r="AC51" s="1009">
        <f>AVERAGE(X51,V51,R51,T51,P51)</f>
        <v>4814.8</v>
      </c>
    </row>
    <row r="52" spans="1:29" s="3" customFormat="1" ht="12" x14ac:dyDescent="0.2">
      <c r="B52" s="81" t="s">
        <v>84</v>
      </c>
      <c r="C52" s="199"/>
      <c r="D52" s="209"/>
      <c r="E52" s="45"/>
      <c r="F52" s="323"/>
      <c r="G52" s="269"/>
      <c r="H52" s="419"/>
      <c r="I52" s="156"/>
      <c r="J52" s="419"/>
      <c r="K52" s="156"/>
      <c r="L52" s="307"/>
      <c r="M52" s="269"/>
      <c r="N52" s="419"/>
      <c r="O52" s="156"/>
      <c r="P52" s="419"/>
      <c r="Q52" s="156"/>
      <c r="R52" s="419"/>
      <c r="S52" s="156"/>
      <c r="T52" s="419"/>
      <c r="U52" s="156"/>
      <c r="V52" s="419"/>
      <c r="W52" s="156"/>
      <c r="X52" s="419"/>
      <c r="Y52" s="156"/>
      <c r="Z52" s="158"/>
      <c r="AA52" s="955"/>
      <c r="AB52" s="21"/>
      <c r="AC52" s="922"/>
    </row>
    <row r="53" spans="1:29" s="3" customFormat="1" ht="12" x14ac:dyDescent="0.2">
      <c r="B53" s="337" t="s">
        <v>35</v>
      </c>
      <c r="C53" s="201"/>
      <c r="D53" s="210"/>
      <c r="E53" s="97"/>
      <c r="F53" s="34"/>
      <c r="G53" s="271"/>
      <c r="H53" s="420"/>
      <c r="I53" s="157"/>
      <c r="J53" s="420"/>
      <c r="K53" s="157"/>
      <c r="L53" s="135"/>
      <c r="M53" s="271"/>
      <c r="N53" s="420"/>
      <c r="O53" s="157"/>
      <c r="P53" s="420"/>
      <c r="Q53" s="157"/>
      <c r="R53" s="420"/>
      <c r="S53" s="157"/>
      <c r="T53" s="420"/>
      <c r="U53" s="157"/>
      <c r="V53" s="420"/>
      <c r="W53" s="157"/>
      <c r="X53" s="420"/>
      <c r="Y53" s="157"/>
      <c r="Z53" s="287"/>
      <c r="AA53" s="955"/>
      <c r="AB53" s="720"/>
      <c r="AC53" s="1011"/>
    </row>
    <row r="54" spans="1:29" s="3" customFormat="1" ht="12" x14ac:dyDescent="0.2">
      <c r="B54" s="338" t="s">
        <v>85</v>
      </c>
      <c r="C54" s="202"/>
      <c r="D54" s="232">
        <v>12757.56</v>
      </c>
      <c r="E54" s="35"/>
      <c r="F54" s="345">
        <v>19609.55</v>
      </c>
      <c r="G54" s="272"/>
      <c r="H54" s="534">
        <v>122881.8</v>
      </c>
      <c r="I54" s="254"/>
      <c r="J54" s="546">
        <v>24308.33</v>
      </c>
      <c r="K54" s="508"/>
      <c r="L54" s="508">
        <v>29240.04</v>
      </c>
      <c r="M54" s="541"/>
      <c r="N54" s="548">
        <v>24157</v>
      </c>
      <c r="O54" s="508"/>
      <c r="P54" s="548">
        <v>20227</v>
      </c>
      <c r="Q54" s="508"/>
      <c r="R54" s="548">
        <v>48294</v>
      </c>
      <c r="S54" s="508"/>
      <c r="T54" s="548">
        <v>74890.38</v>
      </c>
      <c r="U54" s="508"/>
      <c r="V54" s="548">
        <v>33459.339999999997</v>
      </c>
      <c r="W54" s="508"/>
      <c r="X54" s="548">
        <v>42247.56</v>
      </c>
      <c r="Y54" s="508"/>
      <c r="Z54" s="1581"/>
      <c r="AA54" s="955"/>
      <c r="AB54" s="1013"/>
      <c r="AC54" s="949">
        <f t="shared" ref="AC54:AC55" si="7">AVERAGE(X54,V54,R54,T54,P54)</f>
        <v>43823.656000000003</v>
      </c>
    </row>
    <row r="55" spans="1:29" s="3" customFormat="1" thickBot="1" x14ac:dyDescent="0.25">
      <c r="B55" s="339" t="s">
        <v>86</v>
      </c>
      <c r="C55" s="204"/>
      <c r="D55" s="211">
        <v>0</v>
      </c>
      <c r="E55" s="37"/>
      <c r="F55" s="324">
        <v>0</v>
      </c>
      <c r="G55" s="274"/>
      <c r="H55" s="485">
        <v>0</v>
      </c>
      <c r="I55" s="260"/>
      <c r="J55" s="485">
        <v>0</v>
      </c>
      <c r="K55" s="260"/>
      <c r="L55" s="455">
        <v>0</v>
      </c>
      <c r="M55" s="274"/>
      <c r="N55" s="485">
        <v>0</v>
      </c>
      <c r="O55" s="260"/>
      <c r="P55" s="485">
        <v>0</v>
      </c>
      <c r="Q55" s="260"/>
      <c r="R55" s="485">
        <v>0</v>
      </c>
      <c r="S55" s="260"/>
      <c r="T55" s="485">
        <v>0</v>
      </c>
      <c r="U55" s="260"/>
      <c r="V55" s="485">
        <v>0</v>
      </c>
      <c r="W55" s="260"/>
      <c r="X55" s="485">
        <v>0</v>
      </c>
      <c r="Y55" s="260"/>
      <c r="Z55" s="1578"/>
      <c r="AB55" s="1015"/>
      <c r="AC55" s="1024">
        <f t="shared" si="7"/>
        <v>0</v>
      </c>
    </row>
    <row r="56" spans="1:29" ht="8.25" customHeight="1" thickTop="1" x14ac:dyDescent="0.2">
      <c r="A56" s="3"/>
      <c r="B56" s="96"/>
      <c r="C56" s="97"/>
      <c r="D56" s="98"/>
      <c r="E56" s="97"/>
      <c r="F56" s="34"/>
      <c r="G56" s="157"/>
      <c r="H56" s="135"/>
      <c r="I56" s="157"/>
      <c r="J56" s="135"/>
      <c r="K56" s="157"/>
      <c r="L56" s="135"/>
      <c r="M56" s="157"/>
      <c r="N56" s="135"/>
      <c r="O56" s="157"/>
      <c r="P56" s="135"/>
      <c r="Q56" s="157"/>
      <c r="R56" s="135"/>
      <c r="S56" s="157"/>
      <c r="T56" s="135"/>
      <c r="U56" s="157"/>
      <c r="V56" s="135"/>
      <c r="W56" s="157"/>
      <c r="X56" s="135"/>
      <c r="Y56" s="157"/>
      <c r="Z56" s="135"/>
    </row>
    <row r="57" spans="1:29" x14ac:dyDescent="0.2">
      <c r="A57" s="2" t="s">
        <v>76</v>
      </c>
      <c r="B57" s="96"/>
      <c r="C57" s="97"/>
      <c r="D57" s="98"/>
      <c r="E57" s="97"/>
      <c r="F57" s="34"/>
      <c r="G57" s="157"/>
      <c r="H57" s="135"/>
      <c r="I57" s="157"/>
      <c r="J57" s="135"/>
      <c r="K57" s="157"/>
      <c r="L57" s="135"/>
      <c r="M57" s="157"/>
      <c r="N57" s="135"/>
      <c r="O57" s="157"/>
      <c r="P57" s="135"/>
      <c r="Q57" s="157"/>
      <c r="R57" s="135"/>
      <c r="S57" s="157"/>
      <c r="T57" s="135"/>
      <c r="U57" s="157"/>
      <c r="V57" s="135"/>
      <c r="W57" s="157"/>
      <c r="X57" s="135"/>
      <c r="Y57" s="157"/>
      <c r="Z57" s="135"/>
    </row>
    <row r="58" spans="1:29" ht="9" customHeight="1" thickBot="1" x14ac:dyDescent="0.25">
      <c r="A58" s="3"/>
      <c r="B58" s="96"/>
      <c r="C58" s="97"/>
      <c r="D58" s="98"/>
      <c r="E58" s="97"/>
      <c r="F58" s="34"/>
      <c r="G58" s="157"/>
      <c r="H58" s="135"/>
      <c r="I58" s="157"/>
      <c r="J58" s="135"/>
      <c r="K58" s="157"/>
      <c r="L58" s="135"/>
      <c r="M58" s="157"/>
      <c r="N58" s="135"/>
      <c r="O58" s="157"/>
      <c r="P58" s="135"/>
      <c r="Q58" s="157"/>
      <c r="R58" s="135"/>
      <c r="S58" s="157"/>
      <c r="T58" s="135"/>
      <c r="U58" s="157"/>
      <c r="V58" s="135"/>
      <c r="W58" s="157"/>
      <c r="X58" s="135"/>
      <c r="Y58" s="157"/>
      <c r="Z58" s="135"/>
    </row>
    <row r="59" spans="1:29" s="3" customFormat="1" ht="14.25" customHeight="1" thickTop="1" thickBot="1" x14ac:dyDescent="0.25">
      <c r="B59" s="340"/>
      <c r="C59" s="2013" t="s">
        <v>49</v>
      </c>
      <c r="D59" s="2014"/>
      <c r="E59" s="2015" t="s">
        <v>50</v>
      </c>
      <c r="F59" s="2015"/>
      <c r="G59" s="2002" t="s">
        <v>141</v>
      </c>
      <c r="H59" s="1982"/>
      <c r="I59" s="1974" t="s">
        <v>152</v>
      </c>
      <c r="J59" s="1982"/>
      <c r="K59" s="1974" t="s">
        <v>154</v>
      </c>
      <c r="L59" s="1974"/>
      <c r="M59" s="2002" t="s">
        <v>171</v>
      </c>
      <c r="N59" s="1982"/>
      <c r="O59" s="1974" t="s">
        <v>227</v>
      </c>
      <c r="P59" s="1982"/>
      <c r="Q59" s="1974" t="s">
        <v>237</v>
      </c>
      <c r="R59" s="1982"/>
      <c r="S59" s="1974" t="s">
        <v>272</v>
      </c>
      <c r="T59" s="1982"/>
      <c r="U59" s="1974" t="s">
        <v>274</v>
      </c>
      <c r="V59" s="1982"/>
      <c r="W59" s="1974" t="s">
        <v>280</v>
      </c>
      <c r="X59" s="1982"/>
      <c r="Y59" s="1974" t="s">
        <v>290</v>
      </c>
      <c r="Z59" s="1975"/>
      <c r="AB59" s="2003" t="s">
        <v>213</v>
      </c>
      <c r="AC59" s="2004"/>
    </row>
    <row r="60" spans="1:29" s="3" customFormat="1" ht="12" x14ac:dyDescent="0.2">
      <c r="B60" s="73" t="s">
        <v>53</v>
      </c>
      <c r="C60" s="54"/>
      <c r="D60" s="92"/>
      <c r="E60" s="30"/>
      <c r="F60" s="30"/>
      <c r="G60" s="243"/>
      <c r="H60" s="244"/>
      <c r="I60" s="138"/>
      <c r="J60" s="244"/>
      <c r="K60" s="138"/>
      <c r="L60" s="138"/>
      <c r="M60" s="243"/>
      <c r="N60" s="244"/>
      <c r="O60" s="138"/>
      <c r="P60" s="244"/>
      <c r="Q60" s="138"/>
      <c r="R60" s="244"/>
      <c r="S60" s="138"/>
      <c r="T60" s="244"/>
      <c r="U60" s="138"/>
      <c r="V60" s="244"/>
      <c r="W60" s="138"/>
      <c r="X60" s="244"/>
      <c r="Y60" s="138"/>
      <c r="Z60" s="140"/>
      <c r="AB60" s="831"/>
      <c r="AC60" s="930"/>
    </row>
    <row r="61" spans="1:29" s="3" customFormat="1" ht="12" x14ac:dyDescent="0.2">
      <c r="B61" s="74" t="s">
        <v>54</v>
      </c>
      <c r="C61" s="184"/>
      <c r="D61" s="165"/>
      <c r="E61" s="31"/>
      <c r="F61" s="171"/>
      <c r="G61" s="239"/>
      <c r="H61" s="261"/>
      <c r="I61" s="139"/>
      <c r="J61" s="261"/>
      <c r="K61" s="139"/>
      <c r="L61" s="183"/>
      <c r="M61" s="239"/>
      <c r="N61" s="261"/>
      <c r="O61" s="139"/>
      <c r="P61" s="261"/>
      <c r="Q61" s="139"/>
      <c r="R61" s="261"/>
      <c r="S61" s="139"/>
      <c r="T61" s="261"/>
      <c r="U61" s="139"/>
      <c r="V61" s="261"/>
      <c r="W61" s="139"/>
      <c r="X61" s="261"/>
      <c r="Y61" s="139"/>
      <c r="Z61" s="142"/>
      <c r="AB61" s="24"/>
      <c r="AC61" s="579"/>
    </row>
    <row r="62" spans="1:29" s="3" customFormat="1" ht="12" x14ac:dyDescent="0.2">
      <c r="B62" s="75" t="s">
        <v>55</v>
      </c>
      <c r="C62" s="184"/>
      <c r="D62" s="165">
        <v>36</v>
      </c>
      <c r="E62" s="31"/>
      <c r="F62" s="171">
        <f>18+26</f>
        <v>44</v>
      </c>
      <c r="G62" s="239"/>
      <c r="H62" s="261">
        <v>43</v>
      </c>
      <c r="I62" s="139"/>
      <c r="J62" s="261">
        <v>42</v>
      </c>
      <c r="K62" s="139"/>
      <c r="L62" s="183">
        <f>15+27</f>
        <v>42</v>
      </c>
      <c r="M62" s="239"/>
      <c r="N62" s="261">
        <v>44</v>
      </c>
      <c r="O62" s="139"/>
      <c r="P62" s="261">
        <v>43</v>
      </c>
      <c r="Q62" s="139"/>
      <c r="R62" s="261">
        <v>46</v>
      </c>
      <c r="S62" s="139"/>
      <c r="T62" s="261">
        <v>45</v>
      </c>
      <c r="U62" s="139"/>
      <c r="V62" s="261">
        <v>46</v>
      </c>
      <c r="W62" s="139"/>
      <c r="X62" s="261">
        <v>50</v>
      </c>
      <c r="Y62" s="139"/>
      <c r="Z62" s="142">
        <v>55</v>
      </c>
      <c r="AB62" s="12"/>
      <c r="AC62" s="1113">
        <f>AVERAGE(X62,V62,R62,T62,Z62)</f>
        <v>48.4</v>
      </c>
    </row>
    <row r="63" spans="1:29" s="3" customFormat="1" ht="12" x14ac:dyDescent="0.2">
      <c r="B63" s="75" t="s">
        <v>181</v>
      </c>
      <c r="C63" s="184"/>
      <c r="D63" s="165">
        <v>13</v>
      </c>
      <c r="E63" s="31"/>
      <c r="F63" s="171">
        <v>9</v>
      </c>
      <c r="G63" s="239"/>
      <c r="H63" s="261">
        <v>11</v>
      </c>
      <c r="I63" s="139"/>
      <c r="J63" s="261">
        <v>11</v>
      </c>
      <c r="K63" s="139"/>
      <c r="L63" s="183">
        <v>14</v>
      </c>
      <c r="M63" s="239"/>
      <c r="N63" s="261">
        <v>11</v>
      </c>
      <c r="O63" s="139"/>
      <c r="P63" s="261">
        <v>8</v>
      </c>
      <c r="Q63" s="139"/>
      <c r="R63" s="261">
        <v>7</v>
      </c>
      <c r="S63" s="139"/>
      <c r="T63" s="261">
        <v>7</v>
      </c>
      <c r="U63" s="139"/>
      <c r="V63" s="261">
        <v>10</v>
      </c>
      <c r="W63" s="139"/>
      <c r="X63" s="261">
        <v>10</v>
      </c>
      <c r="Y63" s="139"/>
      <c r="Z63" s="142">
        <v>8</v>
      </c>
      <c r="AB63" s="12"/>
      <c r="AC63" s="1113">
        <f t="shared" ref="AC63:AC67" si="8">AVERAGE(X63,V63,R63,T63,Z63)</f>
        <v>8.4</v>
      </c>
    </row>
    <row r="64" spans="1:29" s="3" customFormat="1" ht="12" x14ac:dyDescent="0.2">
      <c r="B64" s="74" t="s">
        <v>57</v>
      </c>
      <c r="C64" s="184"/>
      <c r="D64" s="94"/>
      <c r="E64" s="31"/>
      <c r="F64" s="39"/>
      <c r="G64" s="239"/>
      <c r="H64" s="240"/>
      <c r="I64" s="139"/>
      <c r="J64" s="240"/>
      <c r="K64" s="139"/>
      <c r="L64" s="241"/>
      <c r="M64" s="239"/>
      <c r="N64" s="240"/>
      <c r="O64" s="139"/>
      <c r="P64" s="240"/>
      <c r="Q64" s="139"/>
      <c r="R64" s="240"/>
      <c r="S64" s="139"/>
      <c r="T64" s="240"/>
      <c r="U64" s="139"/>
      <c r="V64" s="240"/>
      <c r="W64" s="139"/>
      <c r="X64" s="240"/>
      <c r="Y64" s="139"/>
      <c r="Z64" s="143"/>
      <c r="AB64" s="12"/>
      <c r="AC64" s="1113"/>
    </row>
    <row r="65" spans="2:29" s="3" customFormat="1" ht="12" x14ac:dyDescent="0.2">
      <c r="B65" s="75" t="s">
        <v>55</v>
      </c>
      <c r="C65" s="184"/>
      <c r="D65" s="94">
        <v>0</v>
      </c>
      <c r="E65" s="31"/>
      <c r="F65" s="39">
        <v>0</v>
      </c>
      <c r="G65" s="239"/>
      <c r="H65" s="240">
        <v>0</v>
      </c>
      <c r="I65" s="139"/>
      <c r="J65" s="240">
        <v>0</v>
      </c>
      <c r="K65" s="139"/>
      <c r="L65" s="241">
        <v>0</v>
      </c>
      <c r="M65" s="239"/>
      <c r="N65" s="240">
        <v>0</v>
      </c>
      <c r="O65" s="139"/>
      <c r="P65" s="240">
        <v>0</v>
      </c>
      <c r="Q65" s="139"/>
      <c r="R65" s="240">
        <v>0</v>
      </c>
      <c r="S65" s="139"/>
      <c r="T65" s="240">
        <v>0</v>
      </c>
      <c r="U65" s="139"/>
      <c r="V65" s="240">
        <v>0</v>
      </c>
      <c r="W65" s="139"/>
      <c r="X65" s="240">
        <v>0</v>
      </c>
      <c r="Y65" s="139"/>
      <c r="Z65" s="143">
        <v>0</v>
      </c>
      <c r="AB65" s="12"/>
      <c r="AC65" s="1113">
        <f t="shared" si="8"/>
        <v>0</v>
      </c>
    </row>
    <row r="66" spans="2:29" s="3" customFormat="1" ht="12" x14ac:dyDescent="0.2">
      <c r="B66" s="341" t="s">
        <v>181</v>
      </c>
      <c r="C66" s="184"/>
      <c r="D66" s="94">
        <v>4</v>
      </c>
      <c r="E66" s="31"/>
      <c r="F66" s="39">
        <v>2</v>
      </c>
      <c r="G66" s="239"/>
      <c r="H66" s="240">
        <v>0</v>
      </c>
      <c r="I66" s="139"/>
      <c r="J66" s="240">
        <v>0</v>
      </c>
      <c r="K66" s="139"/>
      <c r="L66" s="241">
        <v>0</v>
      </c>
      <c r="M66" s="239"/>
      <c r="N66" s="240">
        <v>0</v>
      </c>
      <c r="O66" s="139"/>
      <c r="P66" s="240">
        <v>0</v>
      </c>
      <c r="Q66" s="139"/>
      <c r="R66" s="240">
        <v>0</v>
      </c>
      <c r="S66" s="139"/>
      <c r="T66" s="240">
        <v>0</v>
      </c>
      <c r="U66" s="139"/>
      <c r="V66" s="240">
        <v>0</v>
      </c>
      <c r="W66" s="139"/>
      <c r="X66" s="240">
        <v>0</v>
      </c>
      <c r="Y66" s="139"/>
      <c r="Z66" s="143">
        <v>0</v>
      </c>
      <c r="AB66" s="12"/>
      <c r="AC66" s="1113">
        <f t="shared" si="8"/>
        <v>0</v>
      </c>
    </row>
    <row r="67" spans="2:29" s="3" customFormat="1" thickBot="1" x14ac:dyDescent="0.25">
      <c r="B67" s="79" t="s">
        <v>13</v>
      </c>
      <c r="C67" s="233"/>
      <c r="D67" s="234">
        <f>SUM(D62:D66)</f>
        <v>53</v>
      </c>
      <c r="E67" s="107"/>
      <c r="F67" s="106">
        <f>SUM(F62:F66)</f>
        <v>55</v>
      </c>
      <c r="G67" s="297"/>
      <c r="H67" s="427">
        <v>54</v>
      </c>
      <c r="I67" s="426"/>
      <c r="J67" s="427">
        <f>SUM(J62:J66)</f>
        <v>53</v>
      </c>
      <c r="K67" s="426"/>
      <c r="L67" s="454">
        <f>SUM(L62:L66)</f>
        <v>56</v>
      </c>
      <c r="M67" s="297"/>
      <c r="N67" s="427">
        <f>SUM(N62:N66)</f>
        <v>55</v>
      </c>
      <c r="O67" s="426"/>
      <c r="P67" s="427">
        <f>SUM(P62:P66)</f>
        <v>51</v>
      </c>
      <c r="Q67" s="426"/>
      <c r="R67" s="427">
        <f>SUM(R62:R66)</f>
        <v>53</v>
      </c>
      <c r="S67" s="426"/>
      <c r="T67" s="427">
        <f>SUM(T62:T66)</f>
        <v>52</v>
      </c>
      <c r="U67" s="426"/>
      <c r="V67" s="427">
        <f>SUM(V62:V66)</f>
        <v>56</v>
      </c>
      <c r="W67" s="426"/>
      <c r="X67" s="427">
        <f>SUM(X62:X66)</f>
        <v>60</v>
      </c>
      <c r="Y67" s="426"/>
      <c r="Z67" s="374">
        <f>SUM(Z62:Z66)</f>
        <v>63</v>
      </c>
      <c r="AB67" s="831"/>
      <c r="AC67" s="1114">
        <f t="shared" si="8"/>
        <v>56.8</v>
      </c>
    </row>
    <row r="68" spans="2:29" s="3" customFormat="1" thickTop="1" x14ac:dyDescent="0.2">
      <c r="B68" s="342" t="s">
        <v>135</v>
      </c>
      <c r="C68" s="392"/>
      <c r="D68" s="393"/>
      <c r="E68" s="43" t="s">
        <v>133</v>
      </c>
      <c r="F68" s="41" t="s">
        <v>134</v>
      </c>
      <c r="G68" s="317" t="s">
        <v>133</v>
      </c>
      <c r="H68" s="412" t="s">
        <v>134</v>
      </c>
      <c r="I68" s="411" t="s">
        <v>133</v>
      </c>
      <c r="J68" s="449" t="s">
        <v>134</v>
      </c>
      <c r="K68" s="317" t="s">
        <v>133</v>
      </c>
      <c r="L68" s="449" t="s">
        <v>134</v>
      </c>
      <c r="M68" s="317" t="s">
        <v>133</v>
      </c>
      <c r="N68" s="441" t="s">
        <v>134</v>
      </c>
      <c r="O68" s="411" t="s">
        <v>133</v>
      </c>
      <c r="P68" s="412" t="s">
        <v>134</v>
      </c>
      <c r="Q68" s="411" t="s">
        <v>133</v>
      </c>
      <c r="R68" s="412" t="s">
        <v>134</v>
      </c>
      <c r="S68" s="411" t="s">
        <v>133</v>
      </c>
      <c r="T68" s="412" t="s">
        <v>134</v>
      </c>
      <c r="U68" s="411" t="s">
        <v>133</v>
      </c>
      <c r="V68" s="412" t="s">
        <v>134</v>
      </c>
      <c r="W68" s="411" t="s">
        <v>133</v>
      </c>
      <c r="X68" s="412" t="s">
        <v>134</v>
      </c>
      <c r="Y68" s="411" t="s">
        <v>133</v>
      </c>
      <c r="Z68" s="289" t="s">
        <v>134</v>
      </c>
      <c r="AB68" s="952" t="s">
        <v>133</v>
      </c>
      <c r="AC68" s="862" t="s">
        <v>134</v>
      </c>
    </row>
    <row r="69" spans="2:29" s="3" customFormat="1" ht="12" x14ac:dyDescent="0.2">
      <c r="B69" s="75" t="s">
        <v>87</v>
      </c>
      <c r="C69" s="319">
        <v>52</v>
      </c>
      <c r="D69" s="216">
        <f>C69/D$67</f>
        <v>0.98113207547169812</v>
      </c>
      <c r="E69" s="173">
        <f>42+9+2</f>
        <v>53</v>
      </c>
      <c r="F69" s="221">
        <f t="shared" ref="F69:H76" si="9">E69/F$67</f>
        <v>0.96363636363636362</v>
      </c>
      <c r="G69" s="215">
        <v>51</v>
      </c>
      <c r="H69" s="216">
        <f t="shared" si="9"/>
        <v>0.94444444444444442</v>
      </c>
      <c r="I69" s="173">
        <v>51</v>
      </c>
      <c r="J69" s="216">
        <f t="shared" ref="J69:L76" si="10">I69/J$67</f>
        <v>0.96226415094339623</v>
      </c>
      <c r="K69" s="173">
        <f>39+13</f>
        <v>52</v>
      </c>
      <c r="L69" s="221">
        <f t="shared" si="10"/>
        <v>0.9285714285714286</v>
      </c>
      <c r="M69" s="215">
        <f>11+42</f>
        <v>53</v>
      </c>
      <c r="N69" s="216">
        <f t="shared" ref="N69:T76" si="11">M69/N$67</f>
        <v>0.96363636363636362</v>
      </c>
      <c r="O69" s="173">
        <v>46</v>
      </c>
      <c r="P69" s="216">
        <f t="shared" si="11"/>
        <v>0.90196078431372551</v>
      </c>
      <c r="Q69" s="173">
        <v>49</v>
      </c>
      <c r="R69" s="216">
        <f t="shared" si="11"/>
        <v>0.92452830188679247</v>
      </c>
      <c r="S69" s="173">
        <f>40+7</f>
        <v>47</v>
      </c>
      <c r="T69" s="216">
        <f t="shared" si="11"/>
        <v>0.90384615384615385</v>
      </c>
      <c r="U69" s="173">
        <v>51</v>
      </c>
      <c r="V69" s="216">
        <f t="shared" ref="V69:V74" si="12">U69/V$67</f>
        <v>0.9107142857142857</v>
      </c>
      <c r="W69" s="173">
        <f>10+43</f>
        <v>53</v>
      </c>
      <c r="X69" s="216">
        <f t="shared" ref="X69:Z74" si="13">W69/X$67</f>
        <v>0.8833333333333333</v>
      </c>
      <c r="Y69" s="173">
        <v>55</v>
      </c>
      <c r="Z69" s="1494">
        <f t="shared" si="13"/>
        <v>0.87301587301587302</v>
      </c>
      <c r="AA69" s="955"/>
      <c r="AB69" s="1016">
        <f t="shared" ref="AB69:AB88" si="14">AVERAGE(W69,U69,Q69,S69,Y69)</f>
        <v>51</v>
      </c>
      <c r="AC69" s="863">
        <f t="shared" ref="AC69:AC88" si="15">AVERAGE(X69,V69,R69,T69,Z69)</f>
        <v>0.89908758955928758</v>
      </c>
    </row>
    <row r="70" spans="2:29" s="3" customFormat="1" ht="12" x14ac:dyDescent="0.2">
      <c r="B70" s="85" t="s">
        <v>88</v>
      </c>
      <c r="C70" s="319">
        <v>0</v>
      </c>
      <c r="D70" s="216">
        <f t="shared" ref="D70:D88" si="16">C70/$D$67</f>
        <v>0</v>
      </c>
      <c r="E70" s="173">
        <v>0</v>
      </c>
      <c r="F70" s="221">
        <f t="shared" si="9"/>
        <v>0</v>
      </c>
      <c r="G70" s="215">
        <v>0</v>
      </c>
      <c r="H70" s="216">
        <f t="shared" si="9"/>
        <v>0</v>
      </c>
      <c r="I70" s="173">
        <v>1</v>
      </c>
      <c r="J70" s="216">
        <f t="shared" si="10"/>
        <v>1.8867924528301886E-2</v>
      </c>
      <c r="K70" s="173">
        <v>1</v>
      </c>
      <c r="L70" s="221">
        <f t="shared" si="10"/>
        <v>1.7857142857142856E-2</v>
      </c>
      <c r="M70" s="215">
        <v>1</v>
      </c>
      <c r="N70" s="216">
        <f t="shared" si="11"/>
        <v>1.8181818181818181E-2</v>
      </c>
      <c r="O70" s="173">
        <v>1</v>
      </c>
      <c r="P70" s="216">
        <f t="shared" si="11"/>
        <v>1.9607843137254902E-2</v>
      </c>
      <c r="Q70" s="173">
        <v>1</v>
      </c>
      <c r="R70" s="216">
        <f t="shared" si="11"/>
        <v>1.8867924528301886E-2</v>
      </c>
      <c r="S70" s="173">
        <f>0+1</f>
        <v>1</v>
      </c>
      <c r="T70" s="216">
        <f t="shared" si="11"/>
        <v>1.9230769230769232E-2</v>
      </c>
      <c r="U70" s="173">
        <v>0</v>
      </c>
      <c r="V70" s="216">
        <f t="shared" si="12"/>
        <v>0</v>
      </c>
      <c r="W70" s="173">
        <v>0</v>
      </c>
      <c r="X70" s="216">
        <f t="shared" si="13"/>
        <v>0</v>
      </c>
      <c r="Y70" s="173">
        <v>1</v>
      </c>
      <c r="Z70" s="1494">
        <f t="shared" si="13"/>
        <v>1.5873015873015872E-2</v>
      </c>
      <c r="AA70" s="955"/>
      <c r="AB70" s="1016">
        <f t="shared" si="14"/>
        <v>0.6</v>
      </c>
      <c r="AC70" s="863">
        <f t="shared" si="15"/>
        <v>1.0794341926417397E-2</v>
      </c>
    </row>
    <row r="71" spans="2:29" s="3" customFormat="1" ht="12" x14ac:dyDescent="0.2">
      <c r="B71" s="85" t="s">
        <v>89</v>
      </c>
      <c r="C71" s="319">
        <v>0</v>
      </c>
      <c r="D71" s="216">
        <f t="shared" si="16"/>
        <v>0</v>
      </c>
      <c r="E71" s="173">
        <v>0</v>
      </c>
      <c r="F71" s="221">
        <f t="shared" si="9"/>
        <v>0</v>
      </c>
      <c r="G71" s="215">
        <v>0</v>
      </c>
      <c r="H71" s="216">
        <f t="shared" si="9"/>
        <v>0</v>
      </c>
      <c r="I71" s="173">
        <v>0</v>
      </c>
      <c r="J71" s="216">
        <f t="shared" si="10"/>
        <v>0</v>
      </c>
      <c r="K71" s="173">
        <v>0</v>
      </c>
      <c r="L71" s="221">
        <f t="shared" si="10"/>
        <v>0</v>
      </c>
      <c r="M71" s="215">
        <v>0</v>
      </c>
      <c r="N71" s="216">
        <f t="shared" si="11"/>
        <v>0</v>
      </c>
      <c r="O71" s="173">
        <v>1</v>
      </c>
      <c r="P71" s="216">
        <f t="shared" si="11"/>
        <v>1.9607843137254902E-2</v>
      </c>
      <c r="Q71" s="173">
        <v>0</v>
      </c>
      <c r="R71" s="216">
        <f t="shared" si="11"/>
        <v>0</v>
      </c>
      <c r="S71" s="173">
        <f>0+1</f>
        <v>1</v>
      </c>
      <c r="T71" s="216">
        <f t="shared" si="11"/>
        <v>1.9230769230769232E-2</v>
      </c>
      <c r="U71" s="173">
        <v>2</v>
      </c>
      <c r="V71" s="216">
        <f t="shared" si="12"/>
        <v>3.5714285714285712E-2</v>
      </c>
      <c r="W71" s="173">
        <v>1</v>
      </c>
      <c r="X71" s="216">
        <f t="shared" si="13"/>
        <v>1.6666666666666666E-2</v>
      </c>
      <c r="Y71" s="173">
        <v>1</v>
      </c>
      <c r="Z71" s="1494">
        <f t="shared" si="13"/>
        <v>1.5873015873015872E-2</v>
      </c>
      <c r="AA71" s="955"/>
      <c r="AB71" s="1016">
        <f t="shared" si="14"/>
        <v>1</v>
      </c>
      <c r="AC71" s="863">
        <f t="shared" si="15"/>
        <v>1.7496947496947496E-2</v>
      </c>
    </row>
    <row r="72" spans="2:29" s="3" customFormat="1" ht="12" x14ac:dyDescent="0.2">
      <c r="B72" s="85" t="s">
        <v>90</v>
      </c>
      <c r="C72" s="319">
        <v>0</v>
      </c>
      <c r="D72" s="216">
        <f t="shared" si="16"/>
        <v>0</v>
      </c>
      <c r="E72" s="173">
        <v>0</v>
      </c>
      <c r="F72" s="221">
        <f t="shared" si="9"/>
        <v>0</v>
      </c>
      <c r="G72" s="215">
        <v>0</v>
      </c>
      <c r="H72" s="216">
        <f t="shared" si="9"/>
        <v>0</v>
      </c>
      <c r="I72" s="173">
        <v>0</v>
      </c>
      <c r="J72" s="216">
        <f t="shared" si="10"/>
        <v>0</v>
      </c>
      <c r="K72" s="173">
        <v>0</v>
      </c>
      <c r="L72" s="221">
        <f t="shared" si="10"/>
        <v>0</v>
      </c>
      <c r="M72" s="215">
        <v>0</v>
      </c>
      <c r="N72" s="216">
        <f t="shared" si="11"/>
        <v>0</v>
      </c>
      <c r="O72" s="173">
        <v>0</v>
      </c>
      <c r="P72" s="216">
        <f t="shared" si="11"/>
        <v>0</v>
      </c>
      <c r="Q72" s="173">
        <v>0</v>
      </c>
      <c r="R72" s="216">
        <f t="shared" si="11"/>
        <v>0</v>
      </c>
      <c r="S72" s="173">
        <v>0</v>
      </c>
      <c r="T72" s="216">
        <f t="shared" si="11"/>
        <v>0</v>
      </c>
      <c r="U72" s="173">
        <v>0</v>
      </c>
      <c r="V72" s="216">
        <f t="shared" si="12"/>
        <v>0</v>
      </c>
      <c r="W72" s="173">
        <v>0</v>
      </c>
      <c r="X72" s="216">
        <f t="shared" si="13"/>
        <v>0</v>
      </c>
      <c r="Y72" s="173">
        <v>0</v>
      </c>
      <c r="Z72" s="1494">
        <f t="shared" si="13"/>
        <v>0</v>
      </c>
      <c r="AA72" s="955"/>
      <c r="AB72" s="1016">
        <f t="shared" si="14"/>
        <v>0</v>
      </c>
      <c r="AC72" s="863">
        <f t="shared" si="15"/>
        <v>0</v>
      </c>
    </row>
    <row r="73" spans="2:29" s="3" customFormat="1" ht="12" x14ac:dyDescent="0.2">
      <c r="B73" s="85" t="s">
        <v>91</v>
      </c>
      <c r="C73" s="319">
        <v>1</v>
      </c>
      <c r="D73" s="216">
        <f t="shared" si="16"/>
        <v>1.8867924528301886E-2</v>
      </c>
      <c r="E73" s="173">
        <v>1</v>
      </c>
      <c r="F73" s="221">
        <f t="shared" si="9"/>
        <v>1.8181818181818181E-2</v>
      </c>
      <c r="G73" s="215">
        <v>2</v>
      </c>
      <c r="H73" s="216">
        <f t="shared" si="9"/>
        <v>3.7037037037037035E-2</v>
      </c>
      <c r="I73" s="173">
        <v>0</v>
      </c>
      <c r="J73" s="216">
        <f t="shared" si="10"/>
        <v>0</v>
      </c>
      <c r="K73" s="173">
        <v>0</v>
      </c>
      <c r="L73" s="221">
        <f t="shared" si="10"/>
        <v>0</v>
      </c>
      <c r="M73" s="215">
        <v>0</v>
      </c>
      <c r="N73" s="216">
        <f t="shared" si="11"/>
        <v>0</v>
      </c>
      <c r="O73" s="173">
        <v>0</v>
      </c>
      <c r="P73" s="216">
        <f t="shared" si="11"/>
        <v>0</v>
      </c>
      <c r="Q73" s="173">
        <v>1</v>
      </c>
      <c r="R73" s="216">
        <f t="shared" si="11"/>
        <v>1.8867924528301886E-2</v>
      </c>
      <c r="S73" s="173">
        <f>0+1</f>
        <v>1</v>
      </c>
      <c r="T73" s="216">
        <f t="shared" si="11"/>
        <v>1.9230769230769232E-2</v>
      </c>
      <c r="U73" s="173">
        <v>1</v>
      </c>
      <c r="V73" s="216">
        <f t="shared" si="12"/>
        <v>1.7857142857142856E-2</v>
      </c>
      <c r="W73" s="173">
        <v>1</v>
      </c>
      <c r="X73" s="216">
        <f t="shared" si="13"/>
        <v>1.6666666666666666E-2</v>
      </c>
      <c r="Y73" s="173">
        <v>1</v>
      </c>
      <c r="Z73" s="1494">
        <f t="shared" si="13"/>
        <v>1.5873015873015872E-2</v>
      </c>
      <c r="AA73" s="955"/>
      <c r="AB73" s="1016">
        <f t="shared" si="14"/>
        <v>1</v>
      </c>
      <c r="AC73" s="863">
        <f t="shared" si="15"/>
        <v>1.7699103831179303E-2</v>
      </c>
    </row>
    <row r="74" spans="2:29" s="3" customFormat="1" ht="12" x14ac:dyDescent="0.2">
      <c r="B74" s="85" t="s">
        <v>92</v>
      </c>
      <c r="C74" s="319">
        <v>0</v>
      </c>
      <c r="D74" s="216">
        <f t="shared" si="16"/>
        <v>0</v>
      </c>
      <c r="E74" s="173">
        <v>1</v>
      </c>
      <c r="F74" s="221">
        <f t="shared" si="9"/>
        <v>1.8181818181818181E-2</v>
      </c>
      <c r="G74" s="215">
        <v>1</v>
      </c>
      <c r="H74" s="216">
        <f t="shared" si="9"/>
        <v>1.8518518518518517E-2</v>
      </c>
      <c r="I74" s="173">
        <v>1</v>
      </c>
      <c r="J74" s="216">
        <f t="shared" si="10"/>
        <v>1.8867924528301886E-2</v>
      </c>
      <c r="K74" s="173">
        <v>3</v>
      </c>
      <c r="L74" s="221">
        <f t="shared" si="10"/>
        <v>5.3571428571428568E-2</v>
      </c>
      <c r="M74" s="215">
        <v>1</v>
      </c>
      <c r="N74" s="216">
        <f t="shared" si="11"/>
        <v>1.8181818181818181E-2</v>
      </c>
      <c r="O74" s="173">
        <v>1</v>
      </c>
      <c r="P74" s="216">
        <f t="shared" si="11"/>
        <v>1.9607843137254902E-2</v>
      </c>
      <c r="Q74" s="173">
        <v>0</v>
      </c>
      <c r="R74" s="216">
        <f t="shared" si="11"/>
        <v>0</v>
      </c>
      <c r="S74" s="173">
        <f>0</f>
        <v>0</v>
      </c>
      <c r="T74" s="216">
        <f t="shared" si="11"/>
        <v>0</v>
      </c>
      <c r="U74" s="173">
        <v>0</v>
      </c>
      <c r="V74" s="216">
        <f t="shared" si="12"/>
        <v>0</v>
      </c>
      <c r="W74" s="173">
        <v>2</v>
      </c>
      <c r="X74" s="216">
        <f t="shared" si="13"/>
        <v>3.3333333333333333E-2</v>
      </c>
      <c r="Y74" s="173">
        <v>2</v>
      </c>
      <c r="Z74" s="1494">
        <f t="shared" si="13"/>
        <v>3.1746031746031744E-2</v>
      </c>
      <c r="AA74" s="955"/>
      <c r="AB74" s="1016">
        <f t="shared" si="14"/>
        <v>0.8</v>
      </c>
      <c r="AC74" s="863">
        <f t="shared" si="15"/>
        <v>1.3015873015873014E-2</v>
      </c>
    </row>
    <row r="75" spans="2:29" s="3" customFormat="1" ht="12" x14ac:dyDescent="0.2">
      <c r="B75" s="85" t="s">
        <v>256</v>
      </c>
      <c r="C75" s="346"/>
      <c r="D75" s="216"/>
      <c r="E75" s="174"/>
      <c r="F75" s="221"/>
      <c r="G75" s="1510"/>
      <c r="H75" s="1511"/>
      <c r="I75" s="1512"/>
      <c r="J75" s="1511"/>
      <c r="K75" s="1512"/>
      <c r="L75" s="1513"/>
      <c r="M75" s="1510"/>
      <c r="N75" s="1511"/>
      <c r="O75" s="1512"/>
      <c r="P75" s="1511"/>
      <c r="Q75" s="173">
        <v>1</v>
      </c>
      <c r="R75" s="216">
        <f>Q75/R$67</f>
        <v>1.8867924528301886E-2</v>
      </c>
      <c r="S75" s="173">
        <f>0+1</f>
        <v>1</v>
      </c>
      <c r="T75" s="216">
        <f>S75/T$67</f>
        <v>1.9230769230769232E-2</v>
      </c>
      <c r="U75" s="173">
        <v>1</v>
      </c>
      <c r="V75" s="216">
        <f>U75/V$67</f>
        <v>1.7857142857142856E-2</v>
      </c>
      <c r="W75" s="173">
        <v>1</v>
      </c>
      <c r="X75" s="216">
        <f>W75/X$67</f>
        <v>1.6666666666666666E-2</v>
      </c>
      <c r="Y75" s="173">
        <v>1</v>
      </c>
      <c r="Z75" s="1494">
        <f>Y75/Z$67</f>
        <v>1.5873015873015872E-2</v>
      </c>
      <c r="AA75" s="955"/>
      <c r="AB75" s="1016">
        <f t="shared" si="14"/>
        <v>1</v>
      </c>
      <c r="AC75" s="863">
        <f t="shared" si="15"/>
        <v>1.7699103831179303E-2</v>
      </c>
    </row>
    <row r="76" spans="2:29" s="3" customFormat="1" ht="12" x14ac:dyDescent="0.2">
      <c r="B76" s="85" t="s">
        <v>93</v>
      </c>
      <c r="C76" s="346">
        <v>0</v>
      </c>
      <c r="D76" s="216">
        <f t="shared" si="16"/>
        <v>0</v>
      </c>
      <c r="E76" s="174">
        <v>0</v>
      </c>
      <c r="F76" s="221">
        <f t="shared" si="9"/>
        <v>0</v>
      </c>
      <c r="G76" s="217">
        <v>0</v>
      </c>
      <c r="H76" s="216">
        <f t="shared" si="9"/>
        <v>0</v>
      </c>
      <c r="I76" s="174">
        <v>0</v>
      </c>
      <c r="J76" s="216">
        <f t="shared" si="10"/>
        <v>0</v>
      </c>
      <c r="K76" s="174">
        <v>0</v>
      </c>
      <c r="L76" s="221">
        <f t="shared" si="10"/>
        <v>0</v>
      </c>
      <c r="M76" s="217">
        <v>0</v>
      </c>
      <c r="N76" s="216">
        <f t="shared" si="11"/>
        <v>0</v>
      </c>
      <c r="O76" s="174">
        <v>2</v>
      </c>
      <c r="P76" s="216">
        <f t="shared" si="11"/>
        <v>3.9215686274509803E-2</v>
      </c>
      <c r="Q76" s="174">
        <v>1</v>
      </c>
      <c r="R76" s="216">
        <f t="shared" si="11"/>
        <v>1.8867924528301886E-2</v>
      </c>
      <c r="S76" s="174">
        <f>0+1</f>
        <v>1</v>
      </c>
      <c r="T76" s="216">
        <f t="shared" si="11"/>
        <v>1.9230769230769232E-2</v>
      </c>
      <c r="U76" s="174">
        <v>1</v>
      </c>
      <c r="V76" s="216">
        <f>U76/V$67</f>
        <v>1.7857142857142856E-2</v>
      </c>
      <c r="W76" s="174">
        <v>2</v>
      </c>
      <c r="X76" s="216">
        <f>W76/X$67</f>
        <v>3.3333333333333333E-2</v>
      </c>
      <c r="Y76" s="174">
        <v>2</v>
      </c>
      <c r="Z76" s="1494">
        <f>Y76/Z$67</f>
        <v>3.1746031746031744E-2</v>
      </c>
      <c r="AA76" s="955"/>
      <c r="AB76" s="1016">
        <f t="shared" si="14"/>
        <v>1.4</v>
      </c>
      <c r="AC76" s="863">
        <f t="shared" si="15"/>
        <v>2.4207040339115811E-2</v>
      </c>
    </row>
    <row r="77" spans="2:29" s="3" customFormat="1" ht="12" x14ac:dyDescent="0.2">
      <c r="B77" s="343" t="s">
        <v>136</v>
      </c>
      <c r="C77" s="218"/>
      <c r="D77" s="216"/>
      <c r="E77" s="226"/>
      <c r="F77" s="310"/>
      <c r="G77" s="326"/>
      <c r="H77" s="394"/>
      <c r="I77" s="226"/>
      <c r="J77" s="394"/>
      <c r="K77" s="226"/>
      <c r="L77" s="310"/>
      <c r="M77" s="326"/>
      <c r="N77" s="394"/>
      <c r="O77" s="226"/>
      <c r="P77" s="394"/>
      <c r="Q77" s="226"/>
      <c r="R77" s="394"/>
      <c r="S77" s="226"/>
      <c r="T77" s="394"/>
      <c r="U77" s="226"/>
      <c r="V77" s="394"/>
      <c r="W77" s="226"/>
      <c r="X77" s="394"/>
      <c r="Y77" s="226"/>
      <c r="Z77" s="1500"/>
      <c r="AA77" s="955"/>
      <c r="AB77" s="1016"/>
      <c r="AC77" s="863"/>
    </row>
    <row r="78" spans="2:29" s="3" customFormat="1" ht="12" x14ac:dyDescent="0.2">
      <c r="B78" s="75" t="s">
        <v>124</v>
      </c>
      <c r="C78" s="230">
        <v>16</v>
      </c>
      <c r="D78" s="216">
        <f t="shared" si="16"/>
        <v>0.30188679245283018</v>
      </c>
      <c r="E78" s="171">
        <v>20</v>
      </c>
      <c r="F78" s="311">
        <f>E78/F$67</f>
        <v>0.36363636363636365</v>
      </c>
      <c r="G78" s="229">
        <v>17</v>
      </c>
      <c r="H78" s="395">
        <f>G78/H$67</f>
        <v>0.31481481481481483</v>
      </c>
      <c r="I78" s="183">
        <v>18</v>
      </c>
      <c r="J78" s="216">
        <f>I78/J$67</f>
        <v>0.33962264150943394</v>
      </c>
      <c r="K78" s="183">
        <v>17</v>
      </c>
      <c r="L78" s="221">
        <f>K78/L$67</f>
        <v>0.30357142857142855</v>
      </c>
      <c r="M78" s="229">
        <f>3+14</f>
        <v>17</v>
      </c>
      <c r="N78" s="216">
        <f>M78/N$67</f>
        <v>0.30909090909090908</v>
      </c>
      <c r="O78" s="183">
        <v>15</v>
      </c>
      <c r="P78" s="216">
        <f>O78/P$67</f>
        <v>0.29411764705882354</v>
      </c>
      <c r="Q78" s="183">
        <v>17</v>
      </c>
      <c r="R78" s="216">
        <f>Q78/R$67</f>
        <v>0.32075471698113206</v>
      </c>
      <c r="S78" s="183">
        <f>2+16</f>
        <v>18</v>
      </c>
      <c r="T78" s="216">
        <f>S78/T$67</f>
        <v>0.34615384615384615</v>
      </c>
      <c r="U78" s="183">
        <v>21</v>
      </c>
      <c r="V78" s="216">
        <f>U78/V$67</f>
        <v>0.375</v>
      </c>
      <c r="W78" s="183">
        <f>3+18</f>
        <v>21</v>
      </c>
      <c r="X78" s="216">
        <f>W78/X$67</f>
        <v>0.35</v>
      </c>
      <c r="Y78" s="183">
        <v>23</v>
      </c>
      <c r="Z78" s="1494">
        <f>Y78/Z$67</f>
        <v>0.36507936507936506</v>
      </c>
      <c r="AA78" s="955"/>
      <c r="AB78" s="1016">
        <f t="shared" si="14"/>
        <v>20</v>
      </c>
      <c r="AC78" s="863">
        <f t="shared" si="15"/>
        <v>0.35139758564286866</v>
      </c>
    </row>
    <row r="79" spans="2:29" s="3" customFormat="1" ht="12" x14ac:dyDescent="0.2">
      <c r="B79" s="75" t="s">
        <v>125</v>
      </c>
      <c r="C79" s="230">
        <v>37</v>
      </c>
      <c r="D79" s="216">
        <f t="shared" si="16"/>
        <v>0.69811320754716977</v>
      </c>
      <c r="E79" s="223">
        <f>26+9</f>
        <v>35</v>
      </c>
      <c r="F79" s="311">
        <f>E79/F$67</f>
        <v>0.63636363636363635</v>
      </c>
      <c r="G79" s="230">
        <v>37</v>
      </c>
      <c r="H79" s="395">
        <f>G79/H$67</f>
        <v>0.68518518518518523</v>
      </c>
      <c r="I79" s="283">
        <f>27+8</f>
        <v>35</v>
      </c>
      <c r="J79" s="216">
        <f>I79/J$67</f>
        <v>0.660377358490566</v>
      </c>
      <c r="K79" s="283">
        <v>39</v>
      </c>
      <c r="L79" s="221">
        <f>K79/L$67</f>
        <v>0.6964285714285714</v>
      </c>
      <c r="M79" s="230">
        <f>8+30</f>
        <v>38</v>
      </c>
      <c r="N79" s="216">
        <f>M79/N$67</f>
        <v>0.69090909090909092</v>
      </c>
      <c r="O79" s="283">
        <v>36</v>
      </c>
      <c r="P79" s="216">
        <f>O79/P$67</f>
        <v>0.70588235294117652</v>
      </c>
      <c r="Q79" s="283">
        <v>36</v>
      </c>
      <c r="R79" s="216">
        <f>Q79/R$67</f>
        <v>0.67924528301886788</v>
      </c>
      <c r="S79" s="283">
        <f>5+29</f>
        <v>34</v>
      </c>
      <c r="T79" s="216">
        <f>S79/T$67</f>
        <v>0.65384615384615385</v>
      </c>
      <c r="U79" s="283">
        <v>35</v>
      </c>
      <c r="V79" s="216">
        <f>U79/V$67</f>
        <v>0.625</v>
      </c>
      <c r="W79" s="283">
        <f>7+32</f>
        <v>39</v>
      </c>
      <c r="X79" s="216">
        <f>W79/X$67</f>
        <v>0.65</v>
      </c>
      <c r="Y79" s="283">
        <v>40</v>
      </c>
      <c r="Z79" s="1494">
        <f>Y79/Z$67</f>
        <v>0.63492063492063489</v>
      </c>
      <c r="AA79" s="955"/>
      <c r="AB79" s="1016">
        <f t="shared" si="14"/>
        <v>36.799999999999997</v>
      </c>
      <c r="AC79" s="863">
        <f t="shared" si="15"/>
        <v>0.64860241435713128</v>
      </c>
    </row>
    <row r="80" spans="2:29" s="3" customFormat="1" ht="12" x14ac:dyDescent="0.2">
      <c r="B80" s="343" t="s">
        <v>137</v>
      </c>
      <c r="C80" s="219"/>
      <c r="D80" s="216"/>
      <c r="E80" s="227"/>
      <c r="F80" s="311"/>
      <c r="G80" s="315"/>
      <c r="H80" s="395"/>
      <c r="I80" s="285"/>
      <c r="J80" s="216"/>
      <c r="K80" s="285"/>
      <c r="L80" s="221"/>
      <c r="M80" s="315"/>
      <c r="N80" s="216"/>
      <c r="O80" s="285"/>
      <c r="P80" s="216"/>
      <c r="Q80" s="285"/>
      <c r="R80" s="216"/>
      <c r="S80" s="285"/>
      <c r="T80" s="216"/>
      <c r="U80" s="285"/>
      <c r="V80" s="216"/>
      <c r="W80" s="285"/>
      <c r="X80" s="216"/>
      <c r="Y80" s="285"/>
      <c r="Z80" s="1494"/>
      <c r="AA80" s="955"/>
      <c r="AB80" s="1016"/>
      <c r="AC80" s="863"/>
    </row>
    <row r="81" spans="1:31" s="3" customFormat="1" ht="12" x14ac:dyDescent="0.2">
      <c r="B81" s="75" t="s">
        <v>126</v>
      </c>
      <c r="C81" s="224">
        <v>20</v>
      </c>
      <c r="D81" s="216">
        <f t="shared" si="16"/>
        <v>0.37735849056603776</v>
      </c>
      <c r="E81" s="223">
        <v>22</v>
      </c>
      <c r="F81" s="311">
        <f>E81/F$67</f>
        <v>0.4</v>
      </c>
      <c r="G81" s="230">
        <v>21</v>
      </c>
      <c r="H81" s="395">
        <f>G81/H$67</f>
        <v>0.3888888888888889</v>
      </c>
      <c r="I81" s="283">
        <v>22</v>
      </c>
      <c r="J81" s="216">
        <f>I81/J$67</f>
        <v>0.41509433962264153</v>
      </c>
      <c r="K81" s="283">
        <v>21</v>
      </c>
      <c r="L81" s="221">
        <f>K81/L$67</f>
        <v>0.375</v>
      </c>
      <c r="M81" s="230">
        <f>2+19</f>
        <v>21</v>
      </c>
      <c r="N81" s="216">
        <f>M81/N$67</f>
        <v>0.38181818181818183</v>
      </c>
      <c r="O81" s="283">
        <v>21</v>
      </c>
      <c r="P81" s="216">
        <f>O81/P$67</f>
        <v>0.41176470588235292</v>
      </c>
      <c r="Q81" s="283">
        <v>20</v>
      </c>
      <c r="R81" s="216">
        <f>Q81/R$67</f>
        <v>0.37735849056603776</v>
      </c>
      <c r="S81" s="283">
        <f>3+17</f>
        <v>20</v>
      </c>
      <c r="T81" s="216">
        <f>S81/T$67</f>
        <v>0.38461538461538464</v>
      </c>
      <c r="U81" s="283">
        <v>22</v>
      </c>
      <c r="V81" s="216">
        <f>U81/V$67</f>
        <v>0.39285714285714285</v>
      </c>
      <c r="W81" s="283">
        <f>3+19</f>
        <v>22</v>
      </c>
      <c r="X81" s="216">
        <f>W81/X$67</f>
        <v>0.36666666666666664</v>
      </c>
      <c r="Y81" s="283">
        <v>26</v>
      </c>
      <c r="Z81" s="1494">
        <f>Y81/Z$67</f>
        <v>0.41269841269841268</v>
      </c>
      <c r="AA81" s="955"/>
      <c r="AB81" s="1016">
        <f t="shared" si="14"/>
        <v>22</v>
      </c>
      <c r="AC81" s="863">
        <f t="shared" si="15"/>
        <v>0.38683921948072886</v>
      </c>
    </row>
    <row r="82" spans="1:31" s="3" customFormat="1" ht="12" x14ac:dyDescent="0.2">
      <c r="B82" s="75" t="s">
        <v>127</v>
      </c>
      <c r="C82" s="224">
        <v>5</v>
      </c>
      <c r="D82" s="216">
        <f t="shared" si="16"/>
        <v>9.4339622641509441E-2</v>
      </c>
      <c r="E82" s="223">
        <v>7</v>
      </c>
      <c r="F82" s="311">
        <f>E82/F$67</f>
        <v>0.12727272727272726</v>
      </c>
      <c r="G82" s="230">
        <v>8</v>
      </c>
      <c r="H82" s="395">
        <f>G82/H$67</f>
        <v>0.14814814814814814</v>
      </c>
      <c r="I82" s="283">
        <v>7</v>
      </c>
      <c r="J82" s="216">
        <f>I82/J$67</f>
        <v>0.13207547169811321</v>
      </c>
      <c r="K82" s="283">
        <v>8</v>
      </c>
      <c r="L82" s="221">
        <f>K82/L$67</f>
        <v>0.14285714285714285</v>
      </c>
      <c r="M82" s="230">
        <v>9</v>
      </c>
      <c r="N82" s="216">
        <f>M82/N$67</f>
        <v>0.16363636363636364</v>
      </c>
      <c r="O82" s="283">
        <v>7</v>
      </c>
      <c r="P82" s="216">
        <f>O82/P$67</f>
        <v>0.13725490196078433</v>
      </c>
      <c r="Q82" s="283">
        <v>8</v>
      </c>
      <c r="R82" s="216">
        <f>Q82/R$67</f>
        <v>0.15094339622641509</v>
      </c>
      <c r="S82" s="283">
        <f>0+9</f>
        <v>9</v>
      </c>
      <c r="T82" s="216">
        <f>S82/T$67</f>
        <v>0.17307692307692307</v>
      </c>
      <c r="U82" s="283">
        <v>8</v>
      </c>
      <c r="V82" s="216">
        <f>U82/V$67</f>
        <v>0.14285714285714285</v>
      </c>
      <c r="W82" s="283">
        <v>8</v>
      </c>
      <c r="X82" s="216">
        <f>W82/X$67</f>
        <v>0.13333333333333333</v>
      </c>
      <c r="Y82" s="283">
        <v>7</v>
      </c>
      <c r="Z82" s="1494">
        <f>Y82/Z$67</f>
        <v>0.1111111111111111</v>
      </c>
      <c r="AA82" s="955"/>
      <c r="AB82" s="1016">
        <f t="shared" si="14"/>
        <v>8</v>
      </c>
      <c r="AC82" s="863">
        <f t="shared" si="15"/>
        <v>0.14226438132098509</v>
      </c>
    </row>
    <row r="83" spans="1:31" s="3" customFormat="1" ht="12" x14ac:dyDescent="0.2">
      <c r="B83" s="75" t="s">
        <v>128</v>
      </c>
      <c r="C83" s="224">
        <v>28</v>
      </c>
      <c r="D83" s="216">
        <f t="shared" si="16"/>
        <v>0.52830188679245282</v>
      </c>
      <c r="E83" s="223">
        <f>17+9</f>
        <v>26</v>
      </c>
      <c r="F83" s="311">
        <f>E83/F$67</f>
        <v>0.47272727272727272</v>
      </c>
      <c r="G83" s="230">
        <v>25</v>
      </c>
      <c r="H83" s="395">
        <f>G83/H$67</f>
        <v>0.46296296296296297</v>
      </c>
      <c r="I83" s="283">
        <v>24</v>
      </c>
      <c r="J83" s="216">
        <f>I83/J$67</f>
        <v>0.45283018867924529</v>
      </c>
      <c r="K83" s="283">
        <v>27</v>
      </c>
      <c r="L83" s="221">
        <f>K83/L$67</f>
        <v>0.48214285714285715</v>
      </c>
      <c r="M83" s="230">
        <f>9+16</f>
        <v>25</v>
      </c>
      <c r="N83" s="216">
        <f>M83/N$67</f>
        <v>0.45454545454545453</v>
      </c>
      <c r="O83" s="283">
        <v>23</v>
      </c>
      <c r="P83" s="216">
        <f>O83/P$67</f>
        <v>0.45098039215686275</v>
      </c>
      <c r="Q83" s="283">
        <v>25</v>
      </c>
      <c r="R83" s="216">
        <f>Q83/R$67</f>
        <v>0.47169811320754718</v>
      </c>
      <c r="S83" s="283">
        <f>19+4</f>
        <v>23</v>
      </c>
      <c r="T83" s="216">
        <f>S83/T$67</f>
        <v>0.44230769230769229</v>
      </c>
      <c r="U83" s="283">
        <v>26</v>
      </c>
      <c r="V83" s="216">
        <f>U83/V$67</f>
        <v>0.4642857142857143</v>
      </c>
      <c r="W83" s="283">
        <f>7+23</f>
        <v>30</v>
      </c>
      <c r="X83" s="216">
        <f>W83/X$67</f>
        <v>0.5</v>
      </c>
      <c r="Y83" s="283">
        <v>30</v>
      </c>
      <c r="Z83" s="1494">
        <f>Y83/Z$67</f>
        <v>0.47619047619047616</v>
      </c>
      <c r="AA83" s="955"/>
      <c r="AB83" s="1016">
        <f t="shared" si="14"/>
        <v>26.8</v>
      </c>
      <c r="AC83" s="863">
        <f t="shared" si="15"/>
        <v>0.47089639919828602</v>
      </c>
    </row>
    <row r="84" spans="1:31" s="3" customFormat="1" ht="12" x14ac:dyDescent="0.2">
      <c r="B84" s="343" t="s">
        <v>138</v>
      </c>
      <c r="C84" s="219"/>
      <c r="D84" s="216"/>
      <c r="E84" s="227"/>
      <c r="F84" s="311"/>
      <c r="G84" s="315"/>
      <c r="H84" s="395"/>
      <c r="I84" s="285"/>
      <c r="J84" s="216"/>
      <c r="K84" s="285"/>
      <c r="L84" s="221"/>
      <c r="M84" s="315"/>
      <c r="N84" s="216"/>
      <c r="O84" s="285"/>
      <c r="P84" s="216"/>
      <c r="Q84" s="285"/>
      <c r="R84" s="216"/>
      <c r="S84" s="285"/>
      <c r="T84" s="216"/>
      <c r="U84" s="285"/>
      <c r="V84" s="216"/>
      <c r="W84" s="285"/>
      <c r="X84" s="216"/>
      <c r="Y84" s="285"/>
      <c r="Z84" s="1494"/>
      <c r="AA84" s="955"/>
      <c r="AB84" s="1016"/>
      <c r="AC84" s="863"/>
    </row>
    <row r="85" spans="1:31" s="3" customFormat="1" ht="12" x14ac:dyDescent="0.2">
      <c r="B85" s="75" t="s">
        <v>129</v>
      </c>
      <c r="C85" s="224">
        <v>27</v>
      </c>
      <c r="D85" s="216">
        <f t="shared" si="16"/>
        <v>0.50943396226415094</v>
      </c>
      <c r="E85" s="283">
        <v>28</v>
      </c>
      <c r="F85" s="311">
        <f>E85/F$67</f>
        <v>0.50909090909090904</v>
      </c>
      <c r="G85" s="230">
        <v>29</v>
      </c>
      <c r="H85" s="395">
        <f>G85/H$67</f>
        <v>0.53703703703703709</v>
      </c>
      <c r="I85" s="283">
        <v>27</v>
      </c>
      <c r="J85" s="216">
        <f>I85/J$67</f>
        <v>0.50943396226415094</v>
      </c>
      <c r="K85" s="283">
        <v>28</v>
      </c>
      <c r="L85" s="221">
        <f>K85/L$67</f>
        <v>0.5</v>
      </c>
      <c r="M85" s="230">
        <f>2+30</f>
        <v>32</v>
      </c>
      <c r="N85" s="216">
        <f>M85/N$67</f>
        <v>0.58181818181818179</v>
      </c>
      <c r="O85" s="283">
        <v>29</v>
      </c>
      <c r="P85" s="216">
        <f>O85/P$67</f>
        <v>0.56862745098039214</v>
      </c>
      <c r="Q85" s="283">
        <v>30</v>
      </c>
      <c r="R85" s="216">
        <f>Q85/R$67</f>
        <v>0.56603773584905659</v>
      </c>
      <c r="S85" s="283">
        <f>3+28</f>
        <v>31</v>
      </c>
      <c r="T85" s="216">
        <f>S85/T$67</f>
        <v>0.59615384615384615</v>
      </c>
      <c r="U85" s="283">
        <v>31</v>
      </c>
      <c r="V85" s="216">
        <f>U85/V$67</f>
        <v>0.5535714285714286</v>
      </c>
      <c r="W85" s="283">
        <f>3+29</f>
        <v>32</v>
      </c>
      <c r="X85" s="216">
        <f>W85/X$67</f>
        <v>0.53333333333333333</v>
      </c>
      <c r="Y85" s="283">
        <v>34</v>
      </c>
      <c r="Z85" s="1494">
        <f>Y85/Z$67</f>
        <v>0.53968253968253965</v>
      </c>
      <c r="AA85" s="955"/>
      <c r="AB85" s="1016">
        <f t="shared" si="14"/>
        <v>31.6</v>
      </c>
      <c r="AC85" s="863">
        <f t="shared" si="15"/>
        <v>0.55775577671804089</v>
      </c>
    </row>
    <row r="86" spans="1:31" s="3" customFormat="1" ht="12" x14ac:dyDescent="0.2">
      <c r="B86" s="75" t="s">
        <v>130</v>
      </c>
      <c r="C86" s="224">
        <v>19</v>
      </c>
      <c r="D86" s="216">
        <f t="shared" si="16"/>
        <v>0.35849056603773582</v>
      </c>
      <c r="E86" s="283">
        <v>22</v>
      </c>
      <c r="F86" s="311">
        <f>E86/F$67</f>
        <v>0.4</v>
      </c>
      <c r="G86" s="230">
        <v>21</v>
      </c>
      <c r="H86" s="395">
        <f>G86/H$67</f>
        <v>0.3888888888888889</v>
      </c>
      <c r="I86" s="283">
        <v>21</v>
      </c>
      <c r="J86" s="216">
        <f>I86/J$67</f>
        <v>0.39622641509433965</v>
      </c>
      <c r="K86" s="283">
        <v>26</v>
      </c>
      <c r="L86" s="221">
        <f>K86/L$67</f>
        <v>0.4642857142857143</v>
      </c>
      <c r="M86" s="230">
        <f>8+14</f>
        <v>22</v>
      </c>
      <c r="N86" s="216">
        <f>M86/N$67</f>
        <v>0.4</v>
      </c>
      <c r="O86" s="283">
        <v>22</v>
      </c>
      <c r="P86" s="216">
        <f>O86/P$67</f>
        <v>0.43137254901960786</v>
      </c>
      <c r="Q86" s="283">
        <v>22</v>
      </c>
      <c r="R86" s="216">
        <f>Q86/R$67</f>
        <v>0.41509433962264153</v>
      </c>
      <c r="S86" s="283">
        <f>4+17</f>
        <v>21</v>
      </c>
      <c r="T86" s="216">
        <f>S86/T$67</f>
        <v>0.40384615384615385</v>
      </c>
      <c r="U86" s="283">
        <v>25</v>
      </c>
      <c r="V86" s="216">
        <f>U86/V$67</f>
        <v>0.44642857142857145</v>
      </c>
      <c r="W86" s="283">
        <f>7+21</f>
        <v>28</v>
      </c>
      <c r="X86" s="216">
        <f>W86/X$67</f>
        <v>0.46666666666666667</v>
      </c>
      <c r="Y86" s="283">
        <v>29</v>
      </c>
      <c r="Z86" s="1494">
        <f>Y86/Z$67</f>
        <v>0.46031746031746029</v>
      </c>
      <c r="AA86" s="955"/>
      <c r="AB86" s="1016">
        <f t="shared" si="14"/>
        <v>25</v>
      </c>
      <c r="AC86" s="863">
        <f t="shared" si="15"/>
        <v>0.43847063837629879</v>
      </c>
    </row>
    <row r="87" spans="1:31" s="3" customFormat="1" ht="12" x14ac:dyDescent="0.2">
      <c r="B87" s="75" t="s">
        <v>131</v>
      </c>
      <c r="C87" s="224">
        <v>7</v>
      </c>
      <c r="D87" s="216">
        <f t="shared" si="16"/>
        <v>0.13207547169811321</v>
      </c>
      <c r="E87" s="283">
        <v>5</v>
      </c>
      <c r="F87" s="311">
        <f>E87/F$67</f>
        <v>9.0909090909090912E-2</v>
      </c>
      <c r="G87" s="230">
        <v>4</v>
      </c>
      <c r="H87" s="395">
        <f>G87/H$67</f>
        <v>7.407407407407407E-2</v>
      </c>
      <c r="I87" s="283">
        <v>5</v>
      </c>
      <c r="J87" s="216">
        <f>I87/J$67</f>
        <v>9.4339622641509441E-2</v>
      </c>
      <c r="K87" s="283">
        <v>2</v>
      </c>
      <c r="L87" s="221">
        <f>K87/L$67</f>
        <v>3.5714285714285712E-2</v>
      </c>
      <c r="M87" s="230">
        <f>1</f>
        <v>1</v>
      </c>
      <c r="N87" s="216">
        <f>M87/N$67</f>
        <v>1.8181818181818181E-2</v>
      </c>
      <c r="O87" s="283">
        <v>0</v>
      </c>
      <c r="P87" s="216">
        <f>O87/P$67</f>
        <v>0</v>
      </c>
      <c r="Q87" s="283">
        <v>1</v>
      </c>
      <c r="R87" s="216">
        <f>Q87/R$67</f>
        <v>1.8867924528301886E-2</v>
      </c>
      <c r="S87" s="283">
        <f>0</f>
        <v>0</v>
      </c>
      <c r="T87" s="216">
        <f>S87/T$67</f>
        <v>0</v>
      </c>
      <c r="U87" s="283">
        <v>0</v>
      </c>
      <c r="V87" s="216">
        <f>U87/V$67</f>
        <v>0</v>
      </c>
      <c r="W87" s="283">
        <v>0</v>
      </c>
      <c r="X87" s="216">
        <f>W87/X$67</f>
        <v>0</v>
      </c>
      <c r="Y87" s="283">
        <v>0</v>
      </c>
      <c r="Z87" s="1494">
        <f>Y87/Z$67</f>
        <v>0</v>
      </c>
      <c r="AB87" s="1016">
        <f t="shared" si="14"/>
        <v>0.2</v>
      </c>
      <c r="AC87" s="863">
        <f t="shared" si="15"/>
        <v>3.7735849056603774E-3</v>
      </c>
    </row>
    <row r="88" spans="1:31" s="3" customFormat="1" thickBot="1" x14ac:dyDescent="0.25">
      <c r="B88" s="344" t="s">
        <v>132</v>
      </c>
      <c r="C88" s="61">
        <v>0</v>
      </c>
      <c r="D88" s="220">
        <f t="shared" si="16"/>
        <v>0</v>
      </c>
      <c r="E88" s="284">
        <v>0</v>
      </c>
      <c r="F88" s="312">
        <f>E88/F$67</f>
        <v>0</v>
      </c>
      <c r="G88" s="375">
        <v>0</v>
      </c>
      <c r="H88" s="397">
        <f>G88/H$67</f>
        <v>0</v>
      </c>
      <c r="I88" s="284">
        <v>0</v>
      </c>
      <c r="J88" s="220">
        <f>I88/J$67</f>
        <v>0</v>
      </c>
      <c r="K88" s="284">
        <v>0</v>
      </c>
      <c r="L88" s="222">
        <f>K88/L$67</f>
        <v>0</v>
      </c>
      <c r="M88" s="375">
        <v>0</v>
      </c>
      <c r="N88" s="220">
        <f>M88/N$67</f>
        <v>0</v>
      </c>
      <c r="O88" s="284">
        <v>0</v>
      </c>
      <c r="P88" s="220">
        <f>O88/P$67</f>
        <v>0</v>
      </c>
      <c r="Q88" s="284">
        <v>0</v>
      </c>
      <c r="R88" s="220">
        <f>Q88/R$67</f>
        <v>0</v>
      </c>
      <c r="S88" s="284">
        <f>0</f>
        <v>0</v>
      </c>
      <c r="T88" s="220">
        <f>S88/T$67</f>
        <v>0</v>
      </c>
      <c r="U88" s="284">
        <v>0</v>
      </c>
      <c r="V88" s="220">
        <f>U88/V$67</f>
        <v>0</v>
      </c>
      <c r="W88" s="284">
        <v>0</v>
      </c>
      <c r="X88" s="220">
        <f>W88/X$67</f>
        <v>0</v>
      </c>
      <c r="Y88" s="284">
        <v>0</v>
      </c>
      <c r="Z88" s="1495">
        <f>Y88/Z$67</f>
        <v>0</v>
      </c>
      <c r="AB88" s="1016">
        <f t="shared" si="14"/>
        <v>0</v>
      </c>
      <c r="AC88" s="863">
        <f t="shared" si="15"/>
        <v>0</v>
      </c>
    </row>
    <row r="89" spans="1:31" ht="14.25" thickTop="1" thickBot="1" x14ac:dyDescent="0.25">
      <c r="A89" s="1"/>
      <c r="B89" s="956" t="s">
        <v>186</v>
      </c>
      <c r="C89" s="1992" t="s">
        <v>51</v>
      </c>
      <c r="D89" s="1993"/>
      <c r="E89" s="1992" t="s">
        <v>52</v>
      </c>
      <c r="F89" s="1993"/>
      <c r="G89" s="1989" t="s">
        <v>184</v>
      </c>
      <c r="H89" s="1990"/>
      <c r="I89" s="1989" t="s">
        <v>185</v>
      </c>
      <c r="J89" s="1990"/>
      <c r="K89" s="1989" t="s">
        <v>202</v>
      </c>
      <c r="L89" s="1990"/>
      <c r="M89" s="1991" t="s">
        <v>203</v>
      </c>
      <c r="N89" s="1979"/>
      <c r="O89" s="1970" t="s">
        <v>228</v>
      </c>
      <c r="P89" s="1979"/>
      <c r="Q89" s="1970" t="s">
        <v>238</v>
      </c>
      <c r="R89" s="1979"/>
      <c r="S89" s="1970" t="s">
        <v>273</v>
      </c>
      <c r="T89" s="1979"/>
      <c r="U89" s="1970" t="s">
        <v>275</v>
      </c>
      <c r="V89" s="1979"/>
      <c r="W89" s="1970" t="s">
        <v>281</v>
      </c>
      <c r="X89" s="1979"/>
      <c r="Y89" s="1970" t="s">
        <v>291</v>
      </c>
      <c r="Z89" s="1976"/>
      <c r="AB89" s="2003" t="s">
        <v>213</v>
      </c>
      <c r="AC89" s="2004"/>
    </row>
    <row r="90" spans="1:31" x14ac:dyDescent="0.2">
      <c r="A90" s="1"/>
      <c r="B90" s="957"/>
      <c r="C90" s="958"/>
      <c r="D90" s="959"/>
      <c r="E90" s="1273" t="s">
        <v>133</v>
      </c>
      <c r="F90" s="1180" t="s">
        <v>17</v>
      </c>
      <c r="G90" s="958" t="s">
        <v>133</v>
      </c>
      <c r="H90" s="1242" t="s">
        <v>17</v>
      </c>
      <c r="I90" s="1273" t="s">
        <v>133</v>
      </c>
      <c r="J90" s="1242" t="s">
        <v>17</v>
      </c>
      <c r="K90" s="1273" t="s">
        <v>133</v>
      </c>
      <c r="L90" s="1242" t="s">
        <v>17</v>
      </c>
      <c r="M90" s="1273" t="s">
        <v>133</v>
      </c>
      <c r="N90" s="1242" t="s">
        <v>17</v>
      </c>
      <c r="O90" s="1448" t="s">
        <v>133</v>
      </c>
      <c r="P90" s="1450" t="s">
        <v>17</v>
      </c>
      <c r="Q90" s="1451" t="s">
        <v>133</v>
      </c>
      <c r="R90" s="1450" t="s">
        <v>17</v>
      </c>
      <c r="S90" s="1451" t="s">
        <v>133</v>
      </c>
      <c r="T90" s="1450" t="s">
        <v>17</v>
      </c>
      <c r="U90" s="1768" t="s">
        <v>133</v>
      </c>
      <c r="V90" s="1450" t="s">
        <v>17</v>
      </c>
      <c r="W90" s="1768" t="s">
        <v>133</v>
      </c>
      <c r="X90" s="1450" t="s">
        <v>17</v>
      </c>
      <c r="Y90" s="1768" t="s">
        <v>133</v>
      </c>
      <c r="Z90" s="1452" t="s">
        <v>17</v>
      </c>
      <c r="AB90" s="953" t="s">
        <v>133</v>
      </c>
      <c r="AC90" s="954" t="s">
        <v>17</v>
      </c>
    </row>
    <row r="91" spans="1:31" x14ac:dyDescent="0.2">
      <c r="A91" s="1"/>
      <c r="B91" s="341" t="s">
        <v>187</v>
      </c>
      <c r="C91" s="960">
        <v>0</v>
      </c>
      <c r="D91" s="961">
        <v>0</v>
      </c>
      <c r="E91" s="960">
        <v>0</v>
      </c>
      <c r="F91" s="961">
        <v>0</v>
      </c>
      <c r="G91" s="960">
        <v>0</v>
      </c>
      <c r="H91" s="961">
        <v>0</v>
      </c>
      <c r="I91" s="960">
        <v>0</v>
      </c>
      <c r="J91" s="961">
        <v>0</v>
      </c>
      <c r="K91" s="960">
        <v>0</v>
      </c>
      <c r="L91" s="961">
        <v>0</v>
      </c>
      <c r="M91" s="960">
        <v>0</v>
      </c>
      <c r="N91" s="961">
        <v>0</v>
      </c>
      <c r="O91" s="960">
        <v>0</v>
      </c>
      <c r="P91" s="961">
        <v>0</v>
      </c>
      <c r="Q91" s="960">
        <v>0</v>
      </c>
      <c r="R91" s="961">
        <v>0</v>
      </c>
      <c r="S91" s="960">
        <v>0</v>
      </c>
      <c r="T91" s="961">
        <v>0</v>
      </c>
      <c r="U91" s="960">
        <v>0</v>
      </c>
      <c r="V91" s="961">
        <v>0</v>
      </c>
      <c r="W91" s="960">
        <v>0</v>
      </c>
      <c r="X91" s="961">
        <v>0</v>
      </c>
      <c r="Y91" s="960">
        <v>0</v>
      </c>
      <c r="Z91" s="1517">
        <v>0</v>
      </c>
      <c r="AB91" s="1115">
        <f t="shared" ref="AB91:AB93" si="17">AVERAGE(W91,U91,Q91,S91,Y91)</f>
        <v>0</v>
      </c>
      <c r="AC91" s="1116">
        <f>AVERAGE(X91,V91,R91,T91,Z91)</f>
        <v>0</v>
      </c>
    </row>
    <row r="92" spans="1:31" x14ac:dyDescent="0.2">
      <c r="A92" s="1"/>
      <c r="B92" s="341" t="s">
        <v>188</v>
      </c>
      <c r="C92" s="960">
        <v>38</v>
      </c>
      <c r="D92" s="961">
        <v>19.399999999999999</v>
      </c>
      <c r="E92" s="960">
        <v>43</v>
      </c>
      <c r="F92" s="961">
        <v>21.5</v>
      </c>
      <c r="G92" s="960">
        <v>44</v>
      </c>
      <c r="H92" s="961">
        <v>22</v>
      </c>
      <c r="I92" s="960">
        <v>44</v>
      </c>
      <c r="J92" s="961">
        <v>22</v>
      </c>
      <c r="K92" s="960">
        <v>43</v>
      </c>
      <c r="L92" s="961">
        <v>21.5</v>
      </c>
      <c r="M92" s="960">
        <v>43</v>
      </c>
      <c r="N92" s="961">
        <v>21.5</v>
      </c>
      <c r="O92" s="960">
        <v>41</v>
      </c>
      <c r="P92" s="961">
        <v>20.5</v>
      </c>
      <c r="Q92" s="960">
        <v>43</v>
      </c>
      <c r="R92" s="961">
        <v>21.5</v>
      </c>
      <c r="S92" s="960">
        <v>44</v>
      </c>
      <c r="T92" s="961">
        <v>22</v>
      </c>
      <c r="U92" s="960">
        <v>43</v>
      </c>
      <c r="V92" s="961">
        <v>21.5</v>
      </c>
      <c r="W92" s="960">
        <v>39</v>
      </c>
      <c r="X92" s="961">
        <v>19.5</v>
      </c>
      <c r="Y92" s="960">
        <v>43</v>
      </c>
      <c r="Z92" s="1517">
        <v>21.5</v>
      </c>
      <c r="AB92" s="1115">
        <f t="shared" si="17"/>
        <v>42.4</v>
      </c>
      <c r="AC92" s="1116">
        <f t="shared" ref="AC92:AC93" si="18">AVERAGE(X92,V92,R92,T92,Z92)</f>
        <v>21.2</v>
      </c>
    </row>
    <row r="93" spans="1:31" ht="13.5" thickBot="1" x14ac:dyDescent="0.25">
      <c r="A93" s="1"/>
      <c r="B93" s="344" t="s">
        <v>211</v>
      </c>
      <c r="C93" s="962">
        <v>0</v>
      </c>
      <c r="D93" s="963">
        <v>0</v>
      </c>
      <c r="E93" s="964">
        <v>0</v>
      </c>
      <c r="F93" s="963">
        <v>0</v>
      </c>
      <c r="G93" s="964">
        <v>0</v>
      </c>
      <c r="H93" s="963">
        <v>0</v>
      </c>
      <c r="I93" s="964">
        <v>0</v>
      </c>
      <c r="J93" s="963">
        <v>0</v>
      </c>
      <c r="K93" s="964">
        <v>0</v>
      </c>
      <c r="L93" s="963">
        <v>0</v>
      </c>
      <c r="M93" s="964">
        <v>0</v>
      </c>
      <c r="N93" s="963">
        <v>0</v>
      </c>
      <c r="O93" s="964">
        <v>0</v>
      </c>
      <c r="P93" s="963">
        <v>0</v>
      </c>
      <c r="Q93" s="964">
        <v>0</v>
      </c>
      <c r="R93" s="963">
        <v>0</v>
      </c>
      <c r="S93" s="964">
        <v>0</v>
      </c>
      <c r="T93" s="963">
        <v>0</v>
      </c>
      <c r="U93" s="964">
        <v>0</v>
      </c>
      <c r="V93" s="963">
        <v>0</v>
      </c>
      <c r="W93" s="964">
        <v>0</v>
      </c>
      <c r="X93" s="963">
        <v>0</v>
      </c>
      <c r="Y93" s="964">
        <v>0</v>
      </c>
      <c r="Z93" s="1518">
        <v>0</v>
      </c>
      <c r="AB93" s="1115">
        <f t="shared" si="17"/>
        <v>0</v>
      </c>
      <c r="AC93" s="1116">
        <f t="shared" si="18"/>
        <v>0</v>
      </c>
    </row>
    <row r="94" spans="1:31" ht="17.25" thickTop="1" thickBot="1" x14ac:dyDescent="0.3">
      <c r="A94" s="966"/>
      <c r="B94" s="967"/>
      <c r="C94" s="1992" t="s">
        <v>51</v>
      </c>
      <c r="D94" s="1993"/>
      <c r="E94" s="1992" t="s">
        <v>52</v>
      </c>
      <c r="F94" s="1993"/>
      <c r="G94" s="1989" t="s">
        <v>184</v>
      </c>
      <c r="H94" s="1990"/>
      <c r="I94" s="1989" t="s">
        <v>185</v>
      </c>
      <c r="J94" s="1990"/>
      <c r="K94" s="1989" t="s">
        <v>202</v>
      </c>
      <c r="L94" s="1990"/>
      <c r="M94" s="1991" t="s">
        <v>203</v>
      </c>
      <c r="N94" s="1979"/>
      <c r="O94" s="1970" t="s">
        <v>254</v>
      </c>
      <c r="P94" s="1979"/>
      <c r="Q94" s="1970" t="s">
        <v>238</v>
      </c>
      <c r="R94" s="1979"/>
      <c r="S94" s="1970" t="s">
        <v>273</v>
      </c>
      <c r="T94" s="1979"/>
      <c r="U94" s="1970" t="s">
        <v>275</v>
      </c>
      <c r="V94" s="1979"/>
      <c r="W94" s="1970" t="s">
        <v>281</v>
      </c>
      <c r="X94" s="1979"/>
      <c r="Y94" s="1970" t="s">
        <v>291</v>
      </c>
      <c r="Z94" s="1976"/>
      <c r="AA94" s="968"/>
      <c r="AB94" s="1987"/>
      <c r="AC94" s="1988"/>
      <c r="AD94" s="3"/>
      <c r="AE94" s="3"/>
    </row>
    <row r="95" spans="1:31" x14ac:dyDescent="0.2">
      <c r="A95" s="3"/>
      <c r="B95" s="342" t="s">
        <v>210</v>
      </c>
      <c r="C95" s="3"/>
      <c r="D95" s="969"/>
      <c r="E95" s="970"/>
      <c r="F95" s="971"/>
      <c r="G95" s="972"/>
      <c r="H95" s="973"/>
      <c r="I95" s="974"/>
      <c r="J95" s="593"/>
      <c r="K95" s="975"/>
      <c r="L95" s="976"/>
      <c r="M95" s="975"/>
      <c r="N95" s="991"/>
      <c r="O95" s="117"/>
      <c r="P95" s="1422"/>
      <c r="Q95" s="975"/>
      <c r="R95" s="991"/>
      <c r="S95" s="975"/>
      <c r="T95" s="991"/>
      <c r="U95" s="117"/>
      <c r="V95" s="1881"/>
      <c r="W95" s="975"/>
      <c r="X95" s="976"/>
      <c r="Y95" s="975"/>
      <c r="Z95" s="977"/>
      <c r="AA95" s="28"/>
      <c r="AB95" s="28"/>
      <c r="AC95" s="28"/>
      <c r="AD95" s="3"/>
      <c r="AE95" s="3"/>
    </row>
    <row r="96" spans="1:31" x14ac:dyDescent="0.2">
      <c r="A96" s="930"/>
      <c r="B96" s="1331" t="s">
        <v>192</v>
      </c>
      <c r="C96" s="1983">
        <v>14.4</v>
      </c>
      <c r="D96" s="1984"/>
      <c r="E96" s="980"/>
      <c r="F96" s="981"/>
      <c r="G96" s="982"/>
      <c r="H96" s="983"/>
      <c r="I96" s="1983">
        <v>16.64</v>
      </c>
      <c r="J96" s="1984"/>
      <c r="K96" s="984"/>
      <c r="L96" s="985"/>
      <c r="M96" s="984"/>
      <c r="N96" s="991"/>
      <c r="O96" s="136"/>
      <c r="P96" s="1401">
        <v>29.6</v>
      </c>
      <c r="Q96" s="984"/>
      <c r="R96" s="991"/>
      <c r="S96" s="984"/>
      <c r="T96" s="991"/>
      <c r="U96" s="136"/>
      <c r="V96" s="1401">
        <v>28.2</v>
      </c>
      <c r="W96" s="984"/>
      <c r="X96" s="991"/>
      <c r="Y96" s="984"/>
      <c r="Z96" s="977"/>
      <c r="AA96" s="28"/>
      <c r="AB96" s="28"/>
      <c r="AC96" s="1106"/>
      <c r="AD96" s="3"/>
      <c r="AE96" s="3"/>
    </row>
    <row r="97" spans="1:31" x14ac:dyDescent="0.2">
      <c r="A97" s="930"/>
      <c r="B97" s="1332" t="s">
        <v>193</v>
      </c>
      <c r="C97" s="1983"/>
      <c r="D97" s="1984"/>
      <c r="E97" s="980"/>
      <c r="F97" s="981"/>
      <c r="G97" s="982"/>
      <c r="H97" s="983"/>
      <c r="I97" s="1983"/>
      <c r="J97" s="1984"/>
      <c r="K97" s="984"/>
      <c r="L97" s="985"/>
      <c r="M97" s="984"/>
      <c r="N97" s="991"/>
      <c r="O97" s="136"/>
      <c r="P97" s="1401"/>
      <c r="Q97" s="984"/>
      <c r="R97" s="991"/>
      <c r="S97" s="984"/>
      <c r="T97" s="991"/>
      <c r="U97" s="136"/>
      <c r="V97" s="1401"/>
      <c r="W97" s="984"/>
      <c r="X97" s="991"/>
      <c r="Y97" s="984"/>
      <c r="Z97" s="977"/>
      <c r="AA97" s="28"/>
      <c r="AB97" s="28"/>
      <c r="AC97" s="1106"/>
      <c r="AD97" s="3"/>
      <c r="AE97" s="3"/>
    </row>
    <row r="98" spans="1:31" x14ac:dyDescent="0.2">
      <c r="A98" s="930"/>
      <c r="B98" s="1332" t="s">
        <v>194</v>
      </c>
      <c r="C98" s="1983">
        <v>18.899999999999999</v>
      </c>
      <c r="D98" s="1984"/>
      <c r="E98" s="980"/>
      <c r="F98" s="981"/>
      <c r="G98" s="982"/>
      <c r="H98" s="983"/>
      <c r="I98" s="1983">
        <v>21.5</v>
      </c>
      <c r="J98" s="1984"/>
      <c r="K98" s="984"/>
      <c r="L98" s="985"/>
      <c r="M98" s="984"/>
      <c r="N98" s="991"/>
      <c r="O98" s="136"/>
      <c r="P98" s="1401">
        <v>20</v>
      </c>
      <c r="Q98" s="984"/>
      <c r="R98" s="991"/>
      <c r="S98" s="984"/>
      <c r="T98" s="991"/>
      <c r="U98" s="136"/>
      <c r="V98" s="1401">
        <v>22</v>
      </c>
      <c r="W98" s="984"/>
      <c r="X98" s="991"/>
      <c r="Y98" s="984"/>
      <c r="Z98" s="977"/>
      <c r="AA98" s="28"/>
      <c r="AB98" s="28"/>
      <c r="AC98" s="1106"/>
      <c r="AD98" s="3"/>
      <c r="AE98" s="3"/>
    </row>
    <row r="99" spans="1:31" x14ac:dyDescent="0.2">
      <c r="A99" s="930"/>
      <c r="B99" s="1331" t="s">
        <v>195</v>
      </c>
      <c r="C99" s="1983">
        <v>0.5</v>
      </c>
      <c r="D99" s="1984"/>
      <c r="E99" s="980"/>
      <c r="F99" s="981"/>
      <c r="G99" s="982"/>
      <c r="H99" s="983"/>
      <c r="I99" s="1983">
        <v>0.5</v>
      </c>
      <c r="J99" s="1984"/>
      <c r="K99" s="984"/>
      <c r="L99" s="985"/>
      <c r="M99" s="984"/>
      <c r="N99" s="991"/>
      <c r="O99" s="136"/>
      <c r="P99" s="1401">
        <v>0.5</v>
      </c>
      <c r="Q99" s="984"/>
      <c r="R99" s="991"/>
      <c r="S99" s="984"/>
      <c r="T99" s="991"/>
      <c r="U99" s="136"/>
      <c r="V99" s="1401">
        <v>0</v>
      </c>
      <c r="W99" s="984"/>
      <c r="X99" s="991"/>
      <c r="Y99" s="984"/>
      <c r="Z99" s="977"/>
      <c r="AA99" s="28"/>
      <c r="AB99" s="28"/>
      <c r="AC99" s="1106"/>
      <c r="AD99" s="3"/>
      <c r="AE99" s="3"/>
    </row>
    <row r="100" spans="1:31" x14ac:dyDescent="0.2">
      <c r="A100" s="930"/>
      <c r="B100" s="1333" t="s">
        <v>196</v>
      </c>
      <c r="C100" s="1983">
        <v>27</v>
      </c>
      <c r="D100" s="1984"/>
      <c r="E100" s="980"/>
      <c r="F100" s="981"/>
      <c r="G100" s="982"/>
      <c r="H100" s="983"/>
      <c r="I100" s="1983">
        <v>19.5</v>
      </c>
      <c r="J100" s="1984"/>
      <c r="K100" s="984"/>
      <c r="L100" s="985"/>
      <c r="M100" s="984"/>
      <c r="N100" s="991"/>
      <c r="O100" s="136"/>
      <c r="P100" s="1401">
        <v>21.8</v>
      </c>
      <c r="Q100" s="984"/>
      <c r="R100" s="991"/>
      <c r="S100" s="984"/>
      <c r="T100" s="991"/>
      <c r="U100" s="136"/>
      <c r="V100" s="1401">
        <f>11.25+16.9</f>
        <v>28.15</v>
      </c>
      <c r="W100" s="984"/>
      <c r="X100" s="991"/>
      <c r="Y100" s="984"/>
      <c r="Z100" s="977"/>
      <c r="AA100" s="28"/>
      <c r="AB100" s="28"/>
      <c r="AC100" s="1106"/>
      <c r="AD100" s="3"/>
      <c r="AE100" s="3"/>
    </row>
    <row r="101" spans="1:31" x14ac:dyDescent="0.2">
      <c r="A101" s="930"/>
      <c r="B101" s="1333" t="s">
        <v>197</v>
      </c>
      <c r="C101" s="1983">
        <f>SUM(C96:D100)</f>
        <v>60.8</v>
      </c>
      <c r="D101" s="1984"/>
      <c r="E101" s="980"/>
      <c r="F101" s="981"/>
      <c r="G101" s="982"/>
      <c r="H101" s="983"/>
      <c r="I101" s="1983">
        <f>SUM(I96:J100)</f>
        <v>58.14</v>
      </c>
      <c r="J101" s="1984"/>
      <c r="K101" s="984"/>
      <c r="L101" s="985"/>
      <c r="M101" s="984"/>
      <c r="N101" s="991"/>
      <c r="O101" s="136"/>
      <c r="P101" s="1401">
        <f>SUM(P95:P100)</f>
        <v>71.900000000000006</v>
      </c>
      <c r="Q101" s="984"/>
      <c r="R101" s="991"/>
      <c r="S101" s="984"/>
      <c r="T101" s="991"/>
      <c r="U101" s="136"/>
      <c r="V101" s="1401">
        <f>SUM(V96:V100)</f>
        <v>78.349999999999994</v>
      </c>
      <c r="W101" s="984"/>
      <c r="X101" s="991"/>
      <c r="Y101" s="984"/>
      <c r="Z101" s="977"/>
      <c r="AA101" s="28"/>
      <c r="AB101" s="28"/>
      <c r="AC101" s="1106"/>
      <c r="AD101" s="3"/>
      <c r="AE101" s="3"/>
    </row>
    <row r="102" spans="1:31" ht="13.5" thickBot="1" x14ac:dyDescent="0.25">
      <c r="A102" s="930"/>
      <c r="B102" s="1334" t="s">
        <v>204</v>
      </c>
      <c r="C102" s="2056"/>
      <c r="D102" s="2055"/>
      <c r="E102" s="989"/>
      <c r="F102" s="990"/>
      <c r="G102" s="975"/>
      <c r="H102" s="991"/>
      <c r="I102" s="2056"/>
      <c r="J102" s="2055"/>
      <c r="K102" s="984"/>
      <c r="L102" s="985"/>
      <c r="M102" s="984"/>
      <c r="N102" s="991"/>
      <c r="O102" s="136"/>
      <c r="P102" s="1422"/>
      <c r="Q102" s="984"/>
      <c r="R102" s="991"/>
      <c r="S102" s="984"/>
      <c r="T102" s="991"/>
      <c r="U102" s="136"/>
      <c r="V102" s="1422"/>
      <c r="W102" s="984"/>
      <c r="X102" s="991"/>
      <c r="Y102" s="984"/>
      <c r="Z102" s="977"/>
      <c r="AA102" s="28"/>
      <c r="AB102" s="28"/>
      <c r="AC102" s="1106"/>
      <c r="AD102" s="3"/>
      <c r="AE102" s="3"/>
    </row>
    <row r="103" spans="1:31" x14ac:dyDescent="0.2">
      <c r="A103" s="930"/>
      <c r="B103" s="1331" t="s">
        <v>198</v>
      </c>
      <c r="C103" s="2043">
        <v>3862</v>
      </c>
      <c r="D103" s="2044"/>
      <c r="E103" s="992"/>
      <c r="F103" s="993"/>
      <c r="G103" s="994"/>
      <c r="H103" s="995"/>
      <c r="I103" s="2043">
        <v>4133</v>
      </c>
      <c r="J103" s="2044"/>
      <c r="K103" s="984"/>
      <c r="L103" s="985"/>
      <c r="M103" s="984"/>
      <c r="N103" s="991"/>
      <c r="O103" s="136"/>
      <c r="P103" s="1462">
        <v>3646</v>
      </c>
      <c r="Q103" s="984"/>
      <c r="R103" s="991"/>
      <c r="S103" s="984"/>
      <c r="T103" s="991"/>
      <c r="U103" s="136"/>
      <c r="V103" s="1462">
        <v>3384</v>
      </c>
      <c r="W103" s="984"/>
      <c r="X103" s="991"/>
      <c r="Y103" s="984"/>
      <c r="Z103" s="977"/>
      <c r="AA103" s="28"/>
      <c r="AB103" s="28"/>
      <c r="AC103" s="1473"/>
      <c r="AD103" s="3"/>
      <c r="AE103" s="3"/>
    </row>
    <row r="104" spans="1:31" x14ac:dyDescent="0.2">
      <c r="A104" s="930"/>
      <c r="B104" s="1333" t="s">
        <v>199</v>
      </c>
      <c r="C104" s="2043">
        <v>3267</v>
      </c>
      <c r="D104" s="2044"/>
      <c r="E104" s="992"/>
      <c r="F104" s="993"/>
      <c r="G104" s="994"/>
      <c r="H104" s="995"/>
      <c r="I104" s="2043">
        <v>3645</v>
      </c>
      <c r="J104" s="2044"/>
      <c r="K104" s="984"/>
      <c r="L104" s="985"/>
      <c r="M104" s="984"/>
      <c r="N104" s="991"/>
      <c r="O104" s="136"/>
      <c r="P104" s="1462">
        <v>3276</v>
      </c>
      <c r="Q104" s="984"/>
      <c r="R104" s="991"/>
      <c r="S104" s="984"/>
      <c r="T104" s="991"/>
      <c r="U104" s="136"/>
      <c r="V104" s="1462">
        <v>3747</v>
      </c>
      <c r="W104" s="984"/>
      <c r="X104" s="991"/>
      <c r="Y104" s="984"/>
      <c r="Z104" s="977"/>
      <c r="AA104" s="28"/>
      <c r="AB104" s="28"/>
      <c r="AC104" s="1473"/>
      <c r="AD104" s="3"/>
      <c r="AE104" s="3"/>
    </row>
    <row r="105" spans="1:31" x14ac:dyDescent="0.2">
      <c r="A105" s="930"/>
      <c r="B105" s="1333" t="s">
        <v>200</v>
      </c>
      <c r="C105" s="2043">
        <v>6240</v>
      </c>
      <c r="D105" s="2044"/>
      <c r="E105" s="992"/>
      <c r="F105" s="993"/>
      <c r="G105" s="994"/>
      <c r="H105" s="995"/>
      <c r="I105" s="2043">
        <v>5283</v>
      </c>
      <c r="J105" s="2044"/>
      <c r="K105" s="984"/>
      <c r="L105" s="985"/>
      <c r="M105" s="984"/>
      <c r="N105" s="991"/>
      <c r="O105" s="136"/>
      <c r="P105" s="1462">
        <v>5215</v>
      </c>
      <c r="Q105" s="984"/>
      <c r="R105" s="991"/>
      <c r="S105" s="984"/>
      <c r="T105" s="991"/>
      <c r="U105" s="136"/>
      <c r="V105" s="1462">
        <f>1963+4014</f>
        <v>5977</v>
      </c>
      <c r="W105" s="984"/>
      <c r="X105" s="991"/>
      <c r="Y105" s="984"/>
      <c r="Z105" s="977"/>
      <c r="AA105" s="28"/>
      <c r="AB105" s="28"/>
      <c r="AC105" s="1473"/>
      <c r="AD105" s="3"/>
      <c r="AE105" s="3"/>
    </row>
    <row r="106" spans="1:31" x14ac:dyDescent="0.2">
      <c r="A106" s="930"/>
      <c r="B106" s="1333" t="s">
        <v>209</v>
      </c>
      <c r="C106" s="2043">
        <f>SUM(C103:D105)</f>
        <v>13369</v>
      </c>
      <c r="D106" s="2044"/>
      <c r="E106" s="992"/>
      <c r="F106" s="993"/>
      <c r="G106" s="994"/>
      <c r="H106" s="995"/>
      <c r="I106" s="2043">
        <f>SUM(I103:J105)</f>
        <v>13061</v>
      </c>
      <c r="J106" s="2044"/>
      <c r="K106" s="984"/>
      <c r="L106" s="985"/>
      <c r="M106" s="984"/>
      <c r="N106" s="991"/>
      <c r="O106" s="136"/>
      <c r="P106" s="1462">
        <f>SUM(P103:P105)</f>
        <v>12137</v>
      </c>
      <c r="Q106" s="984"/>
      <c r="R106" s="991"/>
      <c r="S106" s="984"/>
      <c r="T106" s="991"/>
      <c r="U106" s="136"/>
      <c r="V106" s="1462">
        <f>SUM(V103:V105)</f>
        <v>13108</v>
      </c>
      <c r="W106" s="984"/>
      <c r="X106" s="991"/>
      <c r="Y106" s="984"/>
      <c r="Z106" s="977"/>
      <c r="AA106" s="28"/>
      <c r="AB106" s="28"/>
      <c r="AC106" s="1473"/>
      <c r="AD106" s="3"/>
      <c r="AE106" s="3"/>
    </row>
    <row r="107" spans="1:31" ht="13.5" thickBot="1" x14ac:dyDescent="0.25">
      <c r="A107" s="930"/>
      <c r="B107" s="1334" t="s">
        <v>205</v>
      </c>
      <c r="C107" s="2056"/>
      <c r="D107" s="2055"/>
      <c r="E107" s="989"/>
      <c r="F107" s="990"/>
      <c r="G107" s="975"/>
      <c r="H107" s="991"/>
      <c r="I107" s="2056"/>
      <c r="J107" s="2055"/>
      <c r="K107" s="984"/>
      <c r="L107" s="985"/>
      <c r="M107" s="984"/>
      <c r="N107" s="991"/>
      <c r="O107" s="136"/>
      <c r="P107" s="1422"/>
      <c r="Q107" s="984"/>
      <c r="R107" s="991"/>
      <c r="S107" s="984"/>
      <c r="T107" s="991"/>
      <c r="U107" s="136"/>
      <c r="V107" s="1422"/>
      <c r="W107" s="984"/>
      <c r="X107" s="991"/>
      <c r="Y107" s="984"/>
      <c r="Z107" s="977"/>
      <c r="AA107" s="28"/>
      <c r="AB107" s="28"/>
      <c r="AC107" s="1106"/>
      <c r="AD107" s="28"/>
      <c r="AE107" s="28"/>
    </row>
    <row r="108" spans="1:31" x14ac:dyDescent="0.2">
      <c r="A108" s="930"/>
      <c r="B108" s="1331" t="s">
        <v>206</v>
      </c>
      <c r="C108" s="1985">
        <f>C103/C96</f>
        <v>268.19444444444446</v>
      </c>
      <c r="D108" s="1986"/>
      <c r="E108" s="996"/>
      <c r="F108" s="997"/>
      <c r="G108" s="998"/>
      <c r="H108" s="999"/>
      <c r="I108" s="1985">
        <f>I103/I96</f>
        <v>248.37740384615384</v>
      </c>
      <c r="J108" s="1986"/>
      <c r="K108" s="1000"/>
      <c r="L108" s="1001"/>
      <c r="M108" s="1000"/>
      <c r="N108" s="999"/>
      <c r="O108" s="494"/>
      <c r="P108" s="1402">
        <f>P103/P96</f>
        <v>123.17567567567566</v>
      </c>
      <c r="Q108" s="1000"/>
      <c r="R108" s="999"/>
      <c r="S108" s="1000"/>
      <c r="T108" s="999"/>
      <c r="U108" s="494"/>
      <c r="V108" s="1402">
        <f>V103/V96</f>
        <v>120</v>
      </c>
      <c r="W108" s="1000"/>
      <c r="X108" s="999"/>
      <c r="Y108" s="1000"/>
      <c r="Z108" s="1460"/>
      <c r="AA108" s="668"/>
      <c r="AB108" s="668"/>
      <c r="AC108" s="1106"/>
      <c r="AD108" s="21"/>
      <c r="AE108" s="21"/>
    </row>
    <row r="109" spans="1:31" x14ac:dyDescent="0.2">
      <c r="A109" s="930"/>
      <c r="B109" s="1333" t="s">
        <v>207</v>
      </c>
      <c r="C109" s="1985">
        <f>C104/C98</f>
        <v>172.85714285714286</v>
      </c>
      <c r="D109" s="1986"/>
      <c r="E109" s="996"/>
      <c r="F109" s="997"/>
      <c r="G109" s="998"/>
      <c r="H109" s="999"/>
      <c r="I109" s="1985">
        <f>I104/I98</f>
        <v>169.53488372093022</v>
      </c>
      <c r="J109" s="1986"/>
      <c r="K109" s="1000"/>
      <c r="L109" s="1001"/>
      <c r="M109" s="1000"/>
      <c r="N109" s="999"/>
      <c r="O109" s="494"/>
      <c r="P109" s="1402">
        <f>P104/P98</f>
        <v>163.80000000000001</v>
      </c>
      <c r="Q109" s="1000"/>
      <c r="R109" s="999"/>
      <c r="S109" s="1000"/>
      <c r="T109" s="999"/>
      <c r="U109" s="494"/>
      <c r="V109" s="1402">
        <f>V104/(V98+V99)</f>
        <v>170.31818181818181</v>
      </c>
      <c r="W109" s="1000"/>
      <c r="X109" s="999"/>
      <c r="Y109" s="1000"/>
      <c r="Z109" s="1460"/>
      <c r="AA109" s="668"/>
      <c r="AB109" s="668"/>
      <c r="AC109" s="1106"/>
      <c r="AD109" s="21"/>
      <c r="AE109" s="21"/>
    </row>
    <row r="110" spans="1:31" x14ac:dyDescent="0.2">
      <c r="A110" s="930"/>
      <c r="B110" s="1333" t="s">
        <v>208</v>
      </c>
      <c r="C110" s="1985">
        <f>C105/C100</f>
        <v>231.11111111111111</v>
      </c>
      <c r="D110" s="1986"/>
      <c r="E110" s="996"/>
      <c r="F110" s="997"/>
      <c r="G110" s="998"/>
      <c r="H110" s="999"/>
      <c r="I110" s="1985">
        <f>I105/I100</f>
        <v>270.92307692307691</v>
      </c>
      <c r="J110" s="1986"/>
      <c r="K110" s="1000"/>
      <c r="L110" s="1001"/>
      <c r="M110" s="1000"/>
      <c r="N110" s="999"/>
      <c r="O110" s="494"/>
      <c r="P110" s="1402">
        <f>P105/P100</f>
        <v>239.22018348623851</v>
      </c>
      <c r="Q110" s="1000"/>
      <c r="R110" s="999"/>
      <c r="S110" s="1000"/>
      <c r="T110" s="999"/>
      <c r="U110" s="494"/>
      <c r="V110" s="1402">
        <f>V105/V100</f>
        <v>212.32682060390763</v>
      </c>
      <c r="W110" s="1000"/>
      <c r="X110" s="999"/>
      <c r="Y110" s="1000"/>
      <c r="Z110" s="1460"/>
      <c r="AA110" s="668"/>
      <c r="AB110" s="668"/>
      <c r="AC110" s="1106"/>
      <c r="AD110" s="21"/>
      <c r="AE110" s="21"/>
    </row>
    <row r="111" spans="1:31" ht="13.5" thickBot="1" x14ac:dyDescent="0.25">
      <c r="A111" s="930"/>
      <c r="B111" s="1335" t="s">
        <v>201</v>
      </c>
      <c r="C111" s="2045">
        <f>C106/C101</f>
        <v>219.88486842105263</v>
      </c>
      <c r="D111" s="2046"/>
      <c r="E111" s="1003"/>
      <c r="F111" s="1004"/>
      <c r="G111" s="1005"/>
      <c r="H111" s="1006"/>
      <c r="I111" s="2045">
        <f>I106/I101</f>
        <v>224.64740282077744</v>
      </c>
      <c r="J111" s="2046"/>
      <c r="K111" s="1005"/>
      <c r="L111" s="1006"/>
      <c r="M111" s="1005"/>
      <c r="N111" s="1006"/>
      <c r="O111" s="1233"/>
      <c r="P111" s="1423">
        <f>P106/P101</f>
        <v>168.80389429763559</v>
      </c>
      <c r="Q111" s="1005"/>
      <c r="R111" s="1006"/>
      <c r="S111" s="1005"/>
      <c r="T111" s="1006"/>
      <c r="U111" s="1233"/>
      <c r="V111" s="1423">
        <f>V106/V101</f>
        <v>167.30057434588386</v>
      </c>
      <c r="W111" s="1005"/>
      <c r="X111" s="1006"/>
      <c r="Y111" s="1005"/>
      <c r="Z111" s="1461"/>
      <c r="AA111" s="668"/>
      <c r="AB111" s="668"/>
      <c r="AC111" s="1106"/>
      <c r="AD111" s="21"/>
      <c r="AE111" s="21"/>
    </row>
    <row r="112" spans="1:31" ht="13.5" thickTop="1" x14ac:dyDescent="0.2">
      <c r="A112" s="3"/>
      <c r="B112" s="3" t="str">
        <f>Dean_AS!B169</f>
        <v>*Note: Beginning with the 2009 collection cycle, Instructional FTE was defined according to the national Delaware Study of Instructional Costs and Productivity</v>
      </c>
      <c r="AC112" s="91"/>
    </row>
    <row r="113" spans="1:25" x14ac:dyDescent="0.2">
      <c r="A113" s="3"/>
      <c r="B113" s="3"/>
    </row>
    <row r="114" spans="1:25" x14ac:dyDescent="0.2">
      <c r="A114" s="3"/>
      <c r="B114" s="3"/>
      <c r="Q114" s="1" t="s">
        <v>29</v>
      </c>
      <c r="S114" s="1" t="s">
        <v>29</v>
      </c>
      <c r="U114" s="1" t="s">
        <v>29</v>
      </c>
      <c r="W114" s="1" t="s">
        <v>29</v>
      </c>
      <c r="Y114" s="1" t="s">
        <v>29</v>
      </c>
    </row>
    <row r="115" spans="1:25" x14ac:dyDescent="0.2">
      <c r="A115" s="3"/>
      <c r="B115" s="3"/>
    </row>
    <row r="116" spans="1:25" x14ac:dyDescent="0.2">
      <c r="A116" s="3"/>
      <c r="B116" s="3"/>
    </row>
    <row r="117" spans="1:25" x14ac:dyDescent="0.2">
      <c r="A117" s="3"/>
      <c r="B117" s="3"/>
    </row>
    <row r="118" spans="1:25" x14ac:dyDescent="0.2">
      <c r="A118" s="3"/>
      <c r="B118" s="3"/>
    </row>
    <row r="119" spans="1:25" x14ac:dyDescent="0.2">
      <c r="A119" s="3"/>
      <c r="B119" s="3"/>
    </row>
    <row r="120" spans="1:25" x14ac:dyDescent="0.2">
      <c r="A120" s="3"/>
      <c r="B120" s="3"/>
    </row>
    <row r="121" spans="1:25" x14ac:dyDescent="0.2">
      <c r="A121" s="3"/>
      <c r="B121" s="3"/>
    </row>
    <row r="122" spans="1:25" x14ac:dyDescent="0.2">
      <c r="A122" s="3"/>
      <c r="B122" s="3"/>
    </row>
    <row r="123" spans="1:25" x14ac:dyDescent="0.2">
      <c r="A123" s="3"/>
      <c r="B123" s="3"/>
    </row>
    <row r="124" spans="1:25" x14ac:dyDescent="0.2">
      <c r="A124" s="3"/>
      <c r="B124" s="3"/>
    </row>
    <row r="125" spans="1:25" x14ac:dyDescent="0.2">
      <c r="A125" s="3"/>
      <c r="B125" s="3"/>
    </row>
    <row r="126" spans="1:25" x14ac:dyDescent="0.2">
      <c r="A126" s="3"/>
      <c r="B126" s="3"/>
    </row>
    <row r="127" spans="1:25" x14ac:dyDescent="0.2">
      <c r="A127" s="3"/>
      <c r="B127" s="3"/>
    </row>
    <row r="128" spans="1:25" x14ac:dyDescent="0.2">
      <c r="A128" s="3"/>
      <c r="B128" s="3"/>
    </row>
    <row r="129" spans="1:2" x14ac:dyDescent="0.2">
      <c r="A129" s="3"/>
      <c r="B129" s="3"/>
    </row>
    <row r="130" spans="1:2" x14ac:dyDescent="0.2">
      <c r="A130" s="3"/>
      <c r="B130" s="3"/>
    </row>
    <row r="131" spans="1:2" x14ac:dyDescent="0.2">
      <c r="A131" s="3"/>
      <c r="B131" s="3"/>
    </row>
    <row r="132" spans="1:2" x14ac:dyDescent="0.2">
      <c r="A132" s="3"/>
      <c r="B132" s="3"/>
    </row>
    <row r="133" spans="1:2" x14ac:dyDescent="0.2">
      <c r="A133" s="3"/>
      <c r="B133" s="3"/>
    </row>
    <row r="134" spans="1:2" x14ac:dyDescent="0.2">
      <c r="A134" s="3"/>
      <c r="B134" s="3"/>
    </row>
    <row r="135" spans="1:2" x14ac:dyDescent="0.2">
      <c r="A135" s="3"/>
      <c r="B135" s="3"/>
    </row>
    <row r="136" spans="1:2" x14ac:dyDescent="0.2">
      <c r="A136" s="3"/>
      <c r="B136" s="3"/>
    </row>
    <row r="137" spans="1:2" x14ac:dyDescent="0.2">
      <c r="A137" s="3"/>
      <c r="B137" s="3"/>
    </row>
    <row r="138" spans="1:2" x14ac:dyDescent="0.2">
      <c r="A138" s="3"/>
      <c r="B138" s="3"/>
    </row>
    <row r="139" spans="1:2" x14ac:dyDescent="0.2">
      <c r="A139" s="3"/>
      <c r="B139" s="3"/>
    </row>
    <row r="140" spans="1:2" x14ac:dyDescent="0.2">
      <c r="A140" s="3"/>
      <c r="B140" s="3"/>
    </row>
    <row r="141" spans="1:2" x14ac:dyDescent="0.2">
      <c r="A141" s="3"/>
      <c r="B141" s="3"/>
    </row>
    <row r="142" spans="1:2" x14ac:dyDescent="0.2">
      <c r="A142" s="3"/>
      <c r="B142" s="3"/>
    </row>
    <row r="143" spans="1:2" x14ac:dyDescent="0.2">
      <c r="A143" s="3"/>
      <c r="B143" s="3"/>
    </row>
    <row r="144" spans="1:2" x14ac:dyDescent="0.2">
      <c r="A144" s="3"/>
      <c r="B144" s="3"/>
    </row>
    <row r="145" spans="1:2" x14ac:dyDescent="0.2">
      <c r="A145" s="3"/>
      <c r="B145" s="3"/>
    </row>
    <row r="146" spans="1:2" x14ac:dyDescent="0.2">
      <c r="A146" s="3"/>
      <c r="B146" s="3"/>
    </row>
    <row r="147" spans="1:2" x14ac:dyDescent="0.2">
      <c r="A147" s="3"/>
      <c r="B147" s="3"/>
    </row>
    <row r="148" spans="1:2" x14ac:dyDescent="0.2">
      <c r="A148" s="3"/>
      <c r="B148" s="3"/>
    </row>
    <row r="149" spans="1:2" x14ac:dyDescent="0.2">
      <c r="A149" s="3"/>
      <c r="B149" s="3"/>
    </row>
    <row r="150" spans="1:2" x14ac:dyDescent="0.2">
      <c r="A150" s="3"/>
      <c r="B150" s="3"/>
    </row>
    <row r="151" spans="1:2" x14ac:dyDescent="0.2">
      <c r="A151" s="3"/>
      <c r="B151" s="3"/>
    </row>
    <row r="152" spans="1:2" x14ac:dyDescent="0.2">
      <c r="A152" s="3"/>
      <c r="B152" s="3"/>
    </row>
    <row r="153" spans="1:2" x14ac:dyDescent="0.2">
      <c r="A153" s="3"/>
      <c r="B153" s="3"/>
    </row>
    <row r="154" spans="1:2" x14ac:dyDescent="0.2">
      <c r="A154" s="3"/>
      <c r="B154" s="3"/>
    </row>
    <row r="155" spans="1:2" x14ac:dyDescent="0.2">
      <c r="A155" s="3"/>
      <c r="B155" s="3"/>
    </row>
    <row r="156" spans="1:2" x14ac:dyDescent="0.2">
      <c r="A156" s="3"/>
      <c r="B156" s="3"/>
    </row>
    <row r="157" spans="1:2" x14ac:dyDescent="0.2">
      <c r="A157" s="3"/>
      <c r="B157" s="3"/>
    </row>
    <row r="158" spans="1:2" x14ac:dyDescent="0.2">
      <c r="A158" s="3"/>
      <c r="B158" s="3"/>
    </row>
    <row r="159" spans="1:2" x14ac:dyDescent="0.2">
      <c r="A159" s="3"/>
      <c r="B159" s="3"/>
    </row>
    <row r="160" spans="1:2" x14ac:dyDescent="0.2">
      <c r="A160" s="3"/>
      <c r="B160" s="3"/>
    </row>
    <row r="161" spans="1:2" x14ac:dyDescent="0.2">
      <c r="A161" s="3"/>
      <c r="B161" s="3"/>
    </row>
    <row r="162" spans="1:2" x14ac:dyDescent="0.2">
      <c r="A162" s="3"/>
      <c r="B162" s="3"/>
    </row>
    <row r="163" spans="1:2" x14ac:dyDescent="0.2">
      <c r="A163" s="3"/>
      <c r="B163" s="3"/>
    </row>
    <row r="164" spans="1:2" x14ac:dyDescent="0.2">
      <c r="A164" s="3"/>
      <c r="B164" s="3"/>
    </row>
    <row r="165" spans="1:2" x14ac:dyDescent="0.2">
      <c r="A165" s="3"/>
      <c r="B165" s="3"/>
    </row>
    <row r="166" spans="1:2" x14ac:dyDescent="0.2">
      <c r="A166" s="3"/>
      <c r="B166" s="3"/>
    </row>
    <row r="167" spans="1:2" x14ac:dyDescent="0.2">
      <c r="A167" s="3"/>
      <c r="B167" s="3"/>
    </row>
    <row r="168" spans="1:2" x14ac:dyDescent="0.2">
      <c r="A168" s="3"/>
      <c r="B168" s="3"/>
    </row>
    <row r="169" spans="1:2" x14ac:dyDescent="0.2">
      <c r="A169" s="3"/>
      <c r="B169" s="3"/>
    </row>
    <row r="170" spans="1:2" x14ac:dyDescent="0.2">
      <c r="A170" s="3"/>
      <c r="B170" s="3"/>
    </row>
    <row r="171" spans="1:2" x14ac:dyDescent="0.2">
      <c r="A171" s="3"/>
      <c r="B171" s="3"/>
    </row>
    <row r="172" spans="1:2" x14ac:dyDescent="0.2">
      <c r="A172" s="3"/>
      <c r="B172" s="3"/>
    </row>
    <row r="173" spans="1:2" x14ac:dyDescent="0.2">
      <c r="A173" s="3"/>
      <c r="B173" s="3"/>
    </row>
    <row r="174" spans="1:2" x14ac:dyDescent="0.2">
      <c r="A174" s="3"/>
      <c r="B174" s="3"/>
    </row>
    <row r="175" spans="1:2" x14ac:dyDescent="0.2">
      <c r="A175" s="3"/>
      <c r="B175" s="3"/>
    </row>
    <row r="176" spans="1:2" x14ac:dyDescent="0.2">
      <c r="A176" s="3"/>
      <c r="B176" s="3"/>
    </row>
    <row r="177" spans="1:2" x14ac:dyDescent="0.2">
      <c r="A177" s="3"/>
      <c r="B177" s="3"/>
    </row>
    <row r="178" spans="1:2" x14ac:dyDescent="0.2">
      <c r="A178" s="3"/>
      <c r="B178" s="3"/>
    </row>
    <row r="179" spans="1:2" x14ac:dyDescent="0.2">
      <c r="A179" s="3"/>
      <c r="B179" s="3"/>
    </row>
    <row r="180" spans="1:2" x14ac:dyDescent="0.2">
      <c r="A180" s="3"/>
      <c r="B180" s="3"/>
    </row>
    <row r="181" spans="1:2" x14ac:dyDescent="0.2">
      <c r="A181" s="3"/>
      <c r="B181" s="3"/>
    </row>
    <row r="182" spans="1:2" x14ac:dyDescent="0.2">
      <c r="A182" s="3"/>
      <c r="B182" s="3"/>
    </row>
    <row r="183" spans="1:2" x14ac:dyDescent="0.2">
      <c r="A183" s="3"/>
      <c r="B183" s="3"/>
    </row>
    <row r="184" spans="1:2" x14ac:dyDescent="0.2">
      <c r="A184" s="3"/>
      <c r="B184" s="3"/>
    </row>
    <row r="185" spans="1:2" x14ac:dyDescent="0.2">
      <c r="A185" s="3"/>
      <c r="B185" s="3"/>
    </row>
    <row r="186" spans="1:2" x14ac:dyDescent="0.2">
      <c r="A186" s="3"/>
      <c r="B186" s="3"/>
    </row>
    <row r="187" spans="1:2" x14ac:dyDescent="0.2">
      <c r="A187" s="3"/>
      <c r="B187" s="3"/>
    </row>
    <row r="188" spans="1:2" x14ac:dyDescent="0.2">
      <c r="A188" s="3"/>
      <c r="B188" s="3"/>
    </row>
    <row r="189" spans="1:2" x14ac:dyDescent="0.2">
      <c r="A189" s="3"/>
      <c r="B189" s="3"/>
    </row>
    <row r="190" spans="1:2" x14ac:dyDescent="0.2">
      <c r="A190" s="3"/>
      <c r="B190" s="3"/>
    </row>
    <row r="191" spans="1:2" x14ac:dyDescent="0.2">
      <c r="A191" s="3"/>
      <c r="B191" s="3"/>
    </row>
    <row r="192" spans="1:2" x14ac:dyDescent="0.2">
      <c r="A192" s="3"/>
      <c r="B192" s="3"/>
    </row>
    <row r="193" spans="1:2" x14ac:dyDescent="0.2">
      <c r="A193" s="3"/>
      <c r="B193" s="3"/>
    </row>
    <row r="194" spans="1:2" x14ac:dyDescent="0.2">
      <c r="A194" s="3"/>
      <c r="B194" s="3"/>
    </row>
    <row r="195" spans="1:2" x14ac:dyDescent="0.2">
      <c r="A195" s="3"/>
      <c r="B195" s="3"/>
    </row>
    <row r="196" spans="1:2" x14ac:dyDescent="0.2">
      <c r="A196" s="3"/>
      <c r="B196" s="3"/>
    </row>
    <row r="197" spans="1:2" x14ac:dyDescent="0.2">
      <c r="A197" s="3"/>
      <c r="B197" s="3"/>
    </row>
    <row r="198" spans="1:2" x14ac:dyDescent="0.2">
      <c r="A198" s="3"/>
      <c r="B198" s="3"/>
    </row>
    <row r="199" spans="1:2" x14ac:dyDescent="0.2">
      <c r="A199" s="3"/>
      <c r="B199" s="3"/>
    </row>
    <row r="200" spans="1:2" x14ac:dyDescent="0.2">
      <c r="A200" s="3"/>
      <c r="B200" s="3"/>
    </row>
    <row r="201" spans="1:2" x14ac:dyDescent="0.2">
      <c r="A201" s="3"/>
      <c r="B201" s="3"/>
    </row>
    <row r="202" spans="1:2" x14ac:dyDescent="0.2">
      <c r="A202" s="3"/>
      <c r="B202" s="3"/>
    </row>
    <row r="203" spans="1:2" x14ac:dyDescent="0.2">
      <c r="A203" s="3"/>
      <c r="B203" s="3"/>
    </row>
    <row r="204" spans="1:2" x14ac:dyDescent="0.2">
      <c r="A204" s="3"/>
      <c r="B204" s="3"/>
    </row>
    <row r="205" spans="1:2" x14ac:dyDescent="0.2">
      <c r="A205" s="3"/>
      <c r="B205" s="3"/>
    </row>
    <row r="206" spans="1:2" x14ac:dyDescent="0.2">
      <c r="A206" s="3"/>
      <c r="B206" s="3"/>
    </row>
    <row r="207" spans="1:2" x14ac:dyDescent="0.2">
      <c r="A207" s="3"/>
      <c r="B207" s="3"/>
    </row>
    <row r="208" spans="1:2" x14ac:dyDescent="0.2">
      <c r="A208" s="3"/>
      <c r="B208" s="3"/>
    </row>
    <row r="209" spans="1:2" x14ac:dyDescent="0.2">
      <c r="A209" s="3"/>
      <c r="B209" s="3"/>
    </row>
    <row r="210" spans="1:2" x14ac:dyDescent="0.2">
      <c r="A210" s="3"/>
      <c r="B210" s="3"/>
    </row>
    <row r="211" spans="1:2" x14ac:dyDescent="0.2">
      <c r="A211" s="3"/>
      <c r="B211" s="3"/>
    </row>
    <row r="212" spans="1:2" x14ac:dyDescent="0.2">
      <c r="A212" s="3"/>
      <c r="B212" s="3"/>
    </row>
    <row r="213" spans="1:2" x14ac:dyDescent="0.2">
      <c r="A213" s="3"/>
      <c r="B213" s="3"/>
    </row>
    <row r="214" spans="1:2" x14ac:dyDescent="0.2">
      <c r="A214" s="3"/>
      <c r="B214" s="3"/>
    </row>
    <row r="215" spans="1:2" x14ac:dyDescent="0.2">
      <c r="A215" s="3"/>
      <c r="B215" s="3"/>
    </row>
    <row r="216" spans="1:2" x14ac:dyDescent="0.2">
      <c r="A216" s="3"/>
      <c r="B216" s="3"/>
    </row>
    <row r="217" spans="1:2" x14ac:dyDescent="0.2">
      <c r="A217" s="3"/>
      <c r="B217" s="3"/>
    </row>
    <row r="218" spans="1:2" x14ac:dyDescent="0.2">
      <c r="A218" s="3"/>
      <c r="B218" s="3"/>
    </row>
    <row r="219" spans="1:2" x14ac:dyDescent="0.2">
      <c r="A219" s="3"/>
      <c r="B219" s="3"/>
    </row>
    <row r="220" spans="1:2" x14ac:dyDescent="0.2">
      <c r="A220" s="3"/>
      <c r="B220" s="3"/>
    </row>
    <row r="221" spans="1:2" x14ac:dyDescent="0.2">
      <c r="A221" s="3"/>
      <c r="B221" s="3"/>
    </row>
    <row r="222" spans="1:2" x14ac:dyDescent="0.2">
      <c r="A222" s="3"/>
      <c r="B222" s="3"/>
    </row>
    <row r="223" spans="1:2" x14ac:dyDescent="0.2">
      <c r="A223" s="3"/>
      <c r="B223" s="3"/>
    </row>
    <row r="224" spans="1:2" x14ac:dyDescent="0.2">
      <c r="A224" s="3"/>
      <c r="B224" s="3"/>
    </row>
    <row r="225" spans="1:2" x14ac:dyDescent="0.2">
      <c r="A225" s="3"/>
      <c r="B225" s="3"/>
    </row>
    <row r="226" spans="1:2" x14ac:dyDescent="0.2">
      <c r="A226" s="3"/>
      <c r="B226" s="3"/>
    </row>
    <row r="227" spans="1:2" x14ac:dyDescent="0.2">
      <c r="A227" s="3"/>
      <c r="B227" s="3"/>
    </row>
    <row r="228" spans="1:2" x14ac:dyDescent="0.2">
      <c r="A228" s="3"/>
      <c r="B228" s="3"/>
    </row>
    <row r="229" spans="1:2" x14ac:dyDescent="0.2">
      <c r="A229" s="3"/>
      <c r="B229" s="3"/>
    </row>
    <row r="230" spans="1:2" x14ac:dyDescent="0.2">
      <c r="A230" s="3"/>
      <c r="B230" s="3"/>
    </row>
    <row r="231" spans="1:2" x14ac:dyDescent="0.2">
      <c r="A231" s="3"/>
      <c r="B231" s="3"/>
    </row>
    <row r="232" spans="1:2" x14ac:dyDescent="0.2">
      <c r="A232" s="3"/>
      <c r="B232" s="3"/>
    </row>
    <row r="233" spans="1:2" x14ac:dyDescent="0.2">
      <c r="A233" s="3"/>
      <c r="B233" s="3"/>
    </row>
    <row r="234" spans="1:2" x14ac:dyDescent="0.2">
      <c r="A234" s="3"/>
      <c r="B234" s="3"/>
    </row>
    <row r="235" spans="1:2" x14ac:dyDescent="0.2">
      <c r="A235" s="3"/>
      <c r="B235" s="3"/>
    </row>
    <row r="236" spans="1:2" x14ac:dyDescent="0.2">
      <c r="A236" s="3"/>
      <c r="B236" s="3"/>
    </row>
    <row r="237" spans="1:2" x14ac:dyDescent="0.2">
      <c r="A237" s="3"/>
      <c r="B237" s="3"/>
    </row>
    <row r="238" spans="1:2" x14ac:dyDescent="0.2">
      <c r="A238" s="3"/>
      <c r="B238" s="3"/>
    </row>
    <row r="239" spans="1:2" x14ac:dyDescent="0.2">
      <c r="A239" s="3"/>
      <c r="B239" s="3"/>
    </row>
    <row r="240" spans="1:2" x14ac:dyDescent="0.2">
      <c r="A240" s="3"/>
      <c r="B240" s="3"/>
    </row>
    <row r="241" spans="1:2" x14ac:dyDescent="0.2">
      <c r="A241" s="3"/>
      <c r="B241" s="3"/>
    </row>
    <row r="242" spans="1:2" x14ac:dyDescent="0.2">
      <c r="A242" s="3"/>
      <c r="B242" s="3"/>
    </row>
    <row r="243" spans="1:2" x14ac:dyDescent="0.2">
      <c r="A243" s="3"/>
      <c r="B243" s="3"/>
    </row>
    <row r="244" spans="1:2" x14ac:dyDescent="0.2">
      <c r="A244" s="3"/>
      <c r="B244" s="3"/>
    </row>
    <row r="245" spans="1:2" x14ac:dyDescent="0.2">
      <c r="A245" s="3"/>
      <c r="B245" s="3"/>
    </row>
    <row r="246" spans="1:2" x14ac:dyDescent="0.2">
      <c r="A246" s="3"/>
      <c r="B246" s="3"/>
    </row>
    <row r="247" spans="1:2" x14ac:dyDescent="0.2">
      <c r="A247" s="3"/>
      <c r="B247" s="3"/>
    </row>
    <row r="248" spans="1:2" x14ac:dyDescent="0.2">
      <c r="A248" s="3"/>
      <c r="B248" s="3"/>
    </row>
    <row r="249" spans="1:2" x14ac:dyDescent="0.2">
      <c r="A249" s="3"/>
      <c r="B249" s="3"/>
    </row>
    <row r="250" spans="1:2" x14ac:dyDescent="0.2">
      <c r="A250" s="3"/>
      <c r="B250" s="3"/>
    </row>
    <row r="251" spans="1:2" x14ac:dyDescent="0.2">
      <c r="A251" s="3"/>
      <c r="B251" s="3"/>
    </row>
    <row r="252" spans="1:2" x14ac:dyDescent="0.2">
      <c r="A252" s="3"/>
      <c r="B252" s="3"/>
    </row>
    <row r="253" spans="1:2" x14ac:dyDescent="0.2">
      <c r="A253" s="3"/>
      <c r="B253" s="3"/>
    </row>
    <row r="254" spans="1:2" x14ac:dyDescent="0.2">
      <c r="A254" s="3"/>
      <c r="B254" s="3"/>
    </row>
    <row r="255" spans="1:2" x14ac:dyDescent="0.2">
      <c r="A255" s="3"/>
      <c r="B255" s="3"/>
    </row>
    <row r="256" spans="1:2" x14ac:dyDescent="0.2">
      <c r="A256" s="3"/>
      <c r="B256" s="3"/>
    </row>
    <row r="257" spans="1:2" x14ac:dyDescent="0.2">
      <c r="A257" s="3"/>
      <c r="B257" s="3"/>
    </row>
    <row r="258" spans="1:2" x14ac:dyDescent="0.2">
      <c r="A258" s="3"/>
      <c r="B258" s="3"/>
    </row>
    <row r="259" spans="1:2" x14ac:dyDescent="0.2">
      <c r="A259" s="3"/>
      <c r="B259" s="3"/>
    </row>
    <row r="260" spans="1:2" x14ac:dyDescent="0.2">
      <c r="A260" s="3"/>
      <c r="B260" s="3"/>
    </row>
    <row r="261" spans="1:2" x14ac:dyDescent="0.2">
      <c r="A261" s="3"/>
      <c r="B261" s="3"/>
    </row>
    <row r="262" spans="1:2" x14ac:dyDescent="0.2">
      <c r="A262" s="3"/>
      <c r="B262" s="3"/>
    </row>
    <row r="263" spans="1:2" x14ac:dyDescent="0.2">
      <c r="A263" s="3"/>
      <c r="B263" s="3"/>
    </row>
    <row r="264" spans="1:2" x14ac:dyDescent="0.2">
      <c r="A264" s="3"/>
      <c r="B264" s="3"/>
    </row>
    <row r="265" spans="1:2" x14ac:dyDescent="0.2">
      <c r="A265" s="3"/>
      <c r="B265" s="3"/>
    </row>
    <row r="266" spans="1:2" x14ac:dyDescent="0.2">
      <c r="A266" s="3"/>
      <c r="B266" s="3"/>
    </row>
    <row r="267" spans="1:2" x14ac:dyDescent="0.2">
      <c r="A267" s="3"/>
      <c r="B267" s="3"/>
    </row>
    <row r="268" spans="1:2" x14ac:dyDescent="0.2">
      <c r="A268" s="3"/>
      <c r="B268" s="3"/>
    </row>
    <row r="269" spans="1:2" x14ac:dyDescent="0.2">
      <c r="A269" s="3"/>
      <c r="B269" s="3"/>
    </row>
    <row r="270" spans="1:2" x14ac:dyDescent="0.2">
      <c r="A270" s="3"/>
      <c r="B270" s="3"/>
    </row>
    <row r="271" spans="1:2" x14ac:dyDescent="0.2">
      <c r="A271" s="3"/>
      <c r="B271" s="3"/>
    </row>
    <row r="272" spans="1:2" x14ac:dyDescent="0.2">
      <c r="A272" s="3"/>
      <c r="B272" s="3"/>
    </row>
    <row r="273" spans="1:2" x14ac:dyDescent="0.2">
      <c r="A273" s="3"/>
      <c r="B273" s="3"/>
    </row>
    <row r="274" spans="1:2" x14ac:dyDescent="0.2">
      <c r="A274" s="3"/>
      <c r="B274" s="3"/>
    </row>
    <row r="275" spans="1:2" x14ac:dyDescent="0.2">
      <c r="A275" s="3"/>
      <c r="B275" s="3"/>
    </row>
    <row r="276" spans="1:2" x14ac:dyDescent="0.2">
      <c r="A276" s="3"/>
      <c r="B276" s="3"/>
    </row>
    <row r="277" spans="1:2" x14ac:dyDescent="0.2">
      <c r="A277" s="3"/>
      <c r="B277" s="3"/>
    </row>
    <row r="278" spans="1:2" x14ac:dyDescent="0.2">
      <c r="A278" s="3"/>
      <c r="B278" s="3"/>
    </row>
    <row r="279" spans="1:2" x14ac:dyDescent="0.2">
      <c r="A279" s="3"/>
      <c r="B279" s="3"/>
    </row>
    <row r="280" spans="1:2" x14ac:dyDescent="0.2">
      <c r="A280" s="3"/>
      <c r="B280" s="3"/>
    </row>
    <row r="281" spans="1:2" x14ac:dyDescent="0.2">
      <c r="A281" s="3"/>
      <c r="B281" s="3"/>
    </row>
    <row r="282" spans="1:2" x14ac:dyDescent="0.2">
      <c r="A282" s="3"/>
      <c r="B282" s="3"/>
    </row>
    <row r="283" spans="1:2" x14ac:dyDescent="0.2">
      <c r="A283" s="3"/>
      <c r="B283" s="3"/>
    </row>
    <row r="284" spans="1:2" x14ac:dyDescent="0.2">
      <c r="A284" s="3"/>
      <c r="B284" s="3"/>
    </row>
    <row r="285" spans="1:2" x14ac:dyDescent="0.2">
      <c r="A285" s="3"/>
      <c r="B285" s="3"/>
    </row>
    <row r="286" spans="1:2" x14ac:dyDescent="0.2">
      <c r="A286" s="3"/>
      <c r="B286" s="3"/>
    </row>
    <row r="287" spans="1:2" x14ac:dyDescent="0.2">
      <c r="A287" s="3"/>
      <c r="B287" s="3"/>
    </row>
    <row r="288" spans="1:2" x14ac:dyDescent="0.2">
      <c r="A288" s="3"/>
      <c r="B288" s="3"/>
    </row>
    <row r="289" spans="1:2" x14ac:dyDescent="0.2">
      <c r="A289" s="3"/>
      <c r="B289" s="3"/>
    </row>
    <row r="290" spans="1:2" x14ac:dyDescent="0.2">
      <c r="A290" s="3"/>
      <c r="B290" s="3"/>
    </row>
    <row r="291" spans="1:2" x14ac:dyDescent="0.2">
      <c r="A291" s="3"/>
      <c r="B291" s="3"/>
    </row>
    <row r="292" spans="1:2" x14ac:dyDescent="0.2">
      <c r="A292" s="3"/>
      <c r="B292" s="3"/>
    </row>
    <row r="293" spans="1:2" x14ac:dyDescent="0.2">
      <c r="A293" s="3"/>
      <c r="B293" s="3"/>
    </row>
    <row r="294" spans="1:2" x14ac:dyDescent="0.2">
      <c r="A294" s="3"/>
      <c r="B294" s="3"/>
    </row>
    <row r="295" spans="1:2" x14ac:dyDescent="0.2">
      <c r="A295" s="3"/>
      <c r="B295" s="3"/>
    </row>
    <row r="296" spans="1:2" x14ac:dyDescent="0.2">
      <c r="A296" s="3"/>
      <c r="B296" s="3"/>
    </row>
    <row r="297" spans="1:2" x14ac:dyDescent="0.2">
      <c r="A297" s="3"/>
      <c r="B297" s="3"/>
    </row>
    <row r="298" spans="1:2" x14ac:dyDescent="0.2">
      <c r="A298" s="3"/>
      <c r="B298" s="3"/>
    </row>
    <row r="299" spans="1:2" x14ac:dyDescent="0.2">
      <c r="A299" s="3"/>
      <c r="B299" s="3"/>
    </row>
    <row r="300" spans="1:2" x14ac:dyDescent="0.2">
      <c r="A300" s="3"/>
      <c r="B300" s="3"/>
    </row>
    <row r="301" spans="1:2" x14ac:dyDescent="0.2">
      <c r="A301" s="3"/>
      <c r="B301" s="3"/>
    </row>
    <row r="302" spans="1:2" x14ac:dyDescent="0.2">
      <c r="A302" s="3"/>
      <c r="B302" s="3"/>
    </row>
    <row r="303" spans="1:2" x14ac:dyDescent="0.2">
      <c r="A303" s="3"/>
      <c r="B303" s="3"/>
    </row>
    <row r="304" spans="1:2" x14ac:dyDescent="0.2">
      <c r="A304" s="3"/>
      <c r="B304" s="3"/>
    </row>
    <row r="305" spans="1:2" x14ac:dyDescent="0.2">
      <c r="A305" s="3"/>
      <c r="B305" s="3"/>
    </row>
    <row r="306" spans="1:2" x14ac:dyDescent="0.2">
      <c r="A306" s="3"/>
      <c r="B306" s="3"/>
    </row>
    <row r="307" spans="1:2" x14ac:dyDescent="0.2">
      <c r="A307" s="3"/>
      <c r="B307" s="3"/>
    </row>
    <row r="308" spans="1:2" x14ac:dyDescent="0.2">
      <c r="A308" s="3"/>
      <c r="B308" s="3"/>
    </row>
    <row r="309" spans="1:2" x14ac:dyDescent="0.2">
      <c r="A309" s="3"/>
      <c r="B309" s="3"/>
    </row>
    <row r="310" spans="1:2" x14ac:dyDescent="0.2">
      <c r="A310" s="3"/>
      <c r="B310" s="3"/>
    </row>
    <row r="311" spans="1:2" x14ac:dyDescent="0.2">
      <c r="A311" s="3"/>
      <c r="B311" s="3"/>
    </row>
    <row r="312" spans="1:2" x14ac:dyDescent="0.2">
      <c r="A312" s="3"/>
      <c r="B312" s="3"/>
    </row>
    <row r="313" spans="1:2" x14ac:dyDescent="0.2">
      <c r="A313" s="3"/>
      <c r="B313" s="3"/>
    </row>
    <row r="314" spans="1:2" x14ac:dyDescent="0.2">
      <c r="A314" s="3"/>
      <c r="B314" s="3"/>
    </row>
    <row r="315" spans="1:2" x14ac:dyDescent="0.2">
      <c r="A315" s="3"/>
      <c r="B315" s="3"/>
    </row>
    <row r="316" spans="1:2" x14ac:dyDescent="0.2">
      <c r="A316" s="3"/>
      <c r="B316" s="3"/>
    </row>
    <row r="317" spans="1:2" x14ac:dyDescent="0.2">
      <c r="A317" s="3"/>
      <c r="B317" s="3"/>
    </row>
    <row r="318" spans="1:2" x14ac:dyDescent="0.2">
      <c r="A318" s="3"/>
      <c r="B318" s="3"/>
    </row>
    <row r="319" spans="1:2" x14ac:dyDescent="0.2">
      <c r="A319" s="3"/>
      <c r="B319" s="3"/>
    </row>
    <row r="320" spans="1:2" x14ac:dyDescent="0.2">
      <c r="A320" s="3"/>
      <c r="B320" s="3"/>
    </row>
    <row r="321" spans="1:2" x14ac:dyDescent="0.2">
      <c r="A321" s="3"/>
      <c r="B321" s="3"/>
    </row>
    <row r="322" spans="1:2" x14ac:dyDescent="0.2">
      <c r="A322" s="3"/>
      <c r="B322" s="3"/>
    </row>
    <row r="323" spans="1:2" x14ac:dyDescent="0.2">
      <c r="A323" s="3"/>
      <c r="B323" s="3"/>
    </row>
    <row r="324" spans="1:2" x14ac:dyDescent="0.2">
      <c r="A324" s="3"/>
      <c r="B324" s="3"/>
    </row>
    <row r="325" spans="1:2" x14ac:dyDescent="0.2">
      <c r="A325" s="3"/>
      <c r="B325" s="3"/>
    </row>
    <row r="326" spans="1:2" x14ac:dyDescent="0.2">
      <c r="A326" s="3"/>
      <c r="B326" s="3"/>
    </row>
    <row r="327" spans="1:2" x14ac:dyDescent="0.2">
      <c r="A327" s="3"/>
      <c r="B327" s="3"/>
    </row>
    <row r="328" spans="1:2" x14ac:dyDescent="0.2">
      <c r="A328" s="3"/>
      <c r="B328" s="3"/>
    </row>
    <row r="329" spans="1:2" x14ac:dyDescent="0.2">
      <c r="A329" s="3"/>
      <c r="B329" s="3"/>
    </row>
    <row r="330" spans="1:2" x14ac:dyDescent="0.2">
      <c r="A330" s="3"/>
      <c r="B330" s="3"/>
    </row>
    <row r="331" spans="1:2" x14ac:dyDescent="0.2">
      <c r="A331" s="3"/>
      <c r="B331" s="3"/>
    </row>
    <row r="332" spans="1:2" x14ac:dyDescent="0.2">
      <c r="A332" s="3"/>
      <c r="B332" s="3"/>
    </row>
    <row r="333" spans="1:2" x14ac:dyDescent="0.2">
      <c r="A333" s="3"/>
      <c r="B333" s="3"/>
    </row>
    <row r="334" spans="1:2" x14ac:dyDescent="0.2">
      <c r="A334" s="3"/>
      <c r="B334" s="3"/>
    </row>
    <row r="335" spans="1:2" x14ac:dyDescent="0.2">
      <c r="A335" s="3"/>
      <c r="B335" s="3"/>
    </row>
    <row r="336" spans="1:2" x14ac:dyDescent="0.2">
      <c r="A336" s="3"/>
      <c r="B336" s="3"/>
    </row>
    <row r="337" spans="1:2" x14ac:dyDescent="0.2">
      <c r="A337" s="3"/>
      <c r="B337" s="3"/>
    </row>
    <row r="338" spans="1:2" x14ac:dyDescent="0.2">
      <c r="A338" s="3"/>
      <c r="B338" s="3"/>
    </row>
    <row r="339" spans="1:2" x14ac:dyDescent="0.2">
      <c r="A339" s="3"/>
      <c r="B339" s="3"/>
    </row>
    <row r="340" spans="1:2" x14ac:dyDescent="0.2">
      <c r="A340" s="3"/>
      <c r="B340" s="3"/>
    </row>
    <row r="341" spans="1:2" x14ac:dyDescent="0.2">
      <c r="A341" s="3"/>
      <c r="B341" s="3"/>
    </row>
    <row r="342" spans="1:2" x14ac:dyDescent="0.2">
      <c r="A342" s="3"/>
      <c r="B342" s="3"/>
    </row>
    <row r="343" spans="1:2" x14ac:dyDescent="0.2">
      <c r="A343" s="3"/>
      <c r="B343" s="3"/>
    </row>
    <row r="344" spans="1:2" x14ac:dyDescent="0.2">
      <c r="A344" s="3"/>
      <c r="B344" s="3"/>
    </row>
    <row r="345" spans="1:2" x14ac:dyDescent="0.2">
      <c r="A345" s="3"/>
      <c r="B345" s="3"/>
    </row>
    <row r="346" spans="1:2" x14ac:dyDescent="0.2">
      <c r="A346" s="3"/>
      <c r="B346" s="3"/>
    </row>
    <row r="347" spans="1:2" x14ac:dyDescent="0.2">
      <c r="A347" s="3"/>
      <c r="B347" s="3"/>
    </row>
    <row r="348" spans="1:2" x14ac:dyDescent="0.2">
      <c r="A348" s="3"/>
      <c r="B348" s="3"/>
    </row>
    <row r="349" spans="1:2" x14ac:dyDescent="0.2">
      <c r="A349" s="3"/>
      <c r="B349" s="3"/>
    </row>
    <row r="350" spans="1:2" x14ac:dyDescent="0.2">
      <c r="A350" s="3"/>
      <c r="B350" s="3"/>
    </row>
    <row r="351" spans="1:2" x14ac:dyDescent="0.2">
      <c r="A351" s="3"/>
      <c r="B351" s="3"/>
    </row>
    <row r="352" spans="1:2" x14ac:dyDescent="0.2">
      <c r="A352" s="3"/>
      <c r="B352" s="3"/>
    </row>
    <row r="353" spans="1:2" x14ac:dyDescent="0.2">
      <c r="A353" s="3"/>
      <c r="B353" s="3"/>
    </row>
    <row r="354" spans="1:2" x14ac:dyDescent="0.2">
      <c r="A354" s="3"/>
      <c r="B354" s="3"/>
    </row>
    <row r="355" spans="1:2" x14ac:dyDescent="0.2">
      <c r="A355" s="3"/>
      <c r="B355" s="3"/>
    </row>
    <row r="356" spans="1:2" x14ac:dyDescent="0.2">
      <c r="A356" s="3"/>
      <c r="B356" s="3"/>
    </row>
    <row r="357" spans="1:2" x14ac:dyDescent="0.2">
      <c r="A357" s="3"/>
      <c r="B357" s="3"/>
    </row>
    <row r="358" spans="1:2" x14ac:dyDescent="0.2">
      <c r="A358" s="3"/>
      <c r="B358" s="3"/>
    </row>
    <row r="359" spans="1:2" x14ac:dyDescent="0.2">
      <c r="A359" s="3"/>
      <c r="B359" s="3"/>
    </row>
    <row r="360" spans="1:2" x14ac:dyDescent="0.2">
      <c r="A360" s="3"/>
      <c r="B360" s="3"/>
    </row>
    <row r="361" spans="1:2" x14ac:dyDescent="0.2">
      <c r="A361" s="3"/>
      <c r="B361" s="3"/>
    </row>
    <row r="362" spans="1:2" x14ac:dyDescent="0.2">
      <c r="A362" s="3"/>
      <c r="B362" s="3"/>
    </row>
    <row r="363" spans="1:2" x14ac:dyDescent="0.2">
      <c r="A363" s="3"/>
      <c r="B363" s="3"/>
    </row>
    <row r="364" spans="1:2" x14ac:dyDescent="0.2">
      <c r="A364" s="3"/>
      <c r="B364" s="3"/>
    </row>
    <row r="365" spans="1:2" x14ac:dyDescent="0.2">
      <c r="A365" s="3"/>
      <c r="B365" s="3"/>
    </row>
    <row r="366" spans="1:2" x14ac:dyDescent="0.2">
      <c r="A366" s="3"/>
      <c r="B366" s="3"/>
    </row>
    <row r="367" spans="1:2" x14ac:dyDescent="0.2">
      <c r="A367" s="3"/>
      <c r="B367" s="3"/>
    </row>
    <row r="368" spans="1:2" x14ac:dyDescent="0.2">
      <c r="A368" s="3"/>
      <c r="B368" s="3"/>
    </row>
    <row r="369" spans="1:2" x14ac:dyDescent="0.2">
      <c r="A369" s="3"/>
      <c r="B369" s="3"/>
    </row>
    <row r="370" spans="1:2" x14ac:dyDescent="0.2">
      <c r="A370" s="3"/>
      <c r="B370" s="3"/>
    </row>
    <row r="371" spans="1:2" x14ac:dyDescent="0.2">
      <c r="A371" s="3"/>
      <c r="B371" s="3"/>
    </row>
    <row r="372" spans="1:2" x14ac:dyDescent="0.2">
      <c r="A372" s="3"/>
      <c r="B372" s="3"/>
    </row>
    <row r="373" spans="1:2" x14ac:dyDescent="0.2">
      <c r="A373" s="3"/>
      <c r="B373" s="3"/>
    </row>
    <row r="374" spans="1:2" x14ac:dyDescent="0.2">
      <c r="A374" s="3"/>
      <c r="B374" s="3"/>
    </row>
    <row r="375" spans="1:2" x14ac:dyDescent="0.2">
      <c r="A375" s="3"/>
      <c r="B375" s="3"/>
    </row>
    <row r="376" spans="1:2" x14ac:dyDescent="0.2">
      <c r="A376" s="3"/>
      <c r="B376" s="3"/>
    </row>
    <row r="377" spans="1:2" x14ac:dyDescent="0.2">
      <c r="A377" s="3"/>
      <c r="B377" s="3"/>
    </row>
    <row r="378" spans="1:2" x14ac:dyDescent="0.2">
      <c r="A378" s="3"/>
      <c r="B378" s="3"/>
    </row>
    <row r="379" spans="1:2" x14ac:dyDescent="0.2">
      <c r="A379" s="3"/>
      <c r="B379" s="3"/>
    </row>
    <row r="380" spans="1:2" x14ac:dyDescent="0.2">
      <c r="A380" s="3"/>
      <c r="B380" s="3"/>
    </row>
    <row r="381" spans="1:2" x14ac:dyDescent="0.2">
      <c r="A381" s="3"/>
      <c r="B381" s="3"/>
    </row>
    <row r="382" spans="1:2" x14ac:dyDescent="0.2">
      <c r="A382" s="3"/>
      <c r="B382" s="3"/>
    </row>
    <row r="383" spans="1:2" x14ac:dyDescent="0.2">
      <c r="A383" s="3"/>
      <c r="B383" s="3"/>
    </row>
    <row r="384" spans="1:2" x14ac:dyDescent="0.2">
      <c r="A384" s="3"/>
      <c r="B384" s="3"/>
    </row>
    <row r="385" spans="1:2" x14ac:dyDescent="0.2">
      <c r="A385" s="3"/>
      <c r="B385" s="3"/>
    </row>
    <row r="386" spans="1:2" x14ac:dyDescent="0.2">
      <c r="A386" s="3"/>
      <c r="B386" s="3"/>
    </row>
    <row r="387" spans="1:2" x14ac:dyDescent="0.2">
      <c r="A387" s="3"/>
      <c r="B387" s="3"/>
    </row>
    <row r="388" spans="1:2" x14ac:dyDescent="0.2">
      <c r="A388" s="3"/>
      <c r="B388" s="3"/>
    </row>
    <row r="389" spans="1:2" x14ac:dyDescent="0.2">
      <c r="A389" s="3"/>
      <c r="B389" s="3"/>
    </row>
    <row r="390" spans="1:2" x14ac:dyDescent="0.2">
      <c r="A390" s="3"/>
      <c r="B390" s="3"/>
    </row>
    <row r="391" spans="1:2" x14ac:dyDescent="0.2">
      <c r="A391" s="3"/>
      <c r="B391" s="3"/>
    </row>
    <row r="392" spans="1:2" x14ac:dyDescent="0.2">
      <c r="A392" s="3"/>
      <c r="B392" s="3"/>
    </row>
    <row r="393" spans="1:2" x14ac:dyDescent="0.2">
      <c r="A393" s="3"/>
      <c r="B393" s="3"/>
    </row>
    <row r="394" spans="1:2" x14ac:dyDescent="0.2">
      <c r="A394" s="3"/>
      <c r="B394" s="3"/>
    </row>
    <row r="395" spans="1:2" x14ac:dyDescent="0.2">
      <c r="A395" s="3"/>
      <c r="B395" s="3"/>
    </row>
    <row r="396" spans="1:2" x14ac:dyDescent="0.2">
      <c r="A396" s="3"/>
      <c r="B396" s="3"/>
    </row>
    <row r="397" spans="1:2" x14ac:dyDescent="0.2">
      <c r="A397" s="3"/>
      <c r="B397" s="3"/>
    </row>
    <row r="398" spans="1:2" x14ac:dyDescent="0.2">
      <c r="A398" s="3"/>
      <c r="B398" s="3"/>
    </row>
    <row r="399" spans="1:2" x14ac:dyDescent="0.2">
      <c r="A399" s="3"/>
      <c r="B399" s="3"/>
    </row>
    <row r="400" spans="1:2" x14ac:dyDescent="0.2">
      <c r="A400" s="3"/>
      <c r="B400" s="3"/>
    </row>
    <row r="401" spans="1:2" x14ac:dyDescent="0.2">
      <c r="A401" s="3"/>
      <c r="B401" s="3"/>
    </row>
    <row r="402" spans="1:2" x14ac:dyDescent="0.2">
      <c r="A402" s="3"/>
      <c r="B402" s="3"/>
    </row>
    <row r="403" spans="1:2" x14ac:dyDescent="0.2">
      <c r="A403" s="3"/>
      <c r="B403" s="3"/>
    </row>
    <row r="404" spans="1:2" x14ac:dyDescent="0.2">
      <c r="A404" s="3"/>
      <c r="B404" s="3"/>
    </row>
    <row r="405" spans="1:2" x14ac:dyDescent="0.2">
      <c r="A405" s="3"/>
      <c r="B405" s="3"/>
    </row>
    <row r="406" spans="1:2" x14ac:dyDescent="0.2">
      <c r="A406" s="3"/>
      <c r="B406" s="3"/>
    </row>
    <row r="407" spans="1:2" x14ac:dyDescent="0.2">
      <c r="A407" s="3"/>
      <c r="B407" s="3"/>
    </row>
    <row r="408" spans="1:2" x14ac:dyDescent="0.2">
      <c r="A408" s="3"/>
      <c r="B408" s="3"/>
    </row>
    <row r="409" spans="1:2" x14ac:dyDescent="0.2">
      <c r="A409" s="3"/>
      <c r="B409" s="3"/>
    </row>
    <row r="410" spans="1:2" x14ac:dyDescent="0.2">
      <c r="A410" s="3"/>
      <c r="B410" s="3"/>
    </row>
    <row r="411" spans="1:2" x14ac:dyDescent="0.2">
      <c r="A411" s="3"/>
      <c r="B411" s="3"/>
    </row>
    <row r="412" spans="1:2" x14ac:dyDescent="0.2">
      <c r="A412" s="3"/>
      <c r="B412" s="3"/>
    </row>
    <row r="413" spans="1:2" x14ac:dyDescent="0.2">
      <c r="A413" s="3"/>
      <c r="B413" s="3"/>
    </row>
    <row r="414" spans="1:2" x14ac:dyDescent="0.2">
      <c r="A414" s="3"/>
      <c r="B414" s="3"/>
    </row>
    <row r="415" spans="1:2" x14ac:dyDescent="0.2">
      <c r="A415" s="3"/>
      <c r="B415" s="3"/>
    </row>
    <row r="416" spans="1:2" x14ac:dyDescent="0.2">
      <c r="A416" s="3"/>
      <c r="B416" s="3"/>
    </row>
    <row r="417" spans="1:2" x14ac:dyDescent="0.2">
      <c r="A417" s="3"/>
      <c r="B417" s="3"/>
    </row>
    <row r="418" spans="1:2" x14ac:dyDescent="0.2">
      <c r="A418" s="3"/>
      <c r="B418" s="3"/>
    </row>
    <row r="419" spans="1:2" x14ac:dyDescent="0.2">
      <c r="A419" s="3"/>
      <c r="B419" s="3"/>
    </row>
    <row r="420" spans="1:2" x14ac:dyDescent="0.2">
      <c r="A420" s="3"/>
      <c r="B420" s="3"/>
    </row>
    <row r="421" spans="1:2" x14ac:dyDescent="0.2">
      <c r="A421" s="3"/>
      <c r="B421" s="3"/>
    </row>
    <row r="422" spans="1:2" x14ac:dyDescent="0.2">
      <c r="A422" s="3"/>
      <c r="B422" s="3"/>
    </row>
    <row r="423" spans="1:2" x14ac:dyDescent="0.2">
      <c r="A423" s="3"/>
      <c r="B423" s="3"/>
    </row>
    <row r="424" spans="1:2" x14ac:dyDescent="0.2">
      <c r="A424" s="3"/>
      <c r="B424" s="3"/>
    </row>
    <row r="425" spans="1:2" x14ac:dyDescent="0.2">
      <c r="A425" s="3"/>
      <c r="B425" s="3"/>
    </row>
    <row r="426" spans="1:2" x14ac:dyDescent="0.2">
      <c r="A426" s="3"/>
      <c r="B426" s="3"/>
    </row>
    <row r="427" spans="1:2" x14ac:dyDescent="0.2">
      <c r="A427" s="3"/>
      <c r="B427" s="3"/>
    </row>
    <row r="428" spans="1:2" x14ac:dyDescent="0.2">
      <c r="A428" s="3"/>
      <c r="B428" s="3"/>
    </row>
    <row r="429" spans="1:2" x14ac:dyDescent="0.2">
      <c r="A429" s="3"/>
      <c r="B429" s="3"/>
    </row>
    <row r="430" spans="1:2" x14ac:dyDescent="0.2">
      <c r="A430" s="3"/>
      <c r="B430" s="3"/>
    </row>
    <row r="431" spans="1:2" x14ac:dyDescent="0.2">
      <c r="A431" s="3"/>
      <c r="B431" s="3"/>
    </row>
    <row r="432" spans="1:2" x14ac:dyDescent="0.2">
      <c r="A432" s="3"/>
      <c r="B432" s="3"/>
    </row>
    <row r="433" spans="1:2" x14ac:dyDescent="0.2">
      <c r="A433" s="3"/>
      <c r="B433" s="3"/>
    </row>
    <row r="434" spans="1:2" x14ac:dyDescent="0.2">
      <c r="A434" s="3"/>
      <c r="B434" s="3"/>
    </row>
    <row r="435" spans="1:2" x14ac:dyDescent="0.2">
      <c r="A435" s="3"/>
      <c r="B435" s="3"/>
    </row>
    <row r="436" spans="1:2" x14ac:dyDescent="0.2">
      <c r="A436" s="3"/>
      <c r="B436" s="3"/>
    </row>
    <row r="437" spans="1:2" x14ac:dyDescent="0.2">
      <c r="A437" s="3"/>
      <c r="B437" s="3"/>
    </row>
    <row r="438" spans="1:2" x14ac:dyDescent="0.2">
      <c r="A438" s="3"/>
      <c r="B438" s="3"/>
    </row>
    <row r="439" spans="1:2" x14ac:dyDescent="0.2">
      <c r="A439" s="3"/>
      <c r="B439" s="3"/>
    </row>
    <row r="440" spans="1:2" x14ac:dyDescent="0.2">
      <c r="A440" s="3"/>
      <c r="B440" s="3"/>
    </row>
    <row r="441" spans="1:2" x14ac:dyDescent="0.2">
      <c r="A441" s="3"/>
      <c r="B441" s="3"/>
    </row>
    <row r="442" spans="1:2" x14ac:dyDescent="0.2">
      <c r="A442" s="3"/>
      <c r="B442" s="3"/>
    </row>
    <row r="443" spans="1:2" x14ac:dyDescent="0.2">
      <c r="A443" s="3"/>
      <c r="B443" s="3"/>
    </row>
    <row r="444" spans="1:2" x14ac:dyDescent="0.2">
      <c r="A444" s="3"/>
      <c r="B444" s="3"/>
    </row>
    <row r="445" spans="1:2" x14ac:dyDescent="0.2">
      <c r="A445" s="3"/>
      <c r="B445" s="3"/>
    </row>
    <row r="446" spans="1:2" x14ac:dyDescent="0.2">
      <c r="A446" s="3"/>
      <c r="B446" s="3"/>
    </row>
    <row r="447" spans="1:2" x14ac:dyDescent="0.2">
      <c r="A447" s="3"/>
      <c r="B447" s="3"/>
    </row>
    <row r="448" spans="1:2" x14ac:dyDescent="0.2">
      <c r="A448" s="3"/>
      <c r="B448" s="3"/>
    </row>
    <row r="449" spans="1:2" x14ac:dyDescent="0.2">
      <c r="A449" s="3"/>
      <c r="B449" s="3"/>
    </row>
    <row r="450" spans="1:2" x14ac:dyDescent="0.2">
      <c r="A450" s="3"/>
      <c r="B450" s="3"/>
    </row>
    <row r="451" spans="1:2" x14ac:dyDescent="0.2">
      <c r="A451" s="3"/>
      <c r="B451" s="3"/>
    </row>
    <row r="452" spans="1:2" x14ac:dyDescent="0.2">
      <c r="A452" s="3"/>
      <c r="B452" s="3"/>
    </row>
    <row r="453" spans="1:2" x14ac:dyDescent="0.2">
      <c r="A453" s="3"/>
      <c r="B453" s="3"/>
    </row>
    <row r="454" spans="1:2" x14ac:dyDescent="0.2">
      <c r="A454" s="3"/>
      <c r="B454" s="3"/>
    </row>
    <row r="455" spans="1:2" x14ac:dyDescent="0.2">
      <c r="A455" s="3"/>
      <c r="B455" s="3"/>
    </row>
    <row r="456" spans="1:2" x14ac:dyDescent="0.2">
      <c r="A456" s="3"/>
      <c r="B456" s="3"/>
    </row>
    <row r="457" spans="1:2" x14ac:dyDescent="0.2">
      <c r="A457" s="3"/>
      <c r="B457" s="3"/>
    </row>
    <row r="458" spans="1:2" x14ac:dyDescent="0.2">
      <c r="A458" s="3"/>
      <c r="B458" s="3"/>
    </row>
    <row r="459" spans="1:2" x14ac:dyDescent="0.2">
      <c r="A459" s="3"/>
      <c r="B459" s="3"/>
    </row>
  </sheetData>
  <mergeCells count="140">
    <mergeCell ref="C110:D110"/>
    <mergeCell ref="I110:J110"/>
    <mergeCell ref="C111:D111"/>
    <mergeCell ref="I111:J111"/>
    <mergeCell ref="C108:D108"/>
    <mergeCell ref="I108:J108"/>
    <mergeCell ref="C109:D109"/>
    <mergeCell ref="I109:J109"/>
    <mergeCell ref="AB7:AC7"/>
    <mergeCell ref="AB18:AC18"/>
    <mergeCell ref="AB33:AC33"/>
    <mergeCell ref="AB59:AC59"/>
    <mergeCell ref="AB29:AC29"/>
    <mergeCell ref="AB26:AC26"/>
    <mergeCell ref="O33:P33"/>
    <mergeCell ref="O59:P59"/>
    <mergeCell ref="O89:P89"/>
    <mergeCell ref="O94:P94"/>
    <mergeCell ref="O7:P7"/>
    <mergeCell ref="O18:P18"/>
    <mergeCell ref="O26:P26"/>
    <mergeCell ref="O29:P29"/>
    <mergeCell ref="U89:V89"/>
    <mergeCell ref="U94:V94"/>
    <mergeCell ref="C103:D103"/>
    <mergeCell ref="I103:J103"/>
    <mergeCell ref="C100:D100"/>
    <mergeCell ref="I100:J100"/>
    <mergeCell ref="C101:D101"/>
    <mergeCell ref="I101:J101"/>
    <mergeCell ref="C106:D106"/>
    <mergeCell ref="I106:J106"/>
    <mergeCell ref="C107:D107"/>
    <mergeCell ref="I107:J107"/>
    <mergeCell ref="C104:D104"/>
    <mergeCell ref="I104:J104"/>
    <mergeCell ref="C105:D105"/>
    <mergeCell ref="I105:J105"/>
    <mergeCell ref="C98:D98"/>
    <mergeCell ref="I98:J98"/>
    <mergeCell ref="C99:D99"/>
    <mergeCell ref="I99:J99"/>
    <mergeCell ref="C96:D96"/>
    <mergeCell ref="I96:J96"/>
    <mergeCell ref="C97:D97"/>
    <mergeCell ref="I97:J97"/>
    <mergeCell ref="C102:D102"/>
    <mergeCell ref="I102:J102"/>
    <mergeCell ref="K89:L89"/>
    <mergeCell ref="M89:N89"/>
    <mergeCell ref="G33:H33"/>
    <mergeCell ref="G59:H59"/>
    <mergeCell ref="AB89:AC89"/>
    <mergeCell ref="C94:D94"/>
    <mergeCell ref="E94:F94"/>
    <mergeCell ref="G94:H94"/>
    <mergeCell ref="I94:J94"/>
    <mergeCell ref="K94:L94"/>
    <mergeCell ref="M94:N94"/>
    <mergeCell ref="AB94:AC94"/>
    <mergeCell ref="C89:D89"/>
    <mergeCell ref="E89:F89"/>
    <mergeCell ref="C59:D59"/>
    <mergeCell ref="E59:F59"/>
    <mergeCell ref="M59:N59"/>
    <mergeCell ref="S89:T89"/>
    <mergeCell ref="S94:T94"/>
    <mergeCell ref="U33:V33"/>
    <mergeCell ref="U59:V59"/>
    <mergeCell ref="W89:X89"/>
    <mergeCell ref="W94:X94"/>
    <mergeCell ref="W33:X33"/>
    <mergeCell ref="I18:J18"/>
    <mergeCell ref="C26:D26"/>
    <mergeCell ref="E26:F26"/>
    <mergeCell ref="G26:H26"/>
    <mergeCell ref="C18:D18"/>
    <mergeCell ref="C27:D27"/>
    <mergeCell ref="E27:F27"/>
    <mergeCell ref="C28:D28"/>
    <mergeCell ref="G89:H89"/>
    <mergeCell ref="I89:J89"/>
    <mergeCell ref="C33:D33"/>
    <mergeCell ref="I26:J26"/>
    <mergeCell ref="K26:L26"/>
    <mergeCell ref="E29:F29"/>
    <mergeCell ref="G29:H29"/>
    <mergeCell ref="I29:J29"/>
    <mergeCell ref="K29:L29"/>
    <mergeCell ref="M33:N33"/>
    <mergeCell ref="M26:N26"/>
    <mergeCell ref="M29:N29"/>
    <mergeCell ref="C29:D29"/>
    <mergeCell ref="Q89:R89"/>
    <mergeCell ref="Q94:R94"/>
    <mergeCell ref="Q7:R7"/>
    <mergeCell ref="Q18:R18"/>
    <mergeCell ref="Q26:R26"/>
    <mergeCell ref="Q29:R29"/>
    <mergeCell ref="Q33:R33"/>
    <mergeCell ref="Q59:R59"/>
    <mergeCell ref="E28:F28"/>
    <mergeCell ref="I59:J59"/>
    <mergeCell ref="K7:L7"/>
    <mergeCell ref="K18:L18"/>
    <mergeCell ref="K33:L33"/>
    <mergeCell ref="K59:L59"/>
    <mergeCell ref="I33:J33"/>
    <mergeCell ref="I27:J27"/>
    <mergeCell ref="I28:J28"/>
    <mergeCell ref="G27:H27"/>
    <mergeCell ref="G28:H28"/>
    <mergeCell ref="M7:N7"/>
    <mergeCell ref="M18:N18"/>
    <mergeCell ref="E33:F33"/>
    <mergeCell ref="G18:H18"/>
    <mergeCell ref="E18:F18"/>
    <mergeCell ref="Y7:Z7"/>
    <mergeCell ref="Y18:Z18"/>
    <mergeCell ref="Y26:Z26"/>
    <mergeCell ref="Y29:Z29"/>
    <mergeCell ref="Y33:Z33"/>
    <mergeCell ref="Y59:Z59"/>
    <mergeCell ref="Y89:Z89"/>
    <mergeCell ref="Y94:Z94"/>
    <mergeCell ref="S7:T7"/>
    <mergeCell ref="S18:T18"/>
    <mergeCell ref="S26:T26"/>
    <mergeCell ref="S29:T29"/>
    <mergeCell ref="S33:T33"/>
    <mergeCell ref="S59:T59"/>
    <mergeCell ref="U7:V7"/>
    <mergeCell ref="U18:V18"/>
    <mergeCell ref="U26:V26"/>
    <mergeCell ref="U29:V29"/>
    <mergeCell ref="W7:X7"/>
    <mergeCell ref="W18:X18"/>
    <mergeCell ref="W26:X26"/>
    <mergeCell ref="W29:X29"/>
    <mergeCell ref="W59:X59"/>
  </mergeCells>
  <phoneticPr fontId="3" type="noConversion"/>
  <printOptions horizontalCentered="1"/>
  <pageMargins left="0.5" right="0.5" top="0.25" bottom="0.5" header="0.5" footer="0.25"/>
  <pageSetup scale="70" orientation="landscape" r:id="rId1"/>
  <headerFooter alignWithMargins="0">
    <oddFooter>&amp;R&amp;P of &amp;N
&amp;D</oddFooter>
  </headerFooter>
  <rowBreaks count="1" manualBreakCount="1">
    <brk id="55" max="20" man="1"/>
  </rowBreaks>
  <ignoredErrors>
    <ignoredError sqref="K69:M88 I79 S69:S88 W69:W8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54</vt:i4>
      </vt:variant>
    </vt:vector>
  </HeadingPairs>
  <TitlesOfParts>
    <vt:vector size="81" baseType="lpstr">
      <vt:lpstr>Dean_AS</vt:lpstr>
      <vt:lpstr>Amer Ethnic Stud</vt:lpstr>
      <vt:lpstr>Art</vt:lpstr>
      <vt:lpstr>Biochem</vt:lpstr>
      <vt:lpstr>Biology</vt:lpstr>
      <vt:lpstr>Chemistry</vt:lpstr>
      <vt:lpstr>Comm Studies </vt:lpstr>
      <vt:lpstr>Economics</vt:lpstr>
      <vt:lpstr>English</vt:lpstr>
      <vt:lpstr>Geography</vt:lpstr>
      <vt:lpstr>Geology</vt:lpstr>
      <vt:lpstr>Hist</vt:lpstr>
      <vt:lpstr>JMC</vt:lpstr>
      <vt:lpstr>Math</vt:lpstr>
      <vt:lpstr>Modern Language</vt:lpstr>
      <vt:lpstr>Music Theatre Dance</vt:lpstr>
      <vt:lpstr>Philosophy</vt:lpstr>
      <vt:lpstr>Physics</vt:lpstr>
      <vt:lpstr>Political Science</vt:lpstr>
      <vt:lpstr>Psych</vt:lpstr>
      <vt:lpstr>SASW</vt:lpstr>
      <vt:lpstr>Stats</vt:lpstr>
      <vt:lpstr>Women's Studies</vt:lpstr>
      <vt:lpstr>A&amp;S 1 Sum</vt:lpstr>
      <vt:lpstr>Kinesiology</vt:lpstr>
      <vt:lpstr>Music -OLD</vt:lpstr>
      <vt:lpstr>Comm Stud Th Dan - OLD</vt:lpstr>
      <vt:lpstr>'A&amp;S 1 Sum'!Print_Area</vt:lpstr>
      <vt:lpstr>'Amer Ethnic Stud'!Print_Area</vt:lpstr>
      <vt:lpstr>Art!Print_Area</vt:lpstr>
      <vt:lpstr>Biochem!Print_Area</vt:lpstr>
      <vt:lpstr>Biology!Print_Area</vt:lpstr>
      <vt:lpstr>Chemistry!Print_Area</vt:lpstr>
      <vt:lpstr>'Comm Stud Th Dan - OLD'!Print_Area</vt:lpstr>
      <vt:lpstr>'Comm Studies '!Print_Area</vt:lpstr>
      <vt:lpstr>Dean_AS!Print_Area</vt:lpstr>
      <vt:lpstr>Economics!Print_Area</vt:lpstr>
      <vt:lpstr>English!Print_Area</vt:lpstr>
      <vt:lpstr>Geography!Print_Area</vt:lpstr>
      <vt:lpstr>Geology!Print_Area</vt:lpstr>
      <vt:lpstr>Hist!Print_Area</vt:lpstr>
      <vt:lpstr>JMC!Print_Area</vt:lpstr>
      <vt:lpstr>Kinesiology!Print_Area</vt:lpstr>
      <vt:lpstr>Math!Print_Area</vt:lpstr>
      <vt:lpstr>'Modern Language'!Print_Area</vt:lpstr>
      <vt:lpstr>'Music -OLD'!Print_Area</vt:lpstr>
      <vt:lpstr>'Music Theatre Dance'!Print_Area</vt:lpstr>
      <vt:lpstr>Philosophy!Print_Area</vt:lpstr>
      <vt:lpstr>Physics!Print_Area</vt:lpstr>
      <vt:lpstr>'Political Science'!Print_Area</vt:lpstr>
      <vt:lpstr>Psych!Print_Area</vt:lpstr>
      <vt:lpstr>SASW!Print_Area</vt:lpstr>
      <vt:lpstr>Stats!Print_Area</vt:lpstr>
      <vt:lpstr>'Women''s Studies'!Print_Area</vt:lpstr>
      <vt:lpstr>'A&amp;S 1 Sum'!Print_Titles</vt:lpstr>
      <vt:lpstr>'Amer Ethnic Stud'!Print_Titles</vt:lpstr>
      <vt:lpstr>Art!Print_Titles</vt:lpstr>
      <vt:lpstr>Biochem!Print_Titles</vt:lpstr>
      <vt:lpstr>Biology!Print_Titles</vt:lpstr>
      <vt:lpstr>Chemistry!Print_Titles</vt:lpstr>
      <vt:lpstr>'Comm Stud Th Dan - OLD'!Print_Titles</vt:lpstr>
      <vt:lpstr>'Comm Studies '!Print_Titles</vt:lpstr>
      <vt:lpstr>Dean_AS!Print_Titles</vt:lpstr>
      <vt:lpstr>Economics!Print_Titles</vt:lpstr>
      <vt:lpstr>English!Print_Titles</vt:lpstr>
      <vt:lpstr>Geography!Print_Titles</vt:lpstr>
      <vt:lpstr>Geology!Print_Titles</vt:lpstr>
      <vt:lpstr>Hist!Print_Titles</vt:lpstr>
      <vt:lpstr>JMC!Print_Titles</vt:lpstr>
      <vt:lpstr>Kinesiology!Print_Titles</vt:lpstr>
      <vt:lpstr>Math!Print_Titles</vt:lpstr>
      <vt:lpstr>'Modern Language'!Print_Titles</vt:lpstr>
      <vt:lpstr>'Music -OLD'!Print_Titles</vt:lpstr>
      <vt:lpstr>'Music Theatre Dance'!Print_Titles</vt:lpstr>
      <vt:lpstr>Philosophy!Print_Titles</vt:lpstr>
      <vt:lpstr>Physics!Print_Titles</vt:lpstr>
      <vt:lpstr>'Political Science'!Print_Titles</vt:lpstr>
      <vt:lpstr>Psych!Print_Titles</vt:lpstr>
      <vt:lpstr>SASW!Print_Titles</vt:lpstr>
      <vt:lpstr>Stats!Print_Titles</vt:lpstr>
      <vt:lpstr>'Women''s Studies'!Print_Titles</vt:lpstr>
    </vt:vector>
  </TitlesOfParts>
  <Company>Computing &amp; Network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Stearns</dc:creator>
  <cp:lastModifiedBy>NancyBaker</cp:lastModifiedBy>
  <cp:lastPrinted>2014-10-03T15:25:35Z</cp:lastPrinted>
  <dcterms:created xsi:type="dcterms:W3CDTF">1998-07-17T17:41:06Z</dcterms:created>
  <dcterms:modified xsi:type="dcterms:W3CDTF">2014-12-18T20:22:32Z</dcterms:modified>
</cp:coreProperties>
</file>