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611" firstSheet="4" activeTab="4"/>
  </bookViews>
  <sheets>
    <sheet name="Dean Arch" sheetId="4" state="hidden" r:id="rId1"/>
    <sheet name="Architecture" sheetId="1" state="hidden" r:id="rId2"/>
    <sheet name="Interior" sheetId="2" state="hidden" r:id="rId3"/>
    <sheet name="Landscape" sheetId="3" state="hidden" r:id="rId4"/>
    <sheet name="Summary" sheetId="8" r:id="rId5"/>
  </sheets>
  <definedNames>
    <definedName name="_xlnm.Print_Area" localSheetId="1">Architecture!$A$8:$AG$31</definedName>
    <definedName name="_xlnm.Print_Area" localSheetId="0">'Dean Arch'!$A$7:$AG$31</definedName>
    <definedName name="_xlnm.Print_Area" localSheetId="2">Interior!$A$8:$AG$31</definedName>
    <definedName name="_xlnm.Print_Area" localSheetId="3">Landscape!$A$8:$AG$31</definedName>
    <definedName name="_xlnm.Print_Area" localSheetId="4">Summary!$A$1:$AG$31</definedName>
    <definedName name="_xlnm.Print_Titles" localSheetId="1">Architecture!$A:$A,Architecture!$1:$7</definedName>
    <definedName name="_xlnm.Print_Titles" localSheetId="0">'Dean Arch'!$A:$A,'Dean Arch'!$1:$6</definedName>
    <definedName name="_xlnm.Print_Titles" localSheetId="2">Interior!$A:$A,Interior!$1:$7</definedName>
    <definedName name="_xlnm.Print_Titles" localSheetId="3">Landscape!$A:$A,Landscape!$1:$7</definedName>
    <definedName name="_xlnm.Print_Titles" localSheetId="4">Summary!$A:$A,Summary!$1:$7</definedName>
  </definedNames>
  <calcPr calcId="152511"/>
</workbook>
</file>

<file path=xl/calcChain.xml><?xml version="1.0" encoding="utf-8"?>
<calcChain xmlns="http://schemas.openxmlformats.org/spreadsheetml/2006/main">
  <c r="AG30" i="3" l="1"/>
  <c r="AF30" i="3"/>
  <c r="AF23" i="2" l="1"/>
  <c r="AF23" i="1"/>
  <c r="AG22" i="4"/>
  <c r="AF22" i="4"/>
  <c r="AC31" i="8" l="1"/>
  <c r="AC30" i="8"/>
  <c r="AC25" i="8"/>
  <c r="AC24" i="8"/>
  <c r="AC23" i="8"/>
  <c r="AC19" i="8"/>
  <c r="AC18" i="8"/>
  <c r="AC17" i="8"/>
  <c r="AC14" i="8"/>
  <c r="AC13" i="8"/>
  <c r="AC12" i="8"/>
  <c r="AA13" i="8"/>
  <c r="AA14" i="8"/>
  <c r="AA17" i="8"/>
  <c r="AA18" i="8"/>
  <c r="AA19" i="8"/>
  <c r="AA23" i="8"/>
  <c r="AA24" i="8"/>
  <c r="AA25" i="8"/>
  <c r="Z27" i="8"/>
  <c r="AA27" i="8"/>
  <c r="Z28" i="8"/>
  <c r="AA28" i="8"/>
  <c r="AA30" i="8"/>
  <c r="AA31" i="8"/>
  <c r="AE27" i="4"/>
  <c r="AE26" i="4"/>
  <c r="AE28" i="1"/>
  <c r="AE27" i="1"/>
  <c r="AE28" i="2"/>
  <c r="AE27" i="2"/>
  <c r="AE28" i="3"/>
  <c r="AE27" i="3"/>
  <c r="AG31" i="3"/>
  <c r="AF31" i="3"/>
  <c r="AG28" i="3"/>
  <c r="AF28" i="3"/>
  <c r="AG27" i="3"/>
  <c r="AF27" i="3"/>
  <c r="AG25" i="3"/>
  <c r="AF25" i="3"/>
  <c r="AG24" i="3"/>
  <c r="AF24" i="3"/>
  <c r="AG23" i="3"/>
  <c r="AF23" i="3"/>
  <c r="AG14" i="3"/>
  <c r="AF14" i="3"/>
  <c r="AG13" i="3"/>
  <c r="AF13" i="3"/>
  <c r="AG12" i="3"/>
  <c r="AF12" i="3"/>
  <c r="AF31" i="2"/>
  <c r="AG30" i="2"/>
  <c r="AF30" i="2"/>
  <c r="AG28" i="2"/>
  <c r="AF28" i="2"/>
  <c r="AG27" i="2"/>
  <c r="AF27" i="2"/>
  <c r="AG23" i="2"/>
  <c r="AG14" i="2"/>
  <c r="AF14" i="2"/>
  <c r="AG12" i="2"/>
  <c r="AF12" i="2"/>
  <c r="AG12" i="1"/>
  <c r="AF12" i="1"/>
  <c r="AG31" i="1"/>
  <c r="AF31" i="1"/>
  <c r="AG30" i="1"/>
  <c r="AF30" i="1"/>
  <c r="AF28" i="1"/>
  <c r="AG27" i="1"/>
  <c r="AF27" i="1"/>
  <c r="AG24" i="1"/>
  <c r="AF24" i="1"/>
  <c r="AG23" i="1"/>
  <c r="AG14" i="1"/>
  <c r="AF14" i="1"/>
  <c r="AG13" i="1"/>
  <c r="AF13" i="1"/>
  <c r="AF30" i="4"/>
  <c r="AG29" i="4"/>
  <c r="AF29" i="4"/>
  <c r="AF27" i="4"/>
  <c r="AG26" i="4"/>
  <c r="AF26" i="4"/>
  <c r="AG23" i="4"/>
  <c r="AF23" i="4"/>
  <c r="AG13" i="4"/>
  <c r="AF13" i="4"/>
  <c r="AG12" i="4"/>
  <c r="AF12" i="4"/>
  <c r="AG11" i="4"/>
  <c r="AA20" i="8" l="1"/>
  <c r="AC15" i="8"/>
  <c r="AC20" i="8"/>
  <c r="AF24" i="2"/>
  <c r="AF25" i="2"/>
  <c r="AF25" i="1"/>
  <c r="AF24" i="4"/>
  <c r="AC21" i="8" l="1"/>
  <c r="AC19" i="4"/>
  <c r="AC14" i="4"/>
  <c r="AC20" i="1"/>
  <c r="AC15" i="1"/>
  <c r="AC20" i="2"/>
  <c r="AC15" i="2"/>
  <c r="AC20" i="3"/>
  <c r="AC15" i="3"/>
  <c r="AC20" i="4" l="1"/>
  <c r="AC21" i="1"/>
  <c r="AC21" i="2"/>
  <c r="AC21" i="3"/>
  <c r="M30" i="8"/>
  <c r="O30" i="8"/>
  <c r="Q30" i="8"/>
  <c r="S30" i="8"/>
  <c r="AG30" i="8" s="1"/>
  <c r="U30" i="8"/>
  <c r="W30" i="8"/>
  <c r="Y30" i="8"/>
  <c r="M31" i="8"/>
  <c r="O31" i="8"/>
  <c r="Q31" i="8"/>
  <c r="S31" i="8"/>
  <c r="AG31" i="8" s="1"/>
  <c r="U31" i="8"/>
  <c r="W31" i="8"/>
  <c r="Y31" i="8"/>
  <c r="K31" i="8"/>
  <c r="K30" i="8"/>
  <c r="K27" i="8"/>
  <c r="L27" i="8"/>
  <c r="M27" i="8"/>
  <c r="N27" i="8"/>
  <c r="O27" i="8"/>
  <c r="P27" i="8"/>
  <c r="Q27" i="8"/>
  <c r="R27" i="8"/>
  <c r="S27" i="8"/>
  <c r="AG27" i="8" s="1"/>
  <c r="T27" i="8"/>
  <c r="U27" i="8"/>
  <c r="V27" i="8"/>
  <c r="W27" i="8"/>
  <c r="X27" i="8"/>
  <c r="Y27" i="8"/>
  <c r="K28" i="8"/>
  <c r="L28" i="8"/>
  <c r="M28" i="8"/>
  <c r="N28" i="8"/>
  <c r="O28" i="8"/>
  <c r="P28" i="8"/>
  <c r="Q28" i="8"/>
  <c r="R28" i="8"/>
  <c r="S28" i="8"/>
  <c r="AG28" i="8" s="1"/>
  <c r="T28" i="8"/>
  <c r="U28" i="8"/>
  <c r="V28" i="8"/>
  <c r="W28" i="8"/>
  <c r="X28" i="8"/>
  <c r="Y28" i="8"/>
  <c r="J28" i="8"/>
  <c r="J27" i="8"/>
  <c r="Y25" i="8"/>
  <c r="W25" i="8"/>
  <c r="U25" i="8"/>
  <c r="S25" i="8"/>
  <c r="Q25" i="8"/>
  <c r="O25" i="8"/>
  <c r="M25" i="8"/>
  <c r="K25" i="8"/>
  <c r="Y24" i="8"/>
  <c r="Y23" i="8"/>
  <c r="W24" i="8"/>
  <c r="W23" i="8"/>
  <c r="U24" i="8"/>
  <c r="U23" i="8"/>
  <c r="S24" i="8"/>
  <c r="AG24" i="8" s="1"/>
  <c r="S23" i="8"/>
  <c r="AG23" i="8" s="1"/>
  <c r="Q24" i="8"/>
  <c r="Q23" i="8"/>
  <c r="O24" i="8"/>
  <c r="O23" i="8"/>
  <c r="M24" i="8"/>
  <c r="K24" i="8"/>
  <c r="Y19" i="8"/>
  <c r="Y18" i="8"/>
  <c r="Y17" i="8"/>
  <c r="W19" i="8"/>
  <c r="W18" i="8"/>
  <c r="W17" i="8"/>
  <c r="U19" i="8"/>
  <c r="U18" i="8"/>
  <c r="U17" i="8"/>
  <c r="S19" i="8"/>
  <c r="S18" i="8"/>
  <c r="S17" i="8"/>
  <c r="Q19" i="8"/>
  <c r="Q18" i="8"/>
  <c r="Q17" i="8"/>
  <c r="O19" i="8"/>
  <c r="O18" i="8"/>
  <c r="O17" i="8"/>
  <c r="M19" i="8"/>
  <c r="M18" i="8"/>
  <c r="M17" i="8"/>
  <c r="K18" i="8"/>
  <c r="K19" i="8"/>
  <c r="K17" i="8"/>
  <c r="Y14" i="8"/>
  <c r="Y13" i="8"/>
  <c r="Y12" i="8"/>
  <c r="W14" i="8"/>
  <c r="W13" i="8"/>
  <c r="W12" i="8"/>
  <c r="U14" i="8"/>
  <c r="U13" i="8"/>
  <c r="U12" i="8"/>
  <c r="S14" i="8"/>
  <c r="S13" i="8"/>
  <c r="Q14" i="8"/>
  <c r="Q13" i="8"/>
  <c r="Q12" i="8"/>
  <c r="O14" i="8"/>
  <c r="O13" i="8"/>
  <c r="O12" i="8"/>
  <c r="M13" i="8"/>
  <c r="K13" i="8"/>
  <c r="K14" i="8"/>
  <c r="C23" i="8"/>
  <c r="AF20" i="8"/>
  <c r="I20" i="8"/>
  <c r="G20" i="8"/>
  <c r="G21" i="8" s="1"/>
  <c r="E20" i="8"/>
  <c r="C20" i="8"/>
  <c r="C21" i="8" s="1"/>
  <c r="I15" i="8"/>
  <c r="I21" i="8" s="1"/>
  <c r="G15" i="8"/>
  <c r="C15" i="8"/>
  <c r="E14" i="8"/>
  <c r="E15" i="8" s="1"/>
  <c r="AF23" i="8" l="1"/>
  <c r="Q15" i="8"/>
  <c r="AF24" i="8"/>
  <c r="AF27" i="8"/>
  <c r="AF28" i="8"/>
  <c r="AE27" i="8"/>
  <c r="AF14" i="8"/>
  <c r="AG14" i="8"/>
  <c r="W20" i="8"/>
  <c r="AF30" i="8"/>
  <c r="AF25" i="8"/>
  <c r="E21" i="8"/>
  <c r="AG12" i="8"/>
  <c r="AE28" i="8"/>
  <c r="AF31" i="8"/>
  <c r="AG13" i="8"/>
  <c r="AF13" i="8"/>
  <c r="M20" i="8"/>
  <c r="O15" i="8"/>
  <c r="W15" i="8"/>
  <c r="Q20" i="8"/>
  <c r="Q21" i="8" s="1"/>
  <c r="U20" i="8"/>
  <c r="Y20" i="8"/>
  <c r="U15" i="8"/>
  <c r="Y15" i="8"/>
  <c r="K20" i="8"/>
  <c r="O20" i="8"/>
  <c r="S20" i="8"/>
  <c r="AF20" i="3"/>
  <c r="AF19" i="4"/>
  <c r="AF20" i="1"/>
  <c r="AF20" i="2"/>
  <c r="U21" i="8" l="1"/>
  <c r="W21" i="8"/>
  <c r="AG21" i="8"/>
  <c r="AG15" i="8"/>
  <c r="Y21" i="8"/>
  <c r="O21" i="8"/>
  <c r="AA11" i="4" l="1"/>
  <c r="AF11" i="4" l="1"/>
  <c r="AA12" i="8"/>
  <c r="AA15" i="3"/>
  <c r="AA20" i="3"/>
  <c r="AA15" i="2"/>
  <c r="AA20" i="2"/>
  <c r="AA15" i="8" l="1"/>
  <c r="AF12" i="8"/>
  <c r="AA21" i="3"/>
  <c r="AA21" i="2"/>
  <c r="AA15" i="1"/>
  <c r="AA20" i="1"/>
  <c r="AA14" i="4"/>
  <c r="AA19" i="4"/>
  <c r="AA21" i="8" l="1"/>
  <c r="AF21" i="8" s="1"/>
  <c r="AF15" i="8"/>
  <c r="AA20" i="4"/>
  <c r="AA21" i="1"/>
  <c r="Y15" i="1" l="1"/>
  <c r="Y20" i="1"/>
  <c r="Y15" i="2"/>
  <c r="Y20" i="2"/>
  <c r="Y15" i="3"/>
  <c r="Y20" i="3"/>
  <c r="Y14" i="4"/>
  <c r="Y19" i="4"/>
  <c r="Y21" i="3" l="1"/>
  <c r="Y20" i="4"/>
  <c r="Y21" i="2"/>
  <c r="Y21" i="1"/>
  <c r="W15" i="3" l="1"/>
  <c r="W20" i="3"/>
  <c r="W15" i="2"/>
  <c r="W20" i="2"/>
  <c r="W15" i="1"/>
  <c r="W20" i="1"/>
  <c r="W14" i="4"/>
  <c r="W19" i="4"/>
  <c r="U15" i="1"/>
  <c r="U20" i="1"/>
  <c r="U15" i="2"/>
  <c r="U20" i="2"/>
  <c r="U14" i="4"/>
  <c r="U19" i="4"/>
  <c r="U15" i="3"/>
  <c r="U20" i="3"/>
  <c r="S20" i="3"/>
  <c r="S15" i="3"/>
  <c r="S20" i="2"/>
  <c r="S15" i="2"/>
  <c r="S15" i="1"/>
  <c r="S20" i="1"/>
  <c r="S11" i="4"/>
  <c r="S12" i="8" s="1"/>
  <c r="S15" i="8" s="1"/>
  <c r="S21" i="8" s="1"/>
  <c r="S19" i="4"/>
  <c r="M23" i="3"/>
  <c r="M23" i="2"/>
  <c r="M23" i="1"/>
  <c r="K23" i="3"/>
  <c r="K23" i="2"/>
  <c r="K23" i="1"/>
  <c r="I11" i="4"/>
  <c r="M13" i="4"/>
  <c r="M14" i="8" s="1"/>
  <c r="Q14" i="4"/>
  <c r="Q19" i="4"/>
  <c r="Q15" i="1"/>
  <c r="Q20" i="1"/>
  <c r="Q15" i="2"/>
  <c r="Q20" i="2"/>
  <c r="Q15" i="3"/>
  <c r="Q20" i="3"/>
  <c r="O15" i="3"/>
  <c r="O15" i="2"/>
  <c r="O20" i="2"/>
  <c r="O15" i="1"/>
  <c r="M11" i="4"/>
  <c r="M12" i="8" s="1"/>
  <c r="M19" i="4"/>
  <c r="K11" i="4"/>
  <c r="K12" i="8" s="1"/>
  <c r="K15" i="8" s="1"/>
  <c r="K21" i="8" s="1"/>
  <c r="K19" i="4"/>
  <c r="I19" i="4"/>
  <c r="G11" i="4"/>
  <c r="G19" i="4"/>
  <c r="O14" i="4"/>
  <c r="O19" i="4"/>
  <c r="O20" i="1"/>
  <c r="O20" i="3"/>
  <c r="C23" i="3"/>
  <c r="M15" i="3"/>
  <c r="M20" i="3"/>
  <c r="K15" i="3"/>
  <c r="K20" i="3"/>
  <c r="I15" i="3"/>
  <c r="I20" i="3"/>
  <c r="G15" i="3"/>
  <c r="G20" i="3"/>
  <c r="E14" i="3"/>
  <c r="E15" i="3" s="1"/>
  <c r="E20" i="3"/>
  <c r="C23" i="1"/>
  <c r="M15" i="1"/>
  <c r="M20" i="1"/>
  <c r="K15" i="1"/>
  <c r="K20" i="1"/>
  <c r="I15" i="1"/>
  <c r="I20" i="1"/>
  <c r="G15" i="1"/>
  <c r="G20" i="1"/>
  <c r="E14" i="1"/>
  <c r="E15" i="1" s="1"/>
  <c r="E20" i="1"/>
  <c r="E11" i="4"/>
  <c r="E14" i="4" s="1"/>
  <c r="E13" i="4"/>
  <c r="C23" i="2"/>
  <c r="M15" i="2"/>
  <c r="M20" i="2"/>
  <c r="K15" i="2"/>
  <c r="K20" i="2"/>
  <c r="I15" i="2"/>
  <c r="I20" i="2"/>
  <c r="C11" i="4"/>
  <c r="C14" i="4" s="1"/>
  <c r="G15" i="2"/>
  <c r="G20" i="2"/>
  <c r="C14" i="1"/>
  <c r="C20" i="1"/>
  <c r="E19" i="4"/>
  <c r="C19" i="4"/>
  <c r="E15" i="2"/>
  <c r="E20" i="2"/>
  <c r="C15" i="2"/>
  <c r="C20" i="2"/>
  <c r="C15" i="3"/>
  <c r="C20" i="3"/>
  <c r="C15" i="1"/>
  <c r="G14" i="4"/>
  <c r="M15" i="8" l="1"/>
  <c r="M21" i="8" s="1"/>
  <c r="AF14" i="4"/>
  <c r="AG14" i="4"/>
  <c r="K23" i="8"/>
  <c r="AF15" i="1"/>
  <c r="AG15" i="1"/>
  <c r="AF15" i="2"/>
  <c r="AG15" i="2"/>
  <c r="M23" i="8"/>
  <c r="O21" i="3"/>
  <c r="AF15" i="3"/>
  <c r="AG15" i="3"/>
  <c r="S21" i="3"/>
  <c r="K14" i="4"/>
  <c r="K20" i="4" s="1"/>
  <c r="I14" i="4"/>
  <c r="I20" i="4" s="1"/>
  <c r="S14" i="4"/>
  <c r="Q21" i="2"/>
  <c r="M21" i="1"/>
  <c r="Q21" i="1"/>
  <c r="O20" i="4"/>
  <c r="Q20" i="4"/>
  <c r="G20" i="4"/>
  <c r="C20" i="4"/>
  <c r="E20" i="4"/>
  <c r="U20" i="4"/>
  <c r="K21" i="3"/>
  <c r="G21" i="3"/>
  <c r="I21" i="3"/>
  <c r="M21" i="3"/>
  <c r="E21" i="3"/>
  <c r="Q21" i="3"/>
  <c r="G21" i="2"/>
  <c r="E21" i="2"/>
  <c r="I21" i="2"/>
  <c r="K21" i="2"/>
  <c r="O21" i="2"/>
  <c r="M21" i="2"/>
  <c r="C21" i="2"/>
  <c r="S21" i="2"/>
  <c r="U21" i="2"/>
  <c r="G21" i="1"/>
  <c r="I21" i="1"/>
  <c r="K21" i="1"/>
  <c r="O21" i="1"/>
  <c r="C21" i="1"/>
  <c r="S21" i="1"/>
  <c r="E21" i="1"/>
  <c r="U21" i="3"/>
  <c r="U21" i="1"/>
  <c r="W21" i="2"/>
  <c r="C21" i="3"/>
  <c r="M14" i="4"/>
  <c r="W21" i="3"/>
  <c r="W20" i="4"/>
  <c r="W21" i="1"/>
  <c r="AF20" i="4" l="1"/>
  <c r="AG20" i="4"/>
  <c r="AF21" i="1"/>
  <c r="AG21" i="1"/>
  <c r="AF21" i="2"/>
  <c r="AG21" i="2"/>
  <c r="AF21" i="3"/>
  <c r="AG21" i="3"/>
  <c r="S20" i="4"/>
  <c r="M20" i="4"/>
</calcChain>
</file>

<file path=xl/sharedStrings.xml><?xml version="1.0" encoding="utf-8"?>
<sst xmlns="http://schemas.openxmlformats.org/spreadsheetml/2006/main" count="372" uniqueCount="50">
  <si>
    <t xml:space="preserve">Department:  Architecture </t>
  </si>
  <si>
    <t xml:space="preserve"> </t>
  </si>
  <si>
    <t>FY 2004</t>
  </si>
  <si>
    <t>FY 2005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</si>
  <si>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</si>
  <si>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</si>
  <si>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</si>
  <si>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</si>
  <si>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</si>
  <si>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</si>
  <si>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</si>
  <si>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Foundation Accounts:</t>
  </si>
  <si>
    <t>Total Donations</t>
  </si>
  <si>
    <t>Endowed Chairs</t>
  </si>
  <si>
    <t>N</t>
  </si>
  <si>
    <t>$</t>
  </si>
  <si>
    <t>FY 2006</t>
  </si>
  <si>
    <t>*Includes Instructional Support and Instructional Reserve.</t>
  </si>
  <si>
    <t>General Use*</t>
  </si>
  <si>
    <t>FY 2007</t>
  </si>
  <si>
    <t>FY 2008</t>
  </si>
  <si>
    <t>FY 2009</t>
  </si>
  <si>
    <t>Five Year Average</t>
  </si>
  <si>
    <t>FY 2010</t>
  </si>
  <si>
    <t>FY 2011</t>
  </si>
  <si>
    <t>Sponsored Research Overhead</t>
  </si>
  <si>
    <t>Other (Grants, contracts, fees, sales &amp; service, copy centers, storerooms, etc)</t>
  </si>
  <si>
    <t>FY 2012</t>
  </si>
  <si>
    <t>FY 2013</t>
  </si>
  <si>
    <t>FY 2014</t>
  </si>
  <si>
    <t>FY 2015</t>
  </si>
  <si>
    <t>FY 2016</t>
  </si>
  <si>
    <t xml:space="preserve">Expenditures </t>
  </si>
  <si>
    <t>Extramural Research Expenditures</t>
  </si>
  <si>
    <t xml:space="preserve">Public Service GU+ RU </t>
  </si>
  <si>
    <t>Grants/Contracts</t>
  </si>
  <si>
    <t>Five Year % chg</t>
  </si>
  <si>
    <t>STATISTICAL OVERVIEW</t>
  </si>
  <si>
    <t>Kansas State University</t>
  </si>
  <si>
    <t>Financial Information</t>
  </si>
  <si>
    <t xml:space="preserve">Department:  Interior Architecture </t>
  </si>
  <si>
    <t>Grants/Contracts:</t>
  </si>
  <si>
    <t xml:space="preserve">Department:   Dean's Office </t>
  </si>
  <si>
    <t>% chg</t>
  </si>
  <si>
    <t>College of Architecture</t>
  </si>
  <si>
    <t>FY 2017</t>
  </si>
  <si>
    <t>Proposed</t>
  </si>
  <si>
    <t>Awarded</t>
  </si>
  <si>
    <t xml:space="preserve">Department:  Landscape Architecture/ Regional and Community Planning </t>
  </si>
  <si>
    <t>Instructional Expenditures - GU &amp; SRO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</si>
</sst>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&quot;$&quot;#,##0.00"/>
    <numFmt numFmtId="167" formatCode="&quot;$&quot;#,##0"/>
    <numFmt numFmtId="168" formatCode="&quot;$&quot;#,##0;[Red]&quot;$&quot;#,##0"/>
    <numFmt numFmtId="169" formatCode="0.0%"/>
  </numFmts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1"/>
      <name val="Georgia"/>
      <family val="1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1" fillId="0" borderId="1" applyNumberFormat="0" applyFont="0" applyFill="0" applyAlignment="0" applyProtection="0"/>
    <xf numFmtId="0" fontId="12" fillId="0" borderId="0"/>
    <xf numFmtId="0" fontId="4" fillId="0" borderId="0"/>
  </cellStyleXfs>
  <cellXfs count="47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64" fontId="4" fillId="0" borderId="5" xfId="0" applyNumberFormat="1" applyFont="1" applyBorder="1"/>
    <xf numFmtId="0" fontId="3" fillId="0" borderId="8" xfId="0" applyFont="1" applyBorder="1"/>
    <xf numFmtId="0" fontId="4" fillId="0" borderId="1" xfId="0" applyFont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13" xfId="0" applyFont="1" applyBorder="1"/>
    <xf numFmtId="3" fontId="3" fillId="0" borderId="0" xfId="0" applyNumberFormat="1" applyFont="1" applyBorder="1"/>
    <xf numFmtId="164" fontId="4" fillId="0" borderId="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/>
    <xf numFmtId="0" fontId="4" fillId="0" borderId="20" xfId="0" applyFont="1" applyBorder="1"/>
    <xf numFmtId="164" fontId="4" fillId="0" borderId="15" xfId="0" applyNumberFormat="1" applyFont="1" applyBorder="1"/>
    <xf numFmtId="164" fontId="4" fillId="0" borderId="23" xfId="0" applyNumberFormat="1" applyFont="1" applyBorder="1"/>
    <xf numFmtId="164" fontId="4" fillId="0" borderId="18" xfId="0" applyNumberFormat="1" applyFont="1" applyBorder="1"/>
    <xf numFmtId="5" fontId="4" fillId="0" borderId="16" xfId="0" applyNumberFormat="1" applyFont="1" applyBorder="1" applyAlignment="1">
      <alignment horizontal="right"/>
    </xf>
    <xf numFmtId="5" fontId="4" fillId="0" borderId="19" xfId="0" applyNumberFormat="1" applyFont="1" applyBorder="1" applyAlignment="1">
      <alignment horizontal="right"/>
    </xf>
    <xf numFmtId="164" fontId="4" fillId="0" borderId="5" xfId="4" applyNumberFormat="1" applyFont="1" applyBorder="1" applyAlignment="1">
      <alignment horizontal="right"/>
    </xf>
    <xf numFmtId="164" fontId="4" fillId="0" borderId="17" xfId="0" applyNumberFormat="1" applyFont="1" applyBorder="1"/>
    <xf numFmtId="164" fontId="4" fillId="0" borderId="15" xfId="4" applyNumberFormat="1" applyFont="1" applyBorder="1"/>
    <xf numFmtId="164" fontId="4" fillId="0" borderId="16" xfId="4" applyNumberFormat="1" applyFont="1" applyBorder="1" applyAlignment="1">
      <alignment horizontal="right"/>
    </xf>
    <xf numFmtId="164" fontId="4" fillId="0" borderId="18" xfId="4" applyNumberFormat="1" applyFont="1" applyBorder="1"/>
    <xf numFmtId="164" fontId="4" fillId="0" borderId="19" xfId="4" applyNumberFormat="1" applyFont="1" applyBorder="1" applyAlignment="1">
      <alignment horizontal="right"/>
    </xf>
    <xf numFmtId="0" fontId="4" fillId="0" borderId="0" xfId="0" applyFont="1" applyFill="1"/>
    <xf numFmtId="5" fontId="4" fillId="0" borderId="3" xfId="0" applyNumberFormat="1" applyFont="1" applyBorder="1" applyAlignment="1">
      <alignment horizontal="right"/>
    </xf>
    <xf numFmtId="0" fontId="4" fillId="0" borderId="25" xfId="0" applyFont="1" applyBorder="1"/>
    <xf numFmtId="167" fontId="4" fillId="0" borderId="0" xfId="0" applyNumberFormat="1" applyFont="1" applyBorder="1"/>
    <xf numFmtId="0" fontId="4" fillId="0" borderId="0" xfId="0" applyNumberFormat="1" applyFont="1" applyBorder="1"/>
    <xf numFmtId="164" fontId="4" fillId="0" borderId="0" xfId="4" applyNumberFormat="1" applyFont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0" fillId="0" borderId="0" xfId="0" applyBorder="1"/>
    <xf numFmtId="1" fontId="4" fillId="0" borderId="0" xfId="0" applyNumberFormat="1" applyFont="1" applyBorder="1"/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167" fontId="7" fillId="0" borderId="0" xfId="0" applyNumberFormat="1" applyFont="1" applyBorder="1"/>
    <xf numFmtId="0" fontId="0" fillId="0" borderId="0" xfId="0" applyFill="1" applyBorder="1"/>
    <xf numFmtId="1" fontId="3" fillId="0" borderId="0" xfId="0" applyNumberFormat="1" applyFont="1" applyBorder="1"/>
    <xf numFmtId="167" fontId="3" fillId="0" borderId="0" xfId="0" applyNumberFormat="1" applyFont="1" applyBorder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7" fontId="4" fillId="0" borderId="14" xfId="1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7" fontId="4" fillId="0" borderId="14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>
      <alignment horizontal="right"/>
    </xf>
    <xf numFmtId="167" fontId="9" fillId="0" borderId="19" xfId="10" applyNumberFormat="1" applyFont="1" applyFill="1" applyBorder="1" applyAlignment="1" applyProtection="1"/>
    <xf numFmtId="166" fontId="7" fillId="0" borderId="24" xfId="0" applyNumberFormat="1" applyFont="1" applyBorder="1"/>
    <xf numFmtId="167" fontId="7" fillId="0" borderId="24" xfId="0" applyNumberFormat="1" applyFont="1" applyBorder="1"/>
    <xf numFmtId="167" fontId="7" fillId="0" borderId="3" xfId="0" applyNumberFormat="1" applyFont="1" applyBorder="1"/>
    <xf numFmtId="167" fontId="7" fillId="0" borderId="19" xfId="0" applyNumberFormat="1" applyFont="1" applyFill="1" applyBorder="1" applyAlignment="1" applyProtection="1"/>
    <xf numFmtId="167" fontId="7" fillId="0" borderId="5" xfId="0" applyNumberFormat="1" applyFont="1" applyBorder="1"/>
    <xf numFmtId="167" fontId="7" fillId="0" borderId="5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7" fontId="7" fillId="0" borderId="25" xfId="0" applyNumberFormat="1" applyFont="1" applyFill="1" applyBorder="1" applyAlignment="1" applyProtection="1"/>
    <xf numFmtId="164" fontId="4" fillId="0" borderId="19" xfId="4" applyNumberFormat="1" applyFont="1" applyFill="1" applyBorder="1" applyAlignment="1">
      <alignment horizontal="right"/>
    </xf>
    <xf numFmtId="164" fontId="4" fillId="0" borderId="5" xfId="0" applyNumberFormat="1" applyFont="1" applyFill="1" applyBorder="1"/>
    <xf numFmtId="164" fontId="4" fillId="0" borderId="5" xfId="4" applyNumberFormat="1" applyFont="1" applyFill="1" applyBorder="1" applyAlignment="1">
      <alignment horizontal="right"/>
    </xf>
    <xf numFmtId="167" fontId="7" fillId="0" borderId="16" xfId="0" applyNumberFormat="1" applyFont="1" applyFill="1" applyBorder="1"/>
    <xf numFmtId="167" fontId="7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167" fontId="4" fillId="0" borderId="4" xfId="0" applyNumberFormat="1" applyFont="1" applyBorder="1"/>
    <xf numFmtId="3" fontId="3" fillId="0" borderId="0" xfId="0" applyNumberFormat="1" applyFont="1" applyFill="1" applyBorder="1"/>
    <xf numFmtId="0" fontId="4" fillId="0" borderId="31" xfId="0" applyFont="1" applyBorder="1"/>
    <xf numFmtId="0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25" xfId="0" applyFont="1" applyFill="1" applyBorder="1"/>
    <xf numFmtId="3" fontId="4" fillId="0" borderId="12" xfId="0" applyNumberFormat="1" applyFont="1" applyFill="1" applyBorder="1"/>
    <xf numFmtId="164" fontId="4" fillId="0" borderId="15" xfId="0" applyNumberFormat="1" applyFont="1" applyFill="1" applyBorder="1"/>
    <xf numFmtId="164" fontId="4" fillId="0" borderId="18" xfId="0" applyNumberFormat="1" applyFont="1" applyFill="1" applyBorder="1"/>
    <xf numFmtId="164" fontId="4" fillId="0" borderId="23" xfId="0" applyNumberFormat="1" applyFont="1" applyFill="1" applyBorder="1"/>
    <xf numFmtId="164" fontId="4" fillId="0" borderId="13" xfId="0" applyNumberFormat="1" applyFont="1" applyBorder="1"/>
    <xf numFmtId="167" fontId="7" fillId="0" borderId="24" xfId="0" applyNumberFormat="1" applyFont="1" applyFill="1" applyBorder="1"/>
    <xf numFmtId="0" fontId="4" fillId="0" borderId="32" xfId="0" applyFont="1" applyBorder="1" applyAlignment="1">
      <alignment horizontal="center"/>
    </xf>
    <xf numFmtId="0" fontId="3" fillId="0" borderId="46" xfId="0" applyFont="1" applyBorder="1"/>
    <xf numFmtId="0" fontId="6" fillId="0" borderId="8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3" fillId="0" borderId="48" xfId="0" applyFont="1" applyBorder="1"/>
    <xf numFmtId="0" fontId="4" fillId="0" borderId="8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167" fontId="4" fillId="0" borderId="13" xfId="0" applyNumberFormat="1" applyFont="1" applyBorder="1"/>
    <xf numFmtId="164" fontId="4" fillId="0" borderId="4" xfId="0" applyNumberFormat="1" applyFont="1" applyBorder="1" applyAlignment="1">
      <alignment horizontal="right"/>
    </xf>
    <xf numFmtId="0" fontId="4" fillId="0" borderId="40" xfId="0" applyFont="1" applyBorder="1"/>
    <xf numFmtId="164" fontId="4" fillId="0" borderId="13" xfId="4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3" fillId="0" borderId="55" xfId="0" applyFont="1" applyBorder="1"/>
    <xf numFmtId="164" fontId="4" fillId="0" borderId="5" xfId="4" applyNumberFormat="1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left" wrapText="1" indent="1"/>
    </xf>
    <xf numFmtId="0" fontId="3" fillId="0" borderId="58" xfId="0" applyFont="1" applyBorder="1" applyAlignment="1">
      <alignment horizontal="left" indent="1"/>
    </xf>
    <xf numFmtId="0" fontId="3" fillId="0" borderId="56" xfId="0" applyFont="1" applyBorder="1"/>
    <xf numFmtId="0" fontId="3" fillId="0" borderId="60" xfId="0" applyFont="1" applyBorder="1"/>
    <xf numFmtId="164" fontId="4" fillId="0" borderId="20" xfId="0" applyNumberFormat="1" applyFont="1" applyBorder="1"/>
    <xf numFmtId="5" fontId="4" fillId="0" borderId="21" xfId="0" applyNumberFormat="1" applyFont="1" applyBorder="1" applyAlignment="1">
      <alignment horizontal="right"/>
    </xf>
    <xf numFmtId="167" fontId="4" fillId="0" borderId="21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167" fontId="4" fillId="3" borderId="13" xfId="0" applyNumberFormat="1" applyFont="1" applyFill="1" applyBorder="1" applyAlignment="1">
      <alignment horizontal="center"/>
    </xf>
    <xf numFmtId="164" fontId="4" fillId="0" borderId="20" xfId="0" applyNumberFormat="1" applyFont="1" applyFill="1" applyBorder="1"/>
    <xf numFmtId="167" fontId="4" fillId="0" borderId="5" xfId="0" applyNumberFormat="1" applyFont="1" applyFill="1" applyBorder="1" applyAlignment="1">
      <alignment horizontal="center"/>
    </xf>
    <xf numFmtId="167" fontId="4" fillId="3" borderId="5" xfId="0" applyNumberFormat="1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4" fontId="4" fillId="0" borderId="13" xfId="4" applyNumberFormat="1" applyFont="1" applyBorder="1" applyAlignment="1">
      <alignment horizontal="center"/>
    </xf>
    <xf numFmtId="164" fontId="4" fillId="0" borderId="21" xfId="4" applyNumberFormat="1" applyFont="1" applyBorder="1" applyAlignment="1">
      <alignment horizontal="center"/>
    </xf>
    <xf numFmtId="164" fontId="4" fillId="0" borderId="44" xfId="0" applyNumberFormat="1" applyFont="1" applyBorder="1"/>
    <xf numFmtId="5" fontId="4" fillId="0" borderId="34" xfId="0" applyNumberFormat="1" applyFont="1" applyBorder="1" applyAlignment="1">
      <alignment horizontal="right"/>
    </xf>
    <xf numFmtId="164" fontId="4" fillId="0" borderId="25" xfId="0" applyNumberFormat="1" applyFont="1" applyBorder="1"/>
    <xf numFmtId="164" fontId="4" fillId="0" borderId="25" xfId="4" applyNumberFormat="1" applyFont="1" applyBorder="1" applyAlignment="1">
      <alignment horizontal="center"/>
    </xf>
    <xf numFmtId="164" fontId="4" fillId="0" borderId="34" xfId="4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right"/>
    </xf>
    <xf numFmtId="164" fontId="4" fillId="0" borderId="44" xfId="0" applyNumberFormat="1" applyFont="1" applyBorder="1" applyAlignment="1">
      <alignment horizontal="right"/>
    </xf>
    <xf numFmtId="164" fontId="4" fillId="0" borderId="44" xfId="0" applyNumberFormat="1" applyFont="1" applyFill="1" applyBorder="1" applyAlignment="1">
      <alignment horizontal="right"/>
    </xf>
    <xf numFmtId="167" fontId="4" fillId="5" borderId="13" xfId="0" applyNumberFormat="1" applyFont="1" applyFill="1" applyBorder="1"/>
    <xf numFmtId="167" fontId="4" fillId="5" borderId="14" xfId="1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right"/>
    </xf>
    <xf numFmtId="164" fontId="4" fillId="0" borderId="62" xfId="0" applyNumberFormat="1" applyFont="1" applyBorder="1"/>
    <xf numFmtId="5" fontId="4" fillId="0" borderId="52" xfId="0" applyNumberFormat="1" applyFont="1" applyBorder="1" applyAlignment="1">
      <alignment horizontal="right"/>
    </xf>
    <xf numFmtId="164" fontId="4" fillId="0" borderId="51" xfId="0" applyNumberFormat="1" applyFont="1" applyBorder="1"/>
    <xf numFmtId="0" fontId="4" fillId="0" borderId="51" xfId="0" applyFont="1" applyBorder="1" applyAlignment="1">
      <alignment horizontal="center"/>
    </xf>
    <xf numFmtId="3" fontId="4" fillId="0" borderId="0" xfId="1" applyNumberFormat="1" applyFont="1" applyFill="1" applyBorder="1" applyAlignment="1">
      <alignment horizontal="right"/>
    </xf>
    <xf numFmtId="164" fontId="4" fillId="0" borderId="21" xfId="4" applyNumberFormat="1" applyFont="1" applyBorder="1" applyAlignment="1"/>
    <xf numFmtId="164" fontId="4" fillId="0" borderId="34" xfId="4" applyNumberFormat="1" applyFont="1" applyBorder="1" applyAlignment="1"/>
    <xf numFmtId="0" fontId="3" fillId="0" borderId="6" xfId="0" applyFont="1" applyBorder="1"/>
    <xf numFmtId="0" fontId="4" fillId="0" borderId="33" xfId="0" applyFont="1" applyBorder="1" applyAlignment="1">
      <alignment horizontal="left" indent="1"/>
    </xf>
    <xf numFmtId="0" fontId="3" fillId="0" borderId="7" xfId="0" applyFont="1" applyBorder="1"/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left" indent="3"/>
    </xf>
    <xf numFmtId="0" fontId="4" fillId="0" borderId="23" xfId="0" applyFont="1" applyBorder="1"/>
    <xf numFmtId="164" fontId="4" fillId="0" borderId="3" xfId="4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3" fillId="0" borderId="64" xfId="0" applyFont="1" applyBorder="1"/>
    <xf numFmtId="0" fontId="4" fillId="0" borderId="65" xfId="0" applyFont="1" applyBorder="1"/>
    <xf numFmtId="0" fontId="4" fillId="0" borderId="30" xfId="0" applyFont="1" applyBorder="1"/>
    <xf numFmtId="0" fontId="2" fillId="0" borderId="0" xfId="0" applyFont="1" applyFill="1" applyAlignment="1" applyProtection="1"/>
    <xf numFmtId="0" fontId="0" fillId="0" borderId="0" xfId="0" applyFill="1"/>
    <xf numFmtId="0" fontId="2" fillId="0" borderId="0" xfId="0" applyFont="1"/>
    <xf numFmtId="0" fontId="3" fillId="0" borderId="39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9" fontId="4" fillId="0" borderId="40" xfId="0" applyNumberFormat="1" applyFont="1" applyBorder="1"/>
    <xf numFmtId="169" fontId="4" fillId="0" borderId="36" xfId="0" applyNumberFormat="1" applyFont="1" applyBorder="1"/>
    <xf numFmtId="0" fontId="4" fillId="5" borderId="26" xfId="0" applyFont="1" applyFill="1" applyBorder="1"/>
    <xf numFmtId="167" fontId="4" fillId="0" borderId="16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7" fontId="4" fillId="3" borderId="3" xfId="0" applyNumberFormat="1" applyFont="1" applyFill="1" applyBorder="1" applyAlignment="1">
      <alignment horizontal="center"/>
    </xf>
    <xf numFmtId="167" fontId="4" fillId="0" borderId="3" xfId="0" applyNumberFormat="1" applyFont="1" applyBorder="1"/>
    <xf numFmtId="0" fontId="4" fillId="0" borderId="72" xfId="0" applyFont="1" applyBorder="1"/>
    <xf numFmtId="0" fontId="3" fillId="0" borderId="71" xfId="0" applyFont="1" applyBorder="1" applyAlignment="1">
      <alignment horizontal="left" indent="5"/>
    </xf>
    <xf numFmtId="164" fontId="4" fillId="0" borderId="3" xfId="4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/>
    <xf numFmtId="0" fontId="4" fillId="0" borderId="67" xfId="0" applyFont="1" applyBorder="1"/>
    <xf numFmtId="0" fontId="4" fillId="0" borderId="66" xfId="0" applyFont="1" applyBorder="1"/>
    <xf numFmtId="0" fontId="4" fillId="0" borderId="15" xfId="0" applyFont="1" applyFill="1" applyBorder="1"/>
    <xf numFmtId="167" fontId="4" fillId="0" borderId="16" xfId="1" applyNumberFormat="1" applyFon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14" xfId="4" applyNumberFormat="1" applyFont="1" applyFill="1" applyBorder="1" applyAlignment="1">
      <alignment horizontal="right"/>
    </xf>
    <xf numFmtId="0" fontId="4" fillId="0" borderId="14" xfId="0" applyFont="1" applyFill="1" applyBorder="1"/>
    <xf numFmtId="5" fontId="4" fillId="0" borderId="83" xfId="0" applyNumberFormat="1" applyFont="1" applyBorder="1" applyAlignment="1">
      <alignment horizontal="right"/>
    </xf>
    <xf numFmtId="1" fontId="4" fillId="0" borderId="84" xfId="0" applyNumberFormat="1" applyFont="1" applyFill="1" applyBorder="1" applyAlignment="1">
      <alignment horizontal="center"/>
    </xf>
    <xf numFmtId="1" fontId="4" fillId="0" borderId="85" xfId="0" applyNumberFormat="1" applyFont="1" applyFill="1" applyBorder="1" applyAlignment="1">
      <alignment horizontal="center"/>
    </xf>
    <xf numFmtId="168" fontId="4" fillId="0" borderId="83" xfId="0" applyNumberFormat="1" applyFont="1" applyFill="1" applyBorder="1" applyAlignment="1">
      <alignment horizontal="right"/>
    </xf>
    <xf numFmtId="164" fontId="3" fillId="0" borderId="80" xfId="0" applyNumberFormat="1" applyFont="1" applyBorder="1" applyAlignment="1">
      <alignment horizontal="center"/>
    </xf>
    <xf numFmtId="167" fontId="4" fillId="0" borderId="82" xfId="13" applyNumberForma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67" fontId="4" fillId="0" borderId="87" xfId="13" applyNumberFormat="1" applyFill="1" applyBorder="1" applyAlignment="1">
      <alignment horizontal="right"/>
    </xf>
    <xf numFmtId="167" fontId="4" fillId="0" borderId="83" xfId="0" applyNumberFormat="1" applyFont="1" applyBorder="1" applyAlignment="1">
      <alignment horizontal="right"/>
    </xf>
    <xf numFmtId="0" fontId="4" fillId="0" borderId="84" xfId="0" applyNumberFormat="1" applyFont="1" applyFill="1" applyBorder="1" applyAlignment="1">
      <alignment horizontal="center"/>
    </xf>
    <xf numFmtId="167" fontId="4" fillId="0" borderId="87" xfId="13" applyNumberFormat="1" applyBorder="1" applyAlignment="1">
      <alignment horizontal="right"/>
    </xf>
    <xf numFmtId="167" fontId="4" fillId="0" borderId="24" xfId="13" applyNumberFormat="1" applyBorder="1" applyAlignment="1">
      <alignment horizontal="right"/>
    </xf>
    <xf numFmtId="167" fontId="4" fillId="0" borderId="82" xfId="0" applyNumberFormat="1" applyFont="1" applyFill="1" applyBorder="1" applyAlignment="1">
      <alignment horizontal="right"/>
    </xf>
    <xf numFmtId="167" fontId="4" fillId="0" borderId="83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left" indent="1"/>
    </xf>
    <xf numFmtId="167" fontId="4" fillId="0" borderId="21" xfId="1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center"/>
    </xf>
    <xf numFmtId="164" fontId="3" fillId="0" borderId="81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8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51" xfId="0" applyNumberFormat="1" applyFont="1" applyFill="1" applyBorder="1" applyAlignment="1">
      <alignment horizontal="center"/>
    </xf>
    <xf numFmtId="5" fontId="4" fillId="0" borderId="13" xfId="0" applyNumberFormat="1" applyFont="1" applyBorder="1" applyAlignment="1">
      <alignment horizontal="right"/>
    </xf>
    <xf numFmtId="5" fontId="4" fillId="0" borderId="25" xfId="0" applyNumberFormat="1" applyFont="1" applyBorder="1" applyAlignment="1">
      <alignment horizontal="right"/>
    </xf>
    <xf numFmtId="5" fontId="4" fillId="0" borderId="5" xfId="0" applyNumberFormat="1" applyFont="1" applyBorder="1" applyAlignment="1">
      <alignment horizontal="right"/>
    </xf>
    <xf numFmtId="164" fontId="4" fillId="0" borderId="16" xfId="4" applyNumberFormat="1" applyFont="1" applyFill="1" applyBorder="1" applyAlignment="1">
      <alignment horizontal="center"/>
    </xf>
    <xf numFmtId="164" fontId="4" fillId="0" borderId="21" xfId="4" applyNumberFormat="1" applyFont="1" applyFill="1" applyBorder="1" applyAlignment="1">
      <alignment horizontal="center"/>
    </xf>
    <xf numFmtId="164" fontId="4" fillId="0" borderId="34" xfId="4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169" fontId="3" fillId="0" borderId="57" xfId="0" applyNumberFormat="1" applyFont="1" applyBorder="1"/>
    <xf numFmtId="169" fontId="3" fillId="0" borderId="89" xfId="0" applyNumberFormat="1" applyFont="1" applyBorder="1"/>
    <xf numFmtId="169" fontId="3" fillId="0" borderId="90" xfId="0" applyNumberFormat="1" applyFont="1" applyBorder="1"/>
    <xf numFmtId="0" fontId="4" fillId="5" borderId="68" xfId="0" applyFont="1" applyFill="1" applyBorder="1"/>
    <xf numFmtId="0" fontId="3" fillId="0" borderId="92" xfId="0" applyFont="1" applyBorder="1" applyAlignment="1">
      <alignment horizontal="center"/>
    </xf>
    <xf numFmtId="3" fontId="4" fillId="0" borderId="93" xfId="0" applyNumberFormat="1" applyFont="1" applyBorder="1" applyAlignment="1">
      <alignment horizontal="center"/>
    </xf>
    <xf numFmtId="169" fontId="4" fillId="0" borderId="94" xfId="0" applyNumberFormat="1" applyFont="1" applyBorder="1"/>
    <xf numFmtId="3" fontId="4" fillId="0" borderId="95" xfId="0" applyNumberFormat="1" applyFont="1" applyBorder="1" applyAlignment="1">
      <alignment horizontal="center"/>
    </xf>
    <xf numFmtId="169" fontId="4" fillId="0" borderId="96" xfId="0" applyNumberFormat="1" applyFont="1" applyBorder="1"/>
    <xf numFmtId="167" fontId="4" fillId="0" borderId="16" xfId="1" applyNumberFormat="1" applyFont="1" applyBorder="1"/>
    <xf numFmtId="167" fontId="4" fillId="0" borderId="3" xfId="1" applyNumberFormat="1" applyFont="1" applyBorder="1"/>
    <xf numFmtId="167" fontId="4" fillId="0" borderId="15" xfId="0" applyNumberFormat="1" applyFont="1" applyBorder="1"/>
    <xf numFmtId="167" fontId="4" fillId="0" borderId="4" xfId="2" applyNumberFormat="1" applyFont="1" applyBorder="1"/>
    <xf numFmtId="167" fontId="4" fillId="0" borderId="14" xfId="2" applyNumberFormat="1" applyFont="1" applyBorder="1"/>
    <xf numFmtId="167" fontId="4" fillId="0" borderId="14" xfId="2" applyNumberFormat="1" applyFont="1" applyFill="1" applyBorder="1"/>
    <xf numFmtId="167" fontId="4" fillId="2" borderId="16" xfId="1" applyNumberFormat="1" applyFont="1" applyFill="1" applyBorder="1"/>
    <xf numFmtId="167" fontId="4" fillId="0" borderId="3" xfId="2" applyNumberFormat="1" applyFont="1" applyBorder="1"/>
    <xf numFmtId="167" fontId="4" fillId="0" borderId="16" xfId="2" applyNumberFormat="1" applyFont="1" applyBorder="1"/>
    <xf numFmtId="167" fontId="4" fillId="0" borderId="16" xfId="2" applyNumberFormat="1" applyFont="1" applyFill="1" applyBorder="1"/>
    <xf numFmtId="167" fontId="4" fillId="0" borderId="21" xfId="1" applyNumberFormat="1" applyFont="1" applyBorder="1"/>
    <xf numFmtId="167" fontId="4" fillId="0" borderId="13" xfId="1" applyNumberFormat="1" applyFont="1" applyBorder="1"/>
    <xf numFmtId="167" fontId="4" fillId="0" borderId="20" xfId="0" applyNumberFormat="1" applyFont="1" applyBorder="1"/>
    <xf numFmtId="167" fontId="4" fillId="0" borderId="0" xfId="2" applyNumberFormat="1" applyFont="1" applyBorder="1"/>
    <xf numFmtId="167" fontId="4" fillId="0" borderId="24" xfId="2" applyNumberFormat="1" applyFont="1" applyBorder="1"/>
    <xf numFmtId="167" fontId="4" fillId="0" borderId="24" xfId="2" applyNumberFormat="1" applyFont="1" applyFill="1" applyBorder="1"/>
    <xf numFmtId="167" fontId="3" fillId="0" borderId="59" xfId="1" applyNumberFormat="1" applyFont="1" applyBorder="1"/>
    <xf numFmtId="167" fontId="3" fillId="0" borderId="56" xfId="0" applyNumberFormat="1" applyFont="1" applyBorder="1"/>
    <xf numFmtId="167" fontId="3" fillId="0" borderId="56" xfId="1" applyNumberFormat="1" applyFont="1" applyBorder="1"/>
    <xf numFmtId="167" fontId="3" fillId="0" borderId="60" xfId="0" applyNumberFormat="1" applyFont="1" applyBorder="1"/>
    <xf numFmtId="167" fontId="4" fillId="0" borderId="16" xfId="1" applyNumberFormat="1" applyFont="1" applyFill="1" applyBorder="1"/>
    <xf numFmtId="167" fontId="4" fillId="0" borderId="14" xfId="1" applyNumberFormat="1" applyFont="1" applyBorder="1"/>
    <xf numFmtId="167" fontId="4" fillId="0" borderId="4" xfId="1" applyNumberFormat="1" applyFont="1" applyBorder="1"/>
    <xf numFmtId="167" fontId="4" fillId="0" borderId="17" xfId="0" applyNumberFormat="1" applyFont="1" applyBorder="1"/>
    <xf numFmtId="167" fontId="3" fillId="0" borderId="24" xfId="1" applyNumberFormat="1" applyFont="1" applyBorder="1"/>
    <xf numFmtId="167" fontId="3" fillId="0" borderId="0" xfId="1" applyNumberFormat="1" applyFont="1" applyBorder="1"/>
    <xf numFmtId="167" fontId="4" fillId="0" borderId="23" xfId="0" applyNumberFormat="1" applyFont="1" applyBorder="1"/>
    <xf numFmtId="167" fontId="3" fillId="0" borderId="73" xfId="1" applyNumberFormat="1" applyFont="1" applyBorder="1"/>
    <xf numFmtId="167" fontId="4" fillId="0" borderId="74" xfId="0" applyNumberFormat="1" applyFont="1" applyBorder="1"/>
    <xf numFmtId="167" fontId="3" fillId="0" borderId="74" xfId="1" applyNumberFormat="1" applyFont="1" applyBorder="1"/>
    <xf numFmtId="167" fontId="4" fillId="0" borderId="72" xfId="0" applyNumberFormat="1" applyFont="1" applyBorder="1"/>
    <xf numFmtId="0" fontId="3" fillId="0" borderId="12" xfId="0" applyFont="1" applyBorder="1" applyAlignment="1">
      <alignment horizontal="center"/>
    </xf>
    <xf numFmtId="167" fontId="7" fillId="0" borderId="34" xfId="0" applyNumberFormat="1" applyFont="1" applyFill="1" applyBorder="1"/>
    <xf numFmtId="0" fontId="4" fillId="0" borderId="82" xfId="0" applyNumberFormat="1" applyFont="1" applyFill="1" applyBorder="1" applyAlignment="1">
      <alignment horizontal="center"/>
    </xf>
    <xf numFmtId="0" fontId="4" fillId="0" borderId="85" xfId="0" applyNumberFormat="1" applyFont="1" applyFill="1" applyBorder="1" applyAlignment="1">
      <alignment horizontal="center"/>
    </xf>
    <xf numFmtId="0" fontId="4" fillId="0" borderId="83" xfId="0" applyNumberFormat="1" applyFont="1" applyFill="1" applyBorder="1" applyAlignment="1">
      <alignment horizontal="center"/>
    </xf>
    <xf numFmtId="169" fontId="4" fillId="6" borderId="94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0" borderId="14" xfId="0" applyNumberFormat="1" applyFont="1" applyFill="1" applyBorder="1"/>
    <xf numFmtId="3" fontId="4" fillId="0" borderId="40" xfId="0" applyNumberFormat="1" applyFont="1" applyFill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3" fontId="4" fillId="0" borderId="3" xfId="0" applyNumberFormat="1" applyFont="1" applyBorder="1"/>
    <xf numFmtId="3" fontId="4" fillId="0" borderId="14" xfId="2" applyNumberFormat="1" applyFont="1" applyFill="1" applyBorder="1"/>
    <xf numFmtId="3" fontId="4" fillId="0" borderId="40" xfId="2" applyNumberFormat="1" applyFont="1" applyFill="1" applyBorder="1"/>
    <xf numFmtId="3" fontId="4" fillId="0" borderId="12" xfId="2" applyNumberFormat="1" applyFont="1" applyFill="1" applyBorder="1"/>
    <xf numFmtId="3" fontId="4" fillId="0" borderId="38" xfId="0" applyNumberFormat="1" applyFont="1" applyBorder="1"/>
    <xf numFmtId="3" fontId="4" fillId="0" borderId="40" xfId="0" applyNumberFormat="1" applyFont="1" applyBorder="1"/>
    <xf numFmtId="3" fontId="4" fillId="0" borderId="16" xfId="2" applyNumberFormat="1" applyFont="1" applyFill="1" applyBorder="1"/>
    <xf numFmtId="3" fontId="4" fillId="0" borderId="30" xfId="2" applyNumberFormat="1" applyFont="1" applyFill="1" applyBorder="1"/>
    <xf numFmtId="3" fontId="4" fillId="0" borderId="31" xfId="0" applyNumberFormat="1" applyFont="1" applyBorder="1"/>
    <xf numFmtId="3" fontId="4" fillId="0" borderId="13" xfId="0" applyNumberFormat="1" applyFont="1" applyBorder="1"/>
    <xf numFmtId="3" fontId="4" fillId="0" borderId="24" xfId="2" applyNumberFormat="1" applyFont="1" applyFill="1" applyBorder="1"/>
    <xf numFmtId="3" fontId="4" fillId="0" borderId="42" xfId="0" applyNumberFormat="1" applyFont="1" applyBorder="1"/>
    <xf numFmtId="3" fontId="4" fillId="0" borderId="36" xfId="0" applyNumberFormat="1" applyFont="1" applyBorder="1"/>
    <xf numFmtId="3" fontId="3" fillId="0" borderId="56" xfId="0" applyNumberFormat="1" applyFont="1" applyBorder="1"/>
    <xf numFmtId="3" fontId="3" fillId="0" borderId="59" xfId="1" applyNumberFormat="1" applyFont="1" applyBorder="1"/>
    <xf numFmtId="3" fontId="3" fillId="0" borderId="59" xfId="1" applyNumberFormat="1" applyFont="1" applyFill="1" applyBorder="1"/>
    <xf numFmtId="3" fontId="3" fillId="0" borderId="57" xfId="1" applyNumberFormat="1" applyFont="1" applyFill="1" applyBorder="1"/>
    <xf numFmtId="3" fontId="3" fillId="0" borderId="12" xfId="1" applyNumberFormat="1" applyFont="1" applyFill="1" applyBorder="1"/>
    <xf numFmtId="3" fontId="4" fillId="0" borderId="61" xfId="0" applyNumberFormat="1" applyFont="1" applyBorder="1"/>
    <xf numFmtId="3" fontId="3" fillId="0" borderId="57" xfId="0" applyNumberFormat="1" applyFont="1" applyBorder="1"/>
    <xf numFmtId="3" fontId="4" fillId="0" borderId="16" xfId="1" applyNumberFormat="1" applyFont="1" applyBorder="1"/>
    <xf numFmtId="3" fontId="4" fillId="0" borderId="16" xfId="1" applyNumberFormat="1" applyFont="1" applyFill="1" applyBorder="1"/>
    <xf numFmtId="3" fontId="4" fillId="0" borderId="30" xfId="1" applyNumberFormat="1" applyFont="1" applyFill="1" applyBorder="1"/>
    <xf numFmtId="3" fontId="4" fillId="0" borderId="12" xfId="1" applyNumberFormat="1" applyFont="1" applyFill="1" applyBorder="1"/>
    <xf numFmtId="3" fontId="4" fillId="0" borderId="14" xfId="1" applyNumberFormat="1" applyFont="1" applyBorder="1"/>
    <xf numFmtId="3" fontId="4" fillId="0" borderId="14" xfId="1" applyNumberFormat="1" applyFont="1" applyFill="1" applyBorder="1"/>
    <xf numFmtId="3" fontId="4" fillId="0" borderId="40" xfId="1" applyNumberFormat="1" applyFont="1" applyFill="1" applyBorder="1"/>
    <xf numFmtId="3" fontId="4" fillId="0" borderId="21" xfId="1" applyNumberFormat="1" applyFont="1" applyBorder="1"/>
    <xf numFmtId="3" fontId="4" fillId="0" borderId="21" xfId="1" applyNumberFormat="1" applyFont="1" applyFill="1" applyBorder="1"/>
    <xf numFmtId="3" fontId="4" fillId="0" borderId="36" xfId="1" applyNumberFormat="1" applyFont="1" applyFill="1" applyBorder="1"/>
    <xf numFmtId="3" fontId="3" fillId="0" borderId="24" xfId="1" applyNumberFormat="1" applyFont="1" applyBorder="1"/>
    <xf numFmtId="3" fontId="3" fillId="0" borderId="24" xfId="1" applyNumberFormat="1" applyFont="1" applyFill="1" applyBorder="1"/>
    <xf numFmtId="3" fontId="4" fillId="0" borderId="78" xfId="0" applyNumberFormat="1" applyFont="1" applyBorder="1"/>
    <xf numFmtId="3" fontId="3" fillId="0" borderId="79" xfId="0" applyNumberFormat="1" applyFont="1" applyBorder="1"/>
    <xf numFmtId="3" fontId="4" fillId="0" borderId="16" xfId="1" applyNumberFormat="1" applyFont="1" applyFill="1" applyBorder="1" applyAlignment="1">
      <alignment horizontal="right"/>
    </xf>
    <xf numFmtId="3" fontId="4" fillId="5" borderId="3" xfId="0" applyNumberFormat="1" applyFont="1" applyFill="1" applyBorder="1"/>
    <xf numFmtId="3" fontId="4" fillId="5" borderId="16" xfId="1" applyNumberFormat="1" applyFont="1" applyFill="1" applyBorder="1" applyAlignment="1">
      <alignment horizontal="right"/>
    </xf>
    <xf numFmtId="3" fontId="4" fillId="4" borderId="30" xfId="1" applyNumberFormat="1" applyFont="1" applyFill="1" applyBorder="1" applyAlignment="1">
      <alignment horizontal="right"/>
    </xf>
    <xf numFmtId="3" fontId="4" fillId="0" borderId="12" xfId="1" applyNumberFormat="1" applyFont="1" applyFill="1" applyBorder="1" applyAlignment="1">
      <alignment horizontal="right"/>
    </xf>
    <xf numFmtId="3" fontId="4" fillId="5" borderId="13" xfId="0" applyNumberFormat="1" applyFont="1" applyFill="1" applyBorder="1"/>
    <xf numFmtId="3" fontId="4" fillId="5" borderId="14" xfId="1" applyNumberFormat="1" applyFont="1" applyFill="1" applyBorder="1" applyAlignment="1">
      <alignment horizontal="right"/>
    </xf>
    <xf numFmtId="3" fontId="4" fillId="4" borderId="40" xfId="1" applyNumberFormat="1" applyFont="1" applyFill="1" applyBorder="1" applyAlignment="1">
      <alignment horizontal="right"/>
    </xf>
    <xf numFmtId="3" fontId="4" fillId="0" borderId="20" xfId="0" applyNumberFormat="1" applyFont="1" applyBorder="1"/>
    <xf numFmtId="3" fontId="4" fillId="0" borderId="21" xfId="1" applyNumberFormat="1" applyFont="1" applyFill="1" applyBorder="1" applyAlignment="1">
      <alignment horizontal="right"/>
    </xf>
    <xf numFmtId="3" fontId="4" fillId="4" borderId="36" xfId="1" applyNumberFormat="1" applyFont="1" applyFill="1" applyBorder="1" applyAlignment="1">
      <alignment horizontal="right"/>
    </xf>
    <xf numFmtId="3" fontId="4" fillId="0" borderId="35" xfId="0" applyNumberFormat="1" applyFont="1" applyBorder="1"/>
    <xf numFmtId="3" fontId="3" fillId="0" borderId="51" xfId="0" applyNumberFormat="1" applyFont="1" applyFill="1" applyBorder="1" applyAlignment="1">
      <alignment horizontal="center"/>
    </xf>
    <xf numFmtId="3" fontId="3" fillId="0" borderId="8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52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91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82" xfId="0" applyNumberFormat="1" applyFont="1" applyFill="1" applyBorder="1" applyAlignment="1">
      <alignment horizontal="right"/>
    </xf>
    <xf numFmtId="3" fontId="4" fillId="0" borderId="8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" fillId="2" borderId="69" xfId="0" applyNumberFormat="1" applyFont="1" applyFill="1" applyBorder="1"/>
    <xf numFmtId="3" fontId="4" fillId="2" borderId="40" xfId="0" applyNumberFormat="1" applyFont="1" applyFill="1" applyBorder="1"/>
    <xf numFmtId="3" fontId="4" fillId="0" borderId="18" xfId="0" applyNumberFormat="1" applyFont="1" applyFill="1" applyBorder="1" applyAlignment="1">
      <alignment horizontal="center"/>
    </xf>
    <xf numFmtId="3" fontId="4" fillId="0" borderId="83" xfId="0" applyNumberFormat="1" applyFont="1" applyFill="1" applyBorder="1" applyAlignment="1">
      <alignment horizontal="right"/>
    </xf>
    <xf numFmtId="3" fontId="4" fillId="0" borderId="85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4" fillId="2" borderId="70" xfId="0" applyNumberFormat="1" applyFont="1" applyFill="1" applyBorder="1"/>
    <xf numFmtId="3" fontId="4" fillId="2" borderId="43" xfId="0" applyNumberFormat="1" applyFont="1" applyFill="1" applyBorder="1" applyAlignment="1">
      <alignment horizontal="center"/>
    </xf>
    <xf numFmtId="3" fontId="4" fillId="0" borderId="5" xfId="0" applyNumberFormat="1" applyFont="1" applyBorder="1"/>
    <xf numFmtId="3" fontId="4" fillId="0" borderId="12" xfId="0" applyNumberFormat="1" applyFont="1" applyFill="1" applyBorder="1" applyAlignment="1">
      <alignment horizontal="center"/>
    </xf>
    <xf numFmtId="3" fontId="7" fillId="0" borderId="16" xfId="0" applyNumberFormat="1" applyFont="1" applyFill="1" applyBorder="1"/>
    <xf numFmtId="3" fontId="4" fillId="5" borderId="0" xfId="0" applyNumberFormat="1" applyFont="1" applyFill="1" applyBorder="1"/>
    <xf numFmtId="3" fontId="7" fillId="5" borderId="16" xfId="0" applyNumberFormat="1" applyFont="1" applyFill="1" applyBorder="1"/>
    <xf numFmtId="3" fontId="4" fillId="4" borderId="0" xfId="0" applyNumberFormat="1" applyFont="1" applyFill="1" applyBorder="1"/>
    <xf numFmtId="3" fontId="7" fillId="4" borderId="30" xfId="0" applyNumberFormat="1" applyFont="1" applyFill="1" applyBorder="1"/>
    <xf numFmtId="3" fontId="7" fillId="0" borderId="0" xfId="0" applyNumberFormat="1" applyFont="1" applyFill="1" applyBorder="1"/>
    <xf numFmtId="3" fontId="7" fillId="0" borderId="19" xfId="0" applyNumberFormat="1" applyFont="1" applyFill="1" applyBorder="1" applyAlignment="1" applyProtection="1"/>
    <xf numFmtId="3" fontId="4" fillId="5" borderId="5" xfId="0" applyNumberFormat="1" applyFont="1" applyFill="1" applyBorder="1"/>
    <xf numFmtId="3" fontId="7" fillId="5" borderId="19" xfId="0" applyNumberFormat="1" applyFont="1" applyFill="1" applyBorder="1" applyAlignment="1" applyProtection="1"/>
    <xf numFmtId="3" fontId="4" fillId="4" borderId="5" xfId="0" applyNumberFormat="1" applyFont="1" applyFill="1" applyBorder="1"/>
    <xf numFmtId="3" fontId="7" fillId="4" borderId="43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3" fontId="4" fillId="0" borderId="14" xfId="0" applyNumberFormat="1" applyFont="1" applyBorder="1"/>
    <xf numFmtId="3" fontId="4" fillId="0" borderId="12" xfId="0" applyNumberFormat="1" applyFont="1" applyBorder="1"/>
    <xf numFmtId="3" fontId="4" fillId="0" borderId="97" xfId="1" applyNumberFormat="1" applyFont="1" applyFill="1" applyBorder="1"/>
    <xf numFmtId="3" fontId="4" fillId="0" borderId="45" xfId="0" applyNumberFormat="1" applyFont="1" applyBorder="1"/>
    <xf numFmtId="3" fontId="4" fillId="0" borderId="3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5" borderId="16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5" borderId="14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5" borderId="34" xfId="0" applyNumberFormat="1" applyFont="1" applyFill="1" applyBorder="1" applyAlignment="1">
      <alignment horizontal="right"/>
    </xf>
    <xf numFmtId="3" fontId="4" fillId="2" borderId="41" xfId="0" applyNumberFormat="1" applyFont="1" applyFill="1" applyBorder="1" applyAlignment="1">
      <alignment horizontal="right"/>
    </xf>
    <xf numFmtId="3" fontId="7" fillId="0" borderId="24" xfId="0" applyNumberFormat="1" applyFont="1" applyFill="1" applyBorder="1"/>
    <xf numFmtId="3" fontId="7" fillId="2" borderId="12" xfId="0" applyNumberFormat="1" applyFont="1" applyFill="1" applyBorder="1"/>
    <xf numFmtId="3" fontId="4" fillId="0" borderId="19" xfId="4" applyNumberFormat="1" applyFont="1" applyFill="1" applyBorder="1" applyAlignment="1">
      <alignment horizontal="right"/>
    </xf>
    <xf numFmtId="3" fontId="4" fillId="2" borderId="43" xfId="4" applyNumberFormat="1" applyFont="1" applyFill="1" applyBorder="1" applyAlignment="1">
      <alignment horizontal="right"/>
    </xf>
    <xf numFmtId="3" fontId="4" fillId="0" borderId="43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4" fillId="0" borderId="74" xfId="0" applyNumberFormat="1" applyFont="1" applyBorder="1"/>
    <xf numFmtId="3" fontId="3" fillId="0" borderId="73" xfId="1" applyNumberFormat="1" applyFont="1" applyBorder="1"/>
    <xf numFmtId="3" fontId="3" fillId="0" borderId="73" xfId="1" applyNumberFormat="1" applyFont="1" applyFill="1" applyBorder="1"/>
    <xf numFmtId="3" fontId="3" fillId="0" borderId="75" xfId="1" applyNumberFormat="1" applyFont="1" applyFill="1" applyBorder="1"/>
    <xf numFmtId="3" fontId="4" fillId="0" borderId="16" xfId="0" applyNumberFormat="1" applyFont="1" applyFill="1" applyBorder="1" applyAlignment="1">
      <alignment horizontal="center"/>
    </xf>
    <xf numFmtId="3" fontId="4" fillId="5" borderId="16" xfId="0" applyNumberFormat="1" applyFont="1" applyFill="1" applyBorder="1" applyAlignment="1">
      <alignment horizontal="center"/>
    </xf>
    <xf numFmtId="3" fontId="4" fillId="4" borderId="3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/>
    </xf>
    <xf numFmtId="3" fontId="4" fillId="4" borderId="36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4" borderId="43" xfId="0" applyNumberFormat="1" applyFont="1" applyFill="1" applyBorder="1" applyAlignment="1">
      <alignment horizontal="center"/>
    </xf>
    <xf numFmtId="3" fontId="7" fillId="4" borderId="12" xfId="0" applyNumberFormat="1" applyFont="1" applyFill="1" applyBorder="1"/>
    <xf numFmtId="3" fontId="4" fillId="4" borderId="43" xfId="4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4" fillId="0" borderId="3" xfId="0" applyNumberFormat="1" applyFont="1" applyFill="1" applyBorder="1" applyAlignment="1"/>
    <xf numFmtId="3" fontId="4" fillId="0" borderId="16" xfId="0" applyNumberFormat="1" applyFont="1" applyFill="1" applyBorder="1" applyAlignment="1"/>
    <xf numFmtId="3" fontId="4" fillId="5" borderId="16" xfId="0" applyNumberFormat="1" applyFont="1" applyFill="1" applyBorder="1" applyAlignment="1"/>
    <xf numFmtId="3" fontId="4" fillId="0" borderId="3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/>
    <xf numFmtId="3" fontId="4" fillId="0" borderId="14" xfId="4" applyNumberFormat="1" applyFont="1" applyBorder="1" applyAlignment="1"/>
    <xf numFmtId="3" fontId="4" fillId="0" borderId="4" xfId="0" applyNumberFormat="1" applyFont="1" applyFill="1" applyBorder="1" applyAlignment="1"/>
    <xf numFmtId="3" fontId="4" fillId="0" borderId="4" xfId="0" applyNumberFormat="1" applyFont="1" applyFill="1" applyBorder="1" applyAlignment="1">
      <alignment horizontal="right"/>
    </xf>
    <xf numFmtId="3" fontId="4" fillId="0" borderId="44" xfId="0" applyNumberFormat="1" applyFont="1" applyBorder="1" applyAlignment="1"/>
    <xf numFmtId="3" fontId="4" fillId="0" borderId="34" xfId="4" applyNumberFormat="1" applyFont="1" applyBorder="1" applyAlignment="1"/>
    <xf numFmtId="3" fontId="4" fillId="0" borderId="25" xfId="0" applyNumberFormat="1" applyFont="1" applyFill="1" applyBorder="1" applyAlignment="1"/>
    <xf numFmtId="3" fontId="4" fillId="0" borderId="25" xfId="0" applyNumberFormat="1" applyFont="1" applyFill="1" applyBorder="1" applyAlignment="1">
      <alignment horizontal="right"/>
    </xf>
    <xf numFmtId="3" fontId="4" fillId="0" borderId="16" xfId="0" applyNumberFormat="1" applyFont="1" applyFill="1" applyBorder="1"/>
    <xf numFmtId="3" fontId="7" fillId="2" borderId="30" xfId="0" applyNumberFormat="1" applyFont="1" applyFill="1" applyBorder="1"/>
    <xf numFmtId="3" fontId="7" fillId="2" borderId="43" xfId="0" applyNumberFormat="1" applyFont="1" applyFill="1" applyBorder="1" applyAlignment="1" applyProtection="1"/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3" xfId="1" applyNumberFormat="1" applyFont="1" applyBorder="1"/>
    <xf numFmtId="3" fontId="4" fillId="0" borderId="17" xfId="0" applyNumberFormat="1" applyFont="1" applyBorder="1"/>
    <xf numFmtId="3" fontId="4" fillId="0" borderId="40" xfId="1" applyNumberFormat="1" applyFont="1" applyBorder="1"/>
    <xf numFmtId="3" fontId="4" fillId="0" borderId="30" xfId="1" applyNumberFormat="1" applyFont="1" applyBorder="1"/>
    <xf numFmtId="3" fontId="4" fillId="0" borderId="22" xfId="0" applyNumberFormat="1" applyFont="1" applyBorder="1"/>
    <xf numFmtId="3" fontId="4" fillId="0" borderId="37" xfId="1" applyNumberFormat="1" applyFont="1" applyBorder="1"/>
    <xf numFmtId="3" fontId="4" fillId="0" borderId="15" xfId="0" applyNumberFormat="1" applyFont="1" applyFill="1" applyBorder="1" applyAlignment="1">
      <alignment horizontal="right"/>
    </xf>
    <xf numFmtId="3" fontId="4" fillId="6" borderId="30" xfId="0" applyNumberFormat="1" applyFont="1" applyFill="1" applyBorder="1" applyAlignment="1">
      <alignment horizontal="right"/>
    </xf>
    <xf numFmtId="3" fontId="4" fillId="0" borderId="44" xfId="0" applyNumberFormat="1" applyFont="1" applyBorder="1"/>
    <xf numFmtId="3" fontId="4" fillId="0" borderId="82" xfId="0" applyNumberFormat="1" applyFont="1" applyFill="1" applyBorder="1" applyAlignment="1">
      <alignment horizontal="center"/>
    </xf>
    <xf numFmtId="3" fontId="4" fillId="6" borderId="84" xfId="0" applyNumberFormat="1" applyFont="1" applyFill="1" applyBorder="1" applyAlignment="1">
      <alignment horizontal="center"/>
    </xf>
    <xf numFmtId="3" fontId="4" fillId="6" borderId="40" xfId="0" applyNumberFormat="1" applyFont="1" applyFill="1" applyBorder="1" applyAlignment="1">
      <alignment horizontal="center"/>
    </xf>
    <xf numFmtId="3" fontId="4" fillId="0" borderId="83" xfId="0" applyNumberFormat="1" applyFont="1" applyFill="1" applyBorder="1" applyAlignment="1">
      <alignment horizontal="center"/>
    </xf>
    <xf numFmtId="3" fontId="4" fillId="6" borderId="85" xfId="0" applyNumberFormat="1" applyFont="1" applyFill="1" applyBorder="1" applyAlignment="1">
      <alignment horizontal="center"/>
    </xf>
    <xf numFmtId="3" fontId="7" fillId="0" borderId="17" xfId="0" applyNumberFormat="1" applyFont="1" applyFill="1" applyBorder="1"/>
    <xf numFmtId="3" fontId="7" fillId="6" borderId="30" xfId="0" applyNumberFormat="1" applyFont="1" applyFill="1" applyBorder="1"/>
    <xf numFmtId="3" fontId="4" fillId="0" borderId="18" xfId="0" applyNumberFormat="1" applyFont="1" applyBorder="1"/>
    <xf numFmtId="3" fontId="7" fillId="0" borderId="34" xfId="0" applyNumberFormat="1" applyFont="1" applyFill="1" applyBorder="1"/>
    <xf numFmtId="3" fontId="7" fillId="0" borderId="44" xfId="0" applyNumberFormat="1" applyFont="1" applyFill="1" applyBorder="1"/>
    <xf numFmtId="3" fontId="7" fillId="6" borderId="41" xfId="0" applyNumberFormat="1" applyFont="1" applyFill="1" applyBorder="1"/>
    <xf numFmtId="3" fontId="4" fillId="0" borderId="34" xfId="4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6" borderId="41" xfId="4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50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66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3" fillId="0" borderId="52" xfId="0" applyNumberFormat="1" applyFont="1" applyFill="1" applyBorder="1" applyAlignment="1">
      <alignment horizontal="center"/>
    </xf>
    <xf numFmtId="3" fontId="3" fillId="0" borderId="68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</cellXfs>
  <cellStyles count="14">
    <cellStyle name="Comma" xfId="1" builtinId="3"/>
    <cellStyle name="Comma_Dean Arch" xfId="2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Normal 4" xfId="12"/>
    <cellStyle name="Normal_Landscape" xfId="10"/>
    <cellStyle name="Normal_Plant_Path" xfId="13"/>
    <cellStyle name="Total" xfId="1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A13" zoomScaleNormal="100" zoomScaleSheetLayoutView="85" workbookViewId="0">
      <pane xSplit="5" topLeftCell="P1" activePane="topRight" state="frozen"/>
      <selection activeCell="AG31" sqref="AG31"/>
      <selection pane="topRight" activeCell="AG31" sqref="AG31"/>
    </sheetView>
  </sheetViews>
  <sheetFormatPr defaultRowHeight="12.75" x14ac:dyDescent="0.2"/>
  <cols>
    <col min="1" max="1" width="32.7109375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hidden="1" customWidth="1"/>
    <col min="7" max="7" width="10.7109375" hidden="1" customWidth="1"/>
    <col min="8" max="8" width="4.7109375" hidden="1" customWidth="1"/>
    <col min="9" max="9" width="10.7109375" hidden="1" customWidth="1"/>
    <col min="10" max="10" width="4.7109375" hidden="1" customWidth="1"/>
    <col min="11" max="11" width="10.7109375" hidden="1" customWidth="1"/>
    <col min="12" max="12" width="4.7109375" hidden="1" customWidth="1"/>
    <col min="13" max="13" width="10.7109375" hidden="1" customWidth="1"/>
    <col min="14" max="14" width="4.7109375" customWidth="1"/>
    <col min="15" max="15" width="10.7109375" customWidth="1"/>
    <col min="16" max="16" width="4.7109375" customWidth="1"/>
    <col min="17" max="17" width="10.7109375" customWidth="1"/>
    <col min="18" max="18" width="4.7109375" customWidth="1"/>
    <col min="19" max="19" width="10.7109375" customWidth="1"/>
    <col min="20" max="20" width="4.7109375" customWidth="1"/>
    <col min="21" max="21" width="10.7109375" customWidth="1"/>
    <col min="22" max="22" width="4.7109375" customWidth="1"/>
    <col min="23" max="23" width="10.7109375" customWidth="1"/>
    <col min="24" max="24" width="4.7109375" customWidth="1"/>
    <col min="25" max="25" width="10.7109375" customWidth="1"/>
    <col min="26" max="26" width="4.7109375" customWidth="1"/>
    <col min="27" max="27" width="10.7109375" customWidth="1"/>
    <col min="28" max="28" width="4.7109375" customWidth="1"/>
    <col min="29" max="29" width="10.7109375" customWidth="1"/>
    <col min="30" max="30" width="3.5703125" customWidth="1"/>
    <col min="31" max="31" width="6" customWidth="1"/>
    <col min="32" max="32" width="11.5703125" customWidth="1"/>
    <col min="33" max="33" width="8.7109375" style="1" customWidth="1"/>
    <col min="34" max="34" width="1.85546875" customWidth="1"/>
  </cols>
  <sheetData>
    <row r="1" spans="1:33" s="1" customFormat="1" ht="15.75" x14ac:dyDescent="0.25">
      <c r="A1" s="156" t="s">
        <v>37</v>
      </c>
      <c r="B1"/>
      <c r="C1"/>
      <c r="D1"/>
      <c r="E1"/>
      <c r="F1" s="157"/>
      <c r="G1" s="157"/>
      <c r="H1" s="157"/>
      <c r="I1" s="157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33" s="1" customFormat="1" ht="15.75" x14ac:dyDescent="0.25">
      <c r="A2" s="156" t="s">
        <v>38</v>
      </c>
      <c r="B2"/>
      <c r="C2"/>
      <c r="D2"/>
      <c r="E2"/>
      <c r="F2" s="157"/>
      <c r="G2" s="157"/>
      <c r="H2" s="157"/>
      <c r="I2" s="157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</row>
    <row r="3" spans="1:33" s="1" customFormat="1" ht="5.25" customHeight="1" x14ac:dyDescent="0.25">
      <c r="A3" s="156"/>
      <c r="B3"/>
      <c r="C3"/>
      <c r="D3"/>
      <c r="E3"/>
      <c r="F3" s="157"/>
      <c r="G3" s="157"/>
      <c r="H3" s="157"/>
      <c r="I3" s="157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</row>
    <row r="4" spans="1:33" s="1" customFormat="1" ht="15.75" x14ac:dyDescent="0.25">
      <c r="A4" s="158" t="s">
        <v>39</v>
      </c>
      <c r="B4"/>
      <c r="C4"/>
      <c r="D4"/>
      <c r="E4"/>
      <c r="F4" s="157"/>
      <c r="G4" s="157"/>
      <c r="H4" s="157"/>
      <c r="I4" s="157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</row>
    <row r="5" spans="1:33" s="1" customFormat="1" ht="6" customHeight="1" x14ac:dyDescent="0.25">
      <c r="A5" s="158"/>
      <c r="B5"/>
      <c r="C5"/>
      <c r="D5"/>
      <c r="E5"/>
      <c r="F5" s="157"/>
      <c r="G5" s="157"/>
      <c r="H5" s="157"/>
      <c r="I5" s="157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</row>
    <row r="6" spans="1:33" s="1" customFormat="1" x14ac:dyDescent="0.2">
      <c r="A6" s="2" t="s">
        <v>42</v>
      </c>
      <c r="F6" s="35"/>
      <c r="G6" s="35"/>
      <c r="H6" s="35"/>
      <c r="I6" s="35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</row>
    <row r="7" spans="1:33" s="1" customFormat="1" ht="10.5" customHeight="1" thickBot="1" x14ac:dyDescent="0.25">
      <c r="A7" s="5"/>
      <c r="B7" s="3"/>
      <c r="C7" s="3"/>
      <c r="D7" s="3"/>
      <c r="E7" s="3"/>
      <c r="F7" s="51"/>
      <c r="G7" s="51"/>
      <c r="H7" s="51"/>
      <c r="I7" s="51"/>
      <c r="J7" s="51"/>
      <c r="K7" s="51"/>
      <c r="L7" s="51"/>
      <c r="M7" s="51"/>
      <c r="N7" s="51"/>
      <c r="O7" s="5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0"/>
      <c r="AE7" s="262"/>
      <c r="AF7" s="262"/>
    </row>
    <row r="8" spans="1:33" s="1" customFormat="1" ht="30" customHeight="1" thickTop="1" thickBot="1" x14ac:dyDescent="0.25">
      <c r="A8" s="87"/>
      <c r="B8" s="435" t="s">
        <v>2</v>
      </c>
      <c r="C8" s="441"/>
      <c r="D8" s="437" t="s">
        <v>3</v>
      </c>
      <c r="E8" s="442"/>
      <c r="F8" s="435" t="s">
        <v>16</v>
      </c>
      <c r="G8" s="436"/>
      <c r="H8" s="437" t="s">
        <v>19</v>
      </c>
      <c r="I8" s="437"/>
      <c r="J8" s="435" t="s">
        <v>20</v>
      </c>
      <c r="K8" s="437"/>
      <c r="L8" s="435" t="s">
        <v>21</v>
      </c>
      <c r="M8" s="436"/>
      <c r="N8" s="437" t="s">
        <v>23</v>
      </c>
      <c r="O8" s="443"/>
      <c r="P8" s="438" t="s">
        <v>24</v>
      </c>
      <c r="Q8" s="439"/>
      <c r="R8" s="438" t="s">
        <v>27</v>
      </c>
      <c r="S8" s="439"/>
      <c r="T8" s="438" t="s">
        <v>28</v>
      </c>
      <c r="U8" s="439"/>
      <c r="V8" s="438" t="s">
        <v>29</v>
      </c>
      <c r="W8" s="439"/>
      <c r="X8" s="438" t="s">
        <v>30</v>
      </c>
      <c r="Y8" s="439"/>
      <c r="Z8" s="438" t="s">
        <v>31</v>
      </c>
      <c r="AA8" s="439"/>
      <c r="AB8" s="438" t="s">
        <v>45</v>
      </c>
      <c r="AC8" s="440"/>
      <c r="AD8" s="263"/>
      <c r="AE8" s="433" t="s">
        <v>22</v>
      </c>
      <c r="AF8" s="434"/>
      <c r="AG8" s="160" t="s">
        <v>36</v>
      </c>
    </row>
    <row r="9" spans="1:33" s="1" customFormat="1" ht="18" customHeight="1" x14ac:dyDescent="0.2">
      <c r="A9" s="142" t="s">
        <v>4</v>
      </c>
      <c r="B9" s="144"/>
      <c r="C9" s="179"/>
      <c r="D9" s="4"/>
      <c r="E9" s="180"/>
      <c r="F9" s="144"/>
      <c r="G9" s="143"/>
      <c r="H9" s="4"/>
      <c r="I9" s="4"/>
      <c r="J9" s="144"/>
      <c r="K9" s="4"/>
      <c r="L9" s="144"/>
      <c r="M9" s="143"/>
      <c r="N9" s="4"/>
      <c r="O9" s="145"/>
      <c r="P9" s="264"/>
      <c r="Q9" s="265"/>
      <c r="R9" s="264"/>
      <c r="S9" s="265"/>
      <c r="T9" s="264"/>
      <c r="U9" s="265"/>
      <c r="V9" s="264"/>
      <c r="W9" s="265"/>
      <c r="X9" s="264"/>
      <c r="Y9" s="265"/>
      <c r="Z9" s="264"/>
      <c r="AA9" s="265"/>
      <c r="AB9" s="264"/>
      <c r="AC9" s="266"/>
      <c r="AD9" s="263"/>
      <c r="AE9" s="267"/>
      <c r="AF9" s="268"/>
      <c r="AG9" s="161"/>
    </row>
    <row r="10" spans="1:33" s="1" customFormat="1" ht="15" customHeight="1" x14ac:dyDescent="0.2">
      <c r="A10" s="90" t="s">
        <v>5</v>
      </c>
      <c r="B10" s="22"/>
      <c r="C10" s="20"/>
      <c r="D10" s="8"/>
      <c r="E10" s="8"/>
      <c r="F10" s="22"/>
      <c r="G10" s="20"/>
      <c r="H10" s="8"/>
      <c r="I10" s="8"/>
      <c r="J10" s="22"/>
      <c r="K10" s="8"/>
      <c r="L10" s="22"/>
      <c r="M10" s="20"/>
      <c r="N10" s="8"/>
      <c r="O10" s="182"/>
      <c r="P10" s="269"/>
      <c r="Q10" s="270"/>
      <c r="R10" s="269"/>
      <c r="S10" s="270"/>
      <c r="T10" s="269"/>
      <c r="U10" s="270"/>
      <c r="V10" s="269"/>
      <c r="W10" s="270"/>
      <c r="X10" s="269"/>
      <c r="Y10" s="270"/>
      <c r="Z10" s="269"/>
      <c r="AA10" s="270"/>
      <c r="AB10" s="269"/>
      <c r="AC10" s="271"/>
      <c r="AD10" s="261"/>
      <c r="AE10" s="272"/>
      <c r="AF10" s="273"/>
      <c r="AG10" s="97"/>
    </row>
    <row r="11" spans="1:33" s="1" customFormat="1" ht="15" customHeight="1" x14ac:dyDescent="0.2">
      <c r="A11" s="89" t="s">
        <v>18</v>
      </c>
      <c r="B11" s="21"/>
      <c r="C11" s="223">
        <f>826508+492723</f>
        <v>1319231</v>
      </c>
      <c r="D11" s="168"/>
      <c r="E11" s="224">
        <f>854941+512945</f>
        <v>1367886</v>
      </c>
      <c r="F11" s="225"/>
      <c r="G11" s="223">
        <f>871219+749913</f>
        <v>1621132</v>
      </c>
      <c r="H11" s="168"/>
      <c r="I11" s="224">
        <f>939538+471813</f>
        <v>1411351</v>
      </c>
      <c r="J11" s="225"/>
      <c r="K11" s="226">
        <f>1074103+546819</f>
        <v>1620922</v>
      </c>
      <c r="L11" s="225"/>
      <c r="M11" s="227">
        <f>1110808+563596</f>
        <v>1674404</v>
      </c>
      <c r="N11" s="168"/>
      <c r="O11" s="228">
        <v>1805785</v>
      </c>
      <c r="P11" s="274"/>
      <c r="Q11" s="275">
        <v>1976209</v>
      </c>
      <c r="R11" s="274"/>
      <c r="S11" s="275">
        <f>1425203+752377</f>
        <v>2177580</v>
      </c>
      <c r="T11" s="274"/>
      <c r="U11" s="275">
        <v>2100609</v>
      </c>
      <c r="V11" s="274"/>
      <c r="W11" s="275">
        <v>2259528</v>
      </c>
      <c r="X11" s="274"/>
      <c r="Y11" s="275">
        <v>3921008</v>
      </c>
      <c r="Z11" s="274"/>
      <c r="AA11" s="275">
        <f>1818609+475175</f>
        <v>2293784</v>
      </c>
      <c r="AB11" s="274"/>
      <c r="AC11" s="276">
        <v>2463207</v>
      </c>
      <c r="AD11" s="277"/>
      <c r="AE11" s="278"/>
      <c r="AF11" s="279">
        <f>AVERAGE(U11,AC11,Y11,W11,AA11)</f>
        <v>2607627.2000000002</v>
      </c>
      <c r="AG11" s="162">
        <f>+(AC11-U11)/U11</f>
        <v>0.17261565574554807</v>
      </c>
    </row>
    <row r="12" spans="1:33" s="1" customFormat="1" ht="15" customHeight="1" x14ac:dyDescent="0.2">
      <c r="A12" s="89" t="s">
        <v>25</v>
      </c>
      <c r="B12" s="21"/>
      <c r="C12" s="223"/>
      <c r="D12" s="168"/>
      <c r="E12" s="224"/>
      <c r="F12" s="225"/>
      <c r="G12" s="229"/>
      <c r="H12" s="168"/>
      <c r="I12" s="224">
        <v>4000</v>
      </c>
      <c r="J12" s="225"/>
      <c r="K12" s="230">
        <v>4000</v>
      </c>
      <c r="L12" s="225"/>
      <c r="M12" s="231">
        <v>4000</v>
      </c>
      <c r="N12" s="168"/>
      <c r="O12" s="232">
        <v>4000</v>
      </c>
      <c r="P12" s="274"/>
      <c r="Q12" s="280">
        <v>4000</v>
      </c>
      <c r="R12" s="274"/>
      <c r="S12" s="280">
        <v>4000</v>
      </c>
      <c r="T12" s="274"/>
      <c r="U12" s="280">
        <v>4000</v>
      </c>
      <c r="V12" s="274"/>
      <c r="W12" s="280">
        <v>4000</v>
      </c>
      <c r="X12" s="274"/>
      <c r="Y12" s="280">
        <v>4000</v>
      </c>
      <c r="Z12" s="274"/>
      <c r="AA12" s="280">
        <v>4000</v>
      </c>
      <c r="AB12" s="274"/>
      <c r="AC12" s="281">
        <v>4000</v>
      </c>
      <c r="AD12" s="277"/>
      <c r="AE12" s="282"/>
      <c r="AF12" s="279">
        <f t="shared" ref="AF12:AF13" si="0">AVERAGE(U12,AC12,Y12,W12,AA12)</f>
        <v>4000</v>
      </c>
      <c r="AG12" s="162">
        <f t="shared" ref="AG12:AG13" si="1">+(AC12-U12)/U12</f>
        <v>0</v>
      </c>
    </row>
    <row r="13" spans="1:33" s="1" customFormat="1" ht="30" customHeight="1" thickBot="1" x14ac:dyDescent="0.25">
      <c r="A13" s="105" t="s">
        <v>26</v>
      </c>
      <c r="B13" s="23"/>
      <c r="C13" s="233">
        <v>35329</v>
      </c>
      <c r="D13" s="95"/>
      <c r="E13" s="234">
        <f>305197+6000</f>
        <v>311197</v>
      </c>
      <c r="F13" s="235"/>
      <c r="G13" s="233">
        <v>308345</v>
      </c>
      <c r="H13" s="95"/>
      <c r="I13" s="234">
        <v>296027</v>
      </c>
      <c r="J13" s="235"/>
      <c r="K13" s="236">
        <v>303256</v>
      </c>
      <c r="L13" s="235"/>
      <c r="M13" s="237">
        <f>394177</f>
        <v>394177</v>
      </c>
      <c r="N13" s="95"/>
      <c r="O13" s="238">
        <v>395273</v>
      </c>
      <c r="P13" s="283"/>
      <c r="Q13" s="284">
        <v>386632</v>
      </c>
      <c r="R13" s="283"/>
      <c r="S13" s="284">
        <v>634034</v>
      </c>
      <c r="T13" s="283"/>
      <c r="U13" s="284">
        <v>550042</v>
      </c>
      <c r="V13" s="283"/>
      <c r="W13" s="284">
        <v>474246</v>
      </c>
      <c r="X13" s="283"/>
      <c r="Y13" s="284">
        <v>603146</v>
      </c>
      <c r="Z13" s="283"/>
      <c r="AA13" s="284">
        <v>587353</v>
      </c>
      <c r="AB13" s="283"/>
      <c r="AC13" s="277">
        <v>1012626</v>
      </c>
      <c r="AD13" s="277"/>
      <c r="AE13" s="285"/>
      <c r="AF13" s="286">
        <f t="shared" si="0"/>
        <v>645482.6</v>
      </c>
      <c r="AG13" s="162">
        <f t="shared" si="1"/>
        <v>0.84099759654717277</v>
      </c>
    </row>
    <row r="14" spans="1:33" s="1" customFormat="1" ht="18.75" customHeight="1" thickBot="1" x14ac:dyDescent="0.25">
      <c r="A14" s="106" t="s">
        <v>7</v>
      </c>
      <c r="B14" s="108"/>
      <c r="C14" s="239">
        <f>SUM(C11:C13)</f>
        <v>1354560</v>
      </c>
      <c r="D14" s="240"/>
      <c r="E14" s="241">
        <f>SUM(E11:E13)</f>
        <v>1679083</v>
      </c>
      <c r="F14" s="242"/>
      <c r="G14" s="239">
        <f>SUM(G11:G13)</f>
        <v>1929477</v>
      </c>
      <c r="H14" s="240"/>
      <c r="I14" s="241">
        <f>SUM(I11:I13)</f>
        <v>1711378</v>
      </c>
      <c r="J14" s="242"/>
      <c r="K14" s="241">
        <f>SUM(K11:K13)</f>
        <v>1928178</v>
      </c>
      <c r="L14" s="242"/>
      <c r="M14" s="239">
        <f>SUM(M11:M13)</f>
        <v>2072581</v>
      </c>
      <c r="N14" s="240"/>
      <c r="O14" s="239">
        <f>SUM(O11:O13)</f>
        <v>2205058</v>
      </c>
      <c r="P14" s="287"/>
      <c r="Q14" s="288">
        <f>SUM(Q11:Q13)</f>
        <v>2366841</v>
      </c>
      <c r="R14" s="287"/>
      <c r="S14" s="289">
        <f>SUM(S11:S13)</f>
        <v>2815614</v>
      </c>
      <c r="T14" s="287"/>
      <c r="U14" s="289">
        <f>SUM(U11:U13)</f>
        <v>2654651</v>
      </c>
      <c r="V14" s="287"/>
      <c r="W14" s="289">
        <f>SUM(W11:W13)</f>
        <v>2737774</v>
      </c>
      <c r="X14" s="287"/>
      <c r="Y14" s="289">
        <f>SUM(Y11:Y13)</f>
        <v>4528154</v>
      </c>
      <c r="Z14" s="287"/>
      <c r="AA14" s="289">
        <f>SUM(AA11:AA13)</f>
        <v>2885137</v>
      </c>
      <c r="AB14" s="287"/>
      <c r="AC14" s="290">
        <f>SUM(AC11:AC13)</f>
        <v>3479833</v>
      </c>
      <c r="AD14" s="291"/>
      <c r="AE14" s="292"/>
      <c r="AF14" s="293">
        <f>AVERAGE(U14,AC14,Y14,W14,AA14)</f>
        <v>3257109.8</v>
      </c>
      <c r="AG14" s="214">
        <f>+(AC14-U14)/U14</f>
        <v>0.31084387363913374</v>
      </c>
    </row>
    <row r="15" spans="1:33" s="1" customFormat="1" ht="15" customHeight="1" x14ac:dyDescent="0.2">
      <c r="A15" s="88" t="s">
        <v>8</v>
      </c>
      <c r="B15" s="21"/>
      <c r="C15" s="223"/>
      <c r="D15" s="168"/>
      <c r="E15" s="224"/>
      <c r="F15" s="225"/>
      <c r="G15" s="223"/>
      <c r="H15" s="168"/>
      <c r="I15" s="224"/>
      <c r="J15" s="225"/>
      <c r="K15" s="224"/>
      <c r="L15" s="225"/>
      <c r="M15" s="223"/>
      <c r="N15" s="168"/>
      <c r="O15" s="223"/>
      <c r="P15" s="274"/>
      <c r="Q15" s="294"/>
      <c r="R15" s="274"/>
      <c r="S15" s="295"/>
      <c r="T15" s="274"/>
      <c r="U15" s="295"/>
      <c r="V15" s="274"/>
      <c r="W15" s="295"/>
      <c r="X15" s="274"/>
      <c r="Y15" s="295"/>
      <c r="Z15" s="274"/>
      <c r="AA15" s="295"/>
      <c r="AB15" s="274"/>
      <c r="AC15" s="296"/>
      <c r="AD15" s="297"/>
      <c r="AE15" s="272"/>
      <c r="AF15" s="273"/>
      <c r="AG15" s="155"/>
    </row>
    <row r="16" spans="1:33" s="1" customFormat="1" ht="15" customHeight="1" x14ac:dyDescent="0.2">
      <c r="A16" s="89" t="s">
        <v>6</v>
      </c>
      <c r="B16" s="22"/>
      <c r="C16" s="244"/>
      <c r="D16" s="74"/>
      <c r="E16" s="245"/>
      <c r="F16" s="246"/>
      <c r="G16" s="244"/>
      <c r="H16" s="74"/>
      <c r="I16" s="245"/>
      <c r="J16" s="246"/>
      <c r="K16" s="245"/>
      <c r="L16" s="246"/>
      <c r="M16" s="244"/>
      <c r="N16" s="74"/>
      <c r="O16" s="244"/>
      <c r="P16" s="269"/>
      <c r="Q16" s="298"/>
      <c r="R16" s="269"/>
      <c r="S16" s="299"/>
      <c r="T16" s="269"/>
      <c r="U16" s="299"/>
      <c r="V16" s="269"/>
      <c r="W16" s="299"/>
      <c r="X16" s="269"/>
      <c r="Y16" s="299"/>
      <c r="Z16" s="269"/>
      <c r="AA16" s="299"/>
      <c r="AB16" s="269"/>
      <c r="AC16" s="300"/>
      <c r="AD16" s="297"/>
      <c r="AE16" s="278"/>
      <c r="AF16" s="279"/>
      <c r="AG16" s="162"/>
    </row>
    <row r="17" spans="1:33" s="1" customFormat="1" ht="15" customHeight="1" x14ac:dyDescent="0.2">
      <c r="A17" s="89" t="s">
        <v>25</v>
      </c>
      <c r="B17" s="22"/>
      <c r="C17" s="244"/>
      <c r="D17" s="74"/>
      <c r="E17" s="245"/>
      <c r="F17" s="246"/>
      <c r="G17" s="244"/>
      <c r="H17" s="74"/>
      <c r="I17" s="245"/>
      <c r="J17" s="246"/>
      <c r="K17" s="245"/>
      <c r="L17" s="246"/>
      <c r="M17" s="244"/>
      <c r="N17" s="74"/>
      <c r="O17" s="244"/>
      <c r="P17" s="269"/>
      <c r="Q17" s="298"/>
      <c r="R17" s="269"/>
      <c r="S17" s="299"/>
      <c r="T17" s="269"/>
      <c r="U17" s="299"/>
      <c r="V17" s="269"/>
      <c r="W17" s="299"/>
      <c r="X17" s="269"/>
      <c r="Y17" s="299"/>
      <c r="Z17" s="269"/>
      <c r="AA17" s="299"/>
      <c r="AB17" s="269"/>
      <c r="AC17" s="300"/>
      <c r="AD17" s="297"/>
      <c r="AE17" s="282"/>
      <c r="AF17" s="279"/>
      <c r="AG17" s="162"/>
    </row>
    <row r="18" spans="1:33" s="1" customFormat="1" ht="30" customHeight="1" thickBot="1" x14ac:dyDescent="0.25">
      <c r="A18" s="105" t="s">
        <v>26</v>
      </c>
      <c r="B18" s="23"/>
      <c r="C18" s="233"/>
      <c r="D18" s="95"/>
      <c r="E18" s="234"/>
      <c r="F18" s="235"/>
      <c r="G18" s="233"/>
      <c r="H18" s="95"/>
      <c r="I18" s="234"/>
      <c r="J18" s="235"/>
      <c r="K18" s="234"/>
      <c r="L18" s="235"/>
      <c r="M18" s="233"/>
      <c r="N18" s="95"/>
      <c r="O18" s="233"/>
      <c r="P18" s="283"/>
      <c r="Q18" s="301"/>
      <c r="R18" s="283"/>
      <c r="S18" s="302"/>
      <c r="T18" s="283"/>
      <c r="U18" s="302"/>
      <c r="V18" s="283"/>
      <c r="W18" s="302"/>
      <c r="X18" s="283"/>
      <c r="Y18" s="302"/>
      <c r="Z18" s="283"/>
      <c r="AA18" s="302"/>
      <c r="AB18" s="283"/>
      <c r="AC18" s="303"/>
      <c r="AD18" s="297"/>
      <c r="AE18" s="285"/>
      <c r="AF18" s="286"/>
      <c r="AG18" s="163"/>
    </row>
    <row r="19" spans="1:33" s="1" customFormat="1" ht="18.75" customHeight="1" thickBot="1" x14ac:dyDescent="0.25">
      <c r="A19" s="106" t="s">
        <v>9</v>
      </c>
      <c r="B19" s="108"/>
      <c r="C19" s="239">
        <f>SUM(C16:C18)</f>
        <v>0</v>
      </c>
      <c r="D19" s="240"/>
      <c r="E19" s="241">
        <f>SUM(E16:E18)</f>
        <v>0</v>
      </c>
      <c r="F19" s="242"/>
      <c r="G19" s="239">
        <f>SUM(G16:G18)</f>
        <v>0</v>
      </c>
      <c r="H19" s="240"/>
      <c r="I19" s="241">
        <f>SUM(I16:I18)</f>
        <v>0</v>
      </c>
      <c r="J19" s="242"/>
      <c r="K19" s="241">
        <f>SUM(K16:K18)</f>
        <v>0</v>
      </c>
      <c r="L19" s="242"/>
      <c r="M19" s="239">
        <f>SUM(M16:M18)</f>
        <v>0</v>
      </c>
      <c r="N19" s="240"/>
      <c r="O19" s="239">
        <f>SUM(O16:O18)</f>
        <v>0</v>
      </c>
      <c r="P19" s="287"/>
      <c r="Q19" s="288">
        <f>SUM(Q16:Q18)</f>
        <v>0</v>
      </c>
      <c r="R19" s="287"/>
      <c r="S19" s="289">
        <f>SUM(S16:S18)</f>
        <v>0</v>
      </c>
      <c r="T19" s="287"/>
      <c r="U19" s="289">
        <f>SUM(U16:U18)</f>
        <v>0</v>
      </c>
      <c r="V19" s="287"/>
      <c r="W19" s="289">
        <f>SUM(W16:W18)</f>
        <v>0</v>
      </c>
      <c r="X19" s="287"/>
      <c r="Y19" s="289">
        <f>SUM(Y16:Y18)</f>
        <v>0</v>
      </c>
      <c r="Z19" s="287"/>
      <c r="AA19" s="289">
        <f>SUM(AA16:AA18)</f>
        <v>0</v>
      </c>
      <c r="AB19" s="287"/>
      <c r="AC19" s="290">
        <f>SUM(AC16:AC18)</f>
        <v>0</v>
      </c>
      <c r="AD19" s="291"/>
      <c r="AE19" s="292"/>
      <c r="AF19" s="290">
        <f>SUM(AF16:AF18)</f>
        <v>0</v>
      </c>
      <c r="AG19" s="215"/>
    </row>
    <row r="20" spans="1:33" s="1" customFormat="1" ht="18.75" customHeight="1" thickBot="1" x14ac:dyDescent="0.25">
      <c r="A20" s="147" t="s">
        <v>10</v>
      </c>
      <c r="B20" s="148"/>
      <c r="C20" s="247">
        <f>SUM(C14,C19)</f>
        <v>1354560</v>
      </c>
      <c r="D20" s="38"/>
      <c r="E20" s="248">
        <f>SUM(E14,E19)</f>
        <v>1679083</v>
      </c>
      <c r="F20" s="249"/>
      <c r="G20" s="247">
        <f>SUM(G14,G19)</f>
        <v>1929477</v>
      </c>
      <c r="H20" s="38"/>
      <c r="I20" s="248">
        <f>SUM(I14,I19)</f>
        <v>1711378</v>
      </c>
      <c r="J20" s="249"/>
      <c r="K20" s="248">
        <f>SUM(K14,K19)</f>
        <v>1928178</v>
      </c>
      <c r="L20" s="249"/>
      <c r="M20" s="247">
        <f>SUM(M14,M19)</f>
        <v>2072581</v>
      </c>
      <c r="N20" s="38"/>
      <c r="O20" s="247">
        <f>SUM(O14,O19)</f>
        <v>2205058</v>
      </c>
      <c r="P20" s="262"/>
      <c r="Q20" s="304">
        <f>SUM(Q14,Q19)</f>
        <v>2366841</v>
      </c>
      <c r="R20" s="262"/>
      <c r="S20" s="305">
        <f>SUM(S14,S19)</f>
        <v>2815614</v>
      </c>
      <c r="T20" s="262"/>
      <c r="U20" s="305">
        <f>SUM(U14,U19)</f>
        <v>2654651</v>
      </c>
      <c r="V20" s="262"/>
      <c r="W20" s="305">
        <f>SUM(W14,W19)</f>
        <v>2737774</v>
      </c>
      <c r="X20" s="262"/>
      <c r="Y20" s="305">
        <f>SUM(Y14,Y19)</f>
        <v>4528154</v>
      </c>
      <c r="Z20" s="262"/>
      <c r="AA20" s="305">
        <f>SUM(AA14,AA19)</f>
        <v>2885137</v>
      </c>
      <c r="AB20" s="262"/>
      <c r="AC20" s="291">
        <f>SUM(AC14,AC19)</f>
        <v>3479833</v>
      </c>
      <c r="AD20" s="291"/>
      <c r="AE20" s="306"/>
      <c r="AF20" s="307">
        <f>AVERAGE(U20,AC20,Y20,W20,AA20)</f>
        <v>3257109.8</v>
      </c>
      <c r="AG20" s="216">
        <f>+(AC20-U20)/U20</f>
        <v>0.31084387363913374</v>
      </c>
    </row>
    <row r="21" spans="1:33" s="1" customFormat="1" ht="18" customHeight="1" thickBot="1" x14ac:dyDescent="0.25">
      <c r="A21" s="153" t="s">
        <v>32</v>
      </c>
      <c r="B21" s="175"/>
      <c r="C21" s="154"/>
      <c r="D21" s="175"/>
      <c r="E21" s="176"/>
      <c r="F21" s="446"/>
      <c r="G21" s="447"/>
      <c r="H21" s="446"/>
      <c r="I21" s="446"/>
      <c r="J21" s="448"/>
      <c r="K21" s="449"/>
      <c r="L21" s="450"/>
      <c r="M21" s="451"/>
      <c r="N21" s="452"/>
      <c r="O21" s="453"/>
      <c r="P21" s="454"/>
      <c r="Q21" s="455"/>
      <c r="R21" s="454"/>
      <c r="S21" s="455"/>
      <c r="T21" s="454"/>
      <c r="U21" s="455"/>
      <c r="V21" s="454"/>
      <c r="W21" s="455"/>
      <c r="X21" s="454"/>
      <c r="Y21" s="455"/>
      <c r="Z21" s="454"/>
      <c r="AA21" s="455"/>
      <c r="AB21" s="454"/>
      <c r="AC21" s="462"/>
      <c r="AD21" s="80"/>
      <c r="AE21" s="444"/>
      <c r="AF21" s="445"/>
      <c r="AG21" s="217"/>
    </row>
    <row r="22" spans="1:33" ht="15" customHeight="1" x14ac:dyDescent="0.2">
      <c r="A22" s="89" t="s">
        <v>49</v>
      </c>
      <c r="B22" s="30"/>
      <c r="C22" s="96">
        <v>119194</v>
      </c>
      <c r="D22" s="22"/>
      <c r="E22" s="181">
        <v>131157</v>
      </c>
      <c r="F22" s="8"/>
      <c r="G22" s="53">
        <v>0</v>
      </c>
      <c r="H22" s="8"/>
      <c r="I22" s="54">
        <v>45272.39</v>
      </c>
      <c r="J22" s="22"/>
      <c r="K22" s="53">
        <v>48999</v>
      </c>
      <c r="L22" s="177"/>
      <c r="M22" s="178">
        <v>64312</v>
      </c>
      <c r="N22" s="7"/>
      <c r="O22" s="178">
        <v>26847</v>
      </c>
      <c r="P22" s="274"/>
      <c r="Q22" s="308">
        <v>58239</v>
      </c>
      <c r="R22" s="274"/>
      <c r="S22" s="308">
        <v>17421</v>
      </c>
      <c r="T22" s="274"/>
      <c r="U22" s="308">
        <v>52790</v>
      </c>
      <c r="V22" s="274"/>
      <c r="W22" s="308">
        <v>41588.49</v>
      </c>
      <c r="X22" s="309"/>
      <c r="Y22" s="310">
        <v>58148</v>
      </c>
      <c r="Z22" s="309"/>
      <c r="AA22" s="310">
        <v>120512</v>
      </c>
      <c r="AB22" s="309"/>
      <c r="AC22" s="311"/>
      <c r="AD22" s="312"/>
      <c r="AE22" s="278"/>
      <c r="AF22" s="279">
        <f>AVERAGE(U22,AA22,S22,W22,Y22)</f>
        <v>58091.898000000001</v>
      </c>
      <c r="AG22" s="162">
        <f>+(AA22-S22)/S22</f>
        <v>5.9176281499339876</v>
      </c>
    </row>
    <row r="23" spans="1:33" ht="15" customHeight="1" x14ac:dyDescent="0.2">
      <c r="A23" s="89" t="s">
        <v>33</v>
      </c>
      <c r="B23" s="109"/>
      <c r="C23" s="130">
        <v>0</v>
      </c>
      <c r="D23" s="23"/>
      <c r="E23" s="130">
        <v>0</v>
      </c>
      <c r="F23" s="129"/>
      <c r="G23" s="130">
        <v>1140</v>
      </c>
      <c r="H23" s="129"/>
      <c r="I23" s="130">
        <v>0</v>
      </c>
      <c r="J23" s="129"/>
      <c r="K23" s="130">
        <v>7508.61</v>
      </c>
      <c r="L23" s="129"/>
      <c r="M23" s="130">
        <v>0</v>
      </c>
      <c r="N23" s="129"/>
      <c r="O23" s="130">
        <v>2042.37</v>
      </c>
      <c r="P23" s="313"/>
      <c r="Q23" s="314">
        <v>8960.59</v>
      </c>
      <c r="R23" s="313"/>
      <c r="S23" s="314">
        <v>3150.11</v>
      </c>
      <c r="T23" s="313"/>
      <c r="U23" s="314">
        <v>30881.219999999998</v>
      </c>
      <c r="V23" s="313"/>
      <c r="W23" s="314">
        <v>4902.79</v>
      </c>
      <c r="X23" s="313"/>
      <c r="Y23" s="314">
        <v>3647</v>
      </c>
      <c r="Z23" s="313"/>
      <c r="AA23" s="314">
        <v>0</v>
      </c>
      <c r="AB23" s="313"/>
      <c r="AC23" s="315"/>
      <c r="AD23" s="312"/>
      <c r="AE23" s="278"/>
      <c r="AF23" s="279">
        <f t="shared" ref="AF23" si="2">AVERAGE(U23,AA23,S23,W23,Y23)</f>
        <v>8516.2239999999983</v>
      </c>
      <c r="AG23" s="162">
        <f t="shared" ref="AG23" si="3">+(AA23-S23)/S23</f>
        <v>-1</v>
      </c>
    </row>
    <row r="24" spans="1:33" ht="15" customHeight="1" thickBot="1" x14ac:dyDescent="0.25">
      <c r="A24" s="197" t="s">
        <v>34</v>
      </c>
      <c r="B24" s="84"/>
      <c r="C24" s="198">
        <v>0</v>
      </c>
      <c r="D24" s="23"/>
      <c r="E24" s="198">
        <v>0</v>
      </c>
      <c r="F24" s="17"/>
      <c r="G24" s="198">
        <v>0</v>
      </c>
      <c r="H24" s="23"/>
      <c r="I24" s="198">
        <v>0</v>
      </c>
      <c r="J24" s="23"/>
      <c r="K24" s="198">
        <v>0</v>
      </c>
      <c r="L24" s="23"/>
      <c r="M24" s="198">
        <v>0</v>
      </c>
      <c r="N24" s="23"/>
      <c r="O24" s="198">
        <v>0</v>
      </c>
      <c r="P24" s="316"/>
      <c r="Q24" s="317">
        <v>0</v>
      </c>
      <c r="R24" s="316"/>
      <c r="S24" s="317">
        <v>0</v>
      </c>
      <c r="T24" s="316"/>
      <c r="U24" s="317">
        <v>0</v>
      </c>
      <c r="V24" s="316"/>
      <c r="W24" s="317">
        <v>0</v>
      </c>
      <c r="X24" s="316"/>
      <c r="Y24" s="317">
        <v>0</v>
      </c>
      <c r="Z24" s="316"/>
      <c r="AA24" s="317">
        <v>0</v>
      </c>
      <c r="AB24" s="313"/>
      <c r="AC24" s="318"/>
      <c r="AD24" s="137"/>
      <c r="AE24" s="319"/>
      <c r="AF24" s="279">
        <f t="shared" ref="AF24" si="4">AVERAGE(U24,AA24,AC24,W24,Y24)</f>
        <v>0</v>
      </c>
      <c r="AG24" s="162"/>
    </row>
    <row r="25" spans="1:33" ht="18" customHeight="1" thickTop="1" x14ac:dyDescent="0.2">
      <c r="A25" s="102" t="s">
        <v>35</v>
      </c>
      <c r="B25" s="199" t="s">
        <v>14</v>
      </c>
      <c r="C25" s="187" t="s">
        <v>15</v>
      </c>
      <c r="D25" s="199" t="s">
        <v>14</v>
      </c>
      <c r="E25" s="187" t="s">
        <v>15</v>
      </c>
      <c r="F25" s="200" t="s">
        <v>14</v>
      </c>
      <c r="G25" s="201" t="s">
        <v>15</v>
      </c>
      <c r="H25" s="202" t="s">
        <v>14</v>
      </c>
      <c r="I25" s="203" t="s">
        <v>15</v>
      </c>
      <c r="J25" s="204" t="s">
        <v>14</v>
      </c>
      <c r="K25" s="205" t="s">
        <v>15</v>
      </c>
      <c r="L25" s="202" t="s">
        <v>14</v>
      </c>
      <c r="M25" s="203" t="s">
        <v>15</v>
      </c>
      <c r="N25" s="204" t="s">
        <v>14</v>
      </c>
      <c r="O25" s="201" t="s">
        <v>15</v>
      </c>
      <c r="P25" s="320" t="s">
        <v>14</v>
      </c>
      <c r="Q25" s="321" t="s">
        <v>15</v>
      </c>
      <c r="R25" s="322" t="s">
        <v>14</v>
      </c>
      <c r="S25" s="323" t="s">
        <v>15</v>
      </c>
      <c r="T25" s="320" t="s">
        <v>14</v>
      </c>
      <c r="U25" s="321" t="s">
        <v>15</v>
      </c>
      <c r="V25" s="322" t="s">
        <v>14</v>
      </c>
      <c r="W25" s="323" t="s">
        <v>15</v>
      </c>
      <c r="X25" s="320" t="s">
        <v>14</v>
      </c>
      <c r="Y25" s="321" t="s">
        <v>15</v>
      </c>
      <c r="Z25" s="320" t="s">
        <v>14</v>
      </c>
      <c r="AA25" s="321" t="s">
        <v>15</v>
      </c>
      <c r="AB25" s="322" t="s">
        <v>14</v>
      </c>
      <c r="AC25" s="324" t="s">
        <v>15</v>
      </c>
      <c r="AD25" s="282"/>
      <c r="AE25" s="325" t="s">
        <v>14</v>
      </c>
      <c r="AF25" s="320" t="s">
        <v>15</v>
      </c>
      <c r="AG25" s="218" t="s">
        <v>43</v>
      </c>
    </row>
    <row r="26" spans="1:33" s="1" customFormat="1" ht="15" customHeight="1" x14ac:dyDescent="0.2">
      <c r="A26" s="89" t="s">
        <v>46</v>
      </c>
      <c r="B26" s="65">
        <v>0</v>
      </c>
      <c r="C26" s="188">
        <v>2143</v>
      </c>
      <c r="D26" s="66">
        <v>0</v>
      </c>
      <c r="E26" s="190">
        <v>0</v>
      </c>
      <c r="F26" s="192">
        <v>0</v>
      </c>
      <c r="G26" s="55">
        <v>53486</v>
      </c>
      <c r="H26" s="77">
        <v>1</v>
      </c>
      <c r="I26" s="193">
        <v>65696</v>
      </c>
      <c r="J26" s="192">
        <v>0</v>
      </c>
      <c r="K26" s="194">
        <v>0</v>
      </c>
      <c r="L26" s="78">
        <v>0</v>
      </c>
      <c r="M26" s="195">
        <v>0</v>
      </c>
      <c r="N26" s="184">
        <v>0</v>
      </c>
      <c r="O26" s="55">
        <v>0</v>
      </c>
      <c r="P26" s="326">
        <v>1</v>
      </c>
      <c r="Q26" s="327">
        <v>14000</v>
      </c>
      <c r="R26" s="328">
        <v>0</v>
      </c>
      <c r="S26" s="329">
        <v>0</v>
      </c>
      <c r="T26" s="326">
        <v>1</v>
      </c>
      <c r="U26" s="327">
        <v>25760</v>
      </c>
      <c r="V26" s="328">
        <v>0</v>
      </c>
      <c r="W26" s="329">
        <v>0</v>
      </c>
      <c r="X26" s="326">
        <v>0</v>
      </c>
      <c r="Y26" s="327">
        <v>0</v>
      </c>
      <c r="Z26" s="326">
        <v>0</v>
      </c>
      <c r="AA26" s="327">
        <v>0</v>
      </c>
      <c r="AB26" s="330"/>
      <c r="AC26" s="331"/>
      <c r="AD26" s="282"/>
      <c r="AE26" s="219">
        <f>AVERAGE(T26,R26,Z26,X26,V26)</f>
        <v>0.2</v>
      </c>
      <c r="AF26" s="269">
        <f t="shared" ref="AF26:AF27" si="5">AVERAGE(U26,AA26,S26,W26,Y26)</f>
        <v>5152</v>
      </c>
      <c r="AG26" s="220" t="e">
        <f t="shared" ref="AG26" si="6">+(AA26-S26)/S26</f>
        <v>#DIV/0!</v>
      </c>
    </row>
    <row r="27" spans="1:33" s="1" customFormat="1" ht="15" customHeight="1" thickBot="1" x14ac:dyDescent="0.25">
      <c r="A27" s="93" t="s">
        <v>47</v>
      </c>
      <c r="B27" s="118">
        <v>0</v>
      </c>
      <c r="C27" s="183">
        <v>10864</v>
      </c>
      <c r="D27" s="189">
        <v>1</v>
      </c>
      <c r="E27" s="191">
        <v>18849</v>
      </c>
      <c r="F27" s="185">
        <v>0</v>
      </c>
      <c r="G27" s="104">
        <v>0</v>
      </c>
      <c r="H27" s="131">
        <v>1</v>
      </c>
      <c r="I27" s="186">
        <v>223078</v>
      </c>
      <c r="J27" s="185">
        <v>0</v>
      </c>
      <c r="K27" s="132">
        <v>0</v>
      </c>
      <c r="L27" s="131">
        <v>0</v>
      </c>
      <c r="M27" s="196">
        <v>0</v>
      </c>
      <c r="N27" s="185">
        <v>0</v>
      </c>
      <c r="O27" s="104">
        <v>0</v>
      </c>
      <c r="P27" s="332">
        <v>0</v>
      </c>
      <c r="Q27" s="333">
        <v>0</v>
      </c>
      <c r="R27" s="334">
        <v>0</v>
      </c>
      <c r="S27" s="335">
        <v>0</v>
      </c>
      <c r="T27" s="332">
        <v>0</v>
      </c>
      <c r="U27" s="333">
        <v>0</v>
      </c>
      <c r="V27" s="334">
        <v>0</v>
      </c>
      <c r="W27" s="335">
        <v>0</v>
      </c>
      <c r="X27" s="332">
        <v>0</v>
      </c>
      <c r="Y27" s="333">
        <v>0</v>
      </c>
      <c r="Z27" s="332">
        <v>0</v>
      </c>
      <c r="AA27" s="333">
        <v>0</v>
      </c>
      <c r="AB27" s="336"/>
      <c r="AC27" s="337"/>
      <c r="AD27" s="282"/>
      <c r="AE27" s="221">
        <f>AVERAGE(T27,R27,Z27,X27,V27)</f>
        <v>0</v>
      </c>
      <c r="AF27" s="338">
        <f t="shared" si="5"/>
        <v>0</v>
      </c>
      <c r="AG27" s="222">
        <v>0</v>
      </c>
    </row>
    <row r="28" spans="1:33" s="1" customFormat="1" ht="18" customHeight="1" thickTop="1" x14ac:dyDescent="0.2">
      <c r="A28" s="102" t="s">
        <v>11</v>
      </c>
      <c r="B28" s="133"/>
      <c r="C28" s="134"/>
      <c r="D28" s="135"/>
      <c r="E28" s="136"/>
      <c r="F28" s="456"/>
      <c r="G28" s="457"/>
      <c r="H28" s="458"/>
      <c r="I28" s="458"/>
      <c r="J28" s="456"/>
      <c r="K28" s="458"/>
      <c r="L28" s="456"/>
      <c r="M28" s="457"/>
      <c r="N28" s="458"/>
      <c r="O28" s="459"/>
      <c r="P28" s="460"/>
      <c r="Q28" s="461"/>
      <c r="R28" s="460"/>
      <c r="S28" s="461"/>
      <c r="T28" s="460"/>
      <c r="U28" s="461"/>
      <c r="V28" s="460"/>
      <c r="W28" s="461"/>
      <c r="X28" s="460"/>
      <c r="Y28" s="461"/>
      <c r="Z28" s="460"/>
      <c r="AA28" s="461"/>
      <c r="AB28" s="460"/>
      <c r="AC28" s="463"/>
      <c r="AD28" s="339"/>
      <c r="AE28" s="433"/>
      <c r="AF28" s="434"/>
      <c r="AG28" s="164"/>
    </row>
    <row r="29" spans="1:33" s="1" customFormat="1" ht="15" customHeight="1" x14ac:dyDescent="0.2">
      <c r="A29" s="92" t="s">
        <v>12</v>
      </c>
      <c r="B29" s="31"/>
      <c r="C29" s="32">
        <v>152065</v>
      </c>
      <c r="D29" s="19"/>
      <c r="E29" s="36">
        <v>295531</v>
      </c>
      <c r="F29" s="25"/>
      <c r="G29" s="59">
        <v>157193</v>
      </c>
      <c r="H29" s="47"/>
      <c r="I29" s="60">
        <v>341264</v>
      </c>
      <c r="J29" s="25"/>
      <c r="K29" s="72">
        <v>318393</v>
      </c>
      <c r="L29" s="83"/>
      <c r="M29" s="71">
        <v>252436</v>
      </c>
      <c r="N29" s="12"/>
      <c r="O29" s="71">
        <v>299452</v>
      </c>
      <c r="P29" s="262"/>
      <c r="Q29" s="340">
        <v>310355.51</v>
      </c>
      <c r="R29" s="262"/>
      <c r="S29" s="340">
        <v>264821.77</v>
      </c>
      <c r="T29" s="262"/>
      <c r="U29" s="340">
        <v>312082.59000000003</v>
      </c>
      <c r="V29" s="262"/>
      <c r="W29" s="340">
        <v>1077494.82</v>
      </c>
      <c r="X29" s="341"/>
      <c r="Y29" s="342">
        <v>1123309.71</v>
      </c>
      <c r="Z29" s="341"/>
      <c r="AA29" s="342">
        <v>2424067</v>
      </c>
      <c r="AB29" s="343"/>
      <c r="AC29" s="344"/>
      <c r="AD29" s="345"/>
      <c r="AE29" s="278"/>
      <c r="AF29" s="269">
        <f t="shared" ref="AF29:AF30" si="7">AVERAGE(U29,AA29,S29,W29,Y29)</f>
        <v>1040355.178</v>
      </c>
      <c r="AG29" s="220">
        <f t="shared" ref="AG29" si="8">+(AA29-S29)/S29</f>
        <v>8.1535790278873215</v>
      </c>
    </row>
    <row r="30" spans="1:33" s="1" customFormat="1" ht="15" customHeight="1" thickBot="1" x14ac:dyDescent="0.25">
      <c r="A30" s="93" t="s">
        <v>13</v>
      </c>
      <c r="B30" s="33"/>
      <c r="C30" s="34">
        <v>0</v>
      </c>
      <c r="D30" s="9"/>
      <c r="E30" s="29">
        <v>0</v>
      </c>
      <c r="F30" s="26"/>
      <c r="G30" s="61">
        <v>0</v>
      </c>
      <c r="H30" s="62"/>
      <c r="I30" s="63">
        <v>0</v>
      </c>
      <c r="J30" s="26"/>
      <c r="K30" s="63">
        <v>0</v>
      </c>
      <c r="L30" s="82"/>
      <c r="M30" s="61">
        <v>0</v>
      </c>
      <c r="N30" s="9"/>
      <c r="O30" s="61">
        <v>6563</v>
      </c>
      <c r="P30" s="338"/>
      <c r="Q30" s="346">
        <v>0</v>
      </c>
      <c r="R30" s="338"/>
      <c r="S30" s="346">
        <v>0</v>
      </c>
      <c r="T30" s="338"/>
      <c r="U30" s="346">
        <v>0</v>
      </c>
      <c r="V30" s="338"/>
      <c r="W30" s="346">
        <v>0</v>
      </c>
      <c r="X30" s="347"/>
      <c r="Y30" s="348">
        <v>0</v>
      </c>
      <c r="Z30" s="347"/>
      <c r="AA30" s="348">
        <v>0</v>
      </c>
      <c r="AB30" s="349"/>
      <c r="AC30" s="350"/>
      <c r="AD30" s="351"/>
      <c r="AE30" s="319"/>
      <c r="AF30" s="338">
        <f t="shared" si="7"/>
        <v>0</v>
      </c>
      <c r="AG30" s="222">
        <v>0</v>
      </c>
    </row>
    <row r="31" spans="1:33" ht="13.5" thickTop="1" x14ac:dyDescent="0.2">
      <c r="A31" s="3" t="s">
        <v>17</v>
      </c>
      <c r="B31" s="12"/>
      <c r="C31" s="14"/>
      <c r="D31" s="12"/>
      <c r="E31" s="6"/>
      <c r="F31" s="12"/>
      <c r="G31" s="6"/>
      <c r="H31" s="12"/>
      <c r="I31" s="6"/>
      <c r="J31" s="12"/>
      <c r="K31" s="6"/>
      <c r="L31" s="12"/>
      <c r="M31" s="11"/>
      <c r="N31" s="12"/>
      <c r="O31" s="6"/>
      <c r="P31" s="262"/>
      <c r="Q31" s="352"/>
      <c r="R31" s="262"/>
      <c r="S31" s="352"/>
      <c r="T31" s="262"/>
      <c r="U31" s="352"/>
      <c r="V31" s="262"/>
      <c r="W31" s="352"/>
      <c r="X31" s="262"/>
      <c r="Y31" s="352"/>
      <c r="Z31" s="262"/>
      <c r="AA31" s="352"/>
      <c r="AB31" s="262"/>
      <c r="AC31" s="352"/>
      <c r="AD31" s="353"/>
      <c r="AE31" s="354"/>
      <c r="AF31" s="354"/>
    </row>
    <row r="32" spans="1:33" x14ac:dyDescent="0.2"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</row>
    <row r="33" spans="16:32" x14ac:dyDescent="0.2"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</row>
  </sheetData>
  <mergeCells count="41">
    <mergeCell ref="AB21:AC21"/>
    <mergeCell ref="AB28:AC28"/>
    <mergeCell ref="V28:W28"/>
    <mergeCell ref="X28:Y28"/>
    <mergeCell ref="Z28:AA28"/>
    <mergeCell ref="L28:M28"/>
    <mergeCell ref="N28:O28"/>
    <mergeCell ref="P28:Q28"/>
    <mergeCell ref="R28:S28"/>
    <mergeCell ref="T28:U28"/>
    <mergeCell ref="AE21:AF21"/>
    <mergeCell ref="AE28:AF28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F28:G28"/>
    <mergeCell ref="H28:I28"/>
    <mergeCell ref="J28:K28"/>
    <mergeCell ref="B8:C8"/>
    <mergeCell ref="Z8:AA8"/>
    <mergeCell ref="X8:Y8"/>
    <mergeCell ref="D8:E8"/>
    <mergeCell ref="J8:K8"/>
    <mergeCell ref="N8:O8"/>
    <mergeCell ref="P8:Q8"/>
    <mergeCell ref="AE8:AF8"/>
    <mergeCell ref="L8:M8"/>
    <mergeCell ref="F8:G8"/>
    <mergeCell ref="H8:I8"/>
    <mergeCell ref="V8:W8"/>
    <mergeCell ref="R8:S8"/>
    <mergeCell ref="T8:U8"/>
    <mergeCell ref="AB8:AC8"/>
  </mergeCells>
  <phoneticPr fontId="0" type="noConversion"/>
  <printOptions horizontalCentered="1" verticalCentered="1"/>
  <pageMargins left="0.5" right="0.5" top="0.3" bottom="0.5" header="0.25" footer="0.25"/>
  <pageSetup scale="80" orientation="landscape" r:id="rId1"/>
  <headerFooter alignWithMargins="0">
    <oddFooter>&amp;L&amp;9Prepared by Planning and Analysis&amp;C&amp;9&amp;P of &amp;N&amp;R&amp;9Updated &amp;D</oddFooter>
  </headerFooter>
  <colBreaks count="1" manualBreakCount="1">
    <brk id="29" min="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8"/>
  <sheetViews>
    <sheetView zoomScaleNormal="100" zoomScaleSheetLayoutView="100" workbookViewId="0">
      <pane xSplit="1" ySplit="5" topLeftCell="J17" activePane="bottomRight" state="frozen"/>
      <selection activeCell="AG31" sqref="AG31"/>
      <selection pane="topRight" activeCell="AG31" sqref="AG31"/>
      <selection pane="bottomLeft" activeCell="AG31" sqref="AG31"/>
      <selection pane="bottomRight" activeCell="AG31" sqref="AG31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hidden="1" customWidth="1"/>
    <col min="7" max="7" width="10.7109375" hidden="1" customWidth="1"/>
    <col min="8" max="8" width="4.7109375" hidden="1" customWidth="1"/>
    <col min="9" max="9" width="20.140625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" style="1" customWidth="1"/>
    <col min="31" max="31" width="6.7109375" style="1" customWidth="1"/>
    <col min="32" max="32" width="10.7109375" style="1" customWidth="1"/>
    <col min="33" max="33" width="8.7109375" style="1" customWidth="1"/>
    <col min="34" max="34" width="1.85546875" style="1" customWidth="1"/>
    <col min="35" max="16384" width="10.28515625" style="1"/>
  </cols>
  <sheetData>
    <row r="1" spans="1:33" ht="15.75" x14ac:dyDescent="0.25">
      <c r="A1" s="156" t="s">
        <v>37</v>
      </c>
      <c r="F1" s="157"/>
      <c r="G1" s="157"/>
      <c r="H1" s="157"/>
      <c r="I1" s="157"/>
    </row>
    <row r="2" spans="1:33" ht="15.75" x14ac:dyDescent="0.25">
      <c r="A2" s="156" t="s">
        <v>38</v>
      </c>
      <c r="F2" s="157"/>
      <c r="G2" s="157"/>
      <c r="H2" s="157"/>
      <c r="I2" s="157"/>
    </row>
    <row r="3" spans="1:33" ht="5.25" customHeight="1" x14ac:dyDescent="0.25">
      <c r="A3" s="156"/>
      <c r="F3" s="157"/>
      <c r="G3" s="157"/>
      <c r="H3" s="157"/>
      <c r="I3" s="157"/>
    </row>
    <row r="4" spans="1:33" ht="15.75" x14ac:dyDescent="0.25">
      <c r="A4" s="158" t="s">
        <v>39</v>
      </c>
      <c r="F4" s="157"/>
      <c r="G4" s="157"/>
      <c r="H4" s="157"/>
      <c r="I4" s="157"/>
    </row>
    <row r="5" spans="1:33" ht="6" customHeight="1" x14ac:dyDescent="0.25">
      <c r="A5" s="158"/>
      <c r="F5" s="157"/>
      <c r="G5" s="157"/>
      <c r="H5" s="157"/>
      <c r="I5" s="157"/>
    </row>
    <row r="6" spans="1:33" s="3" customFormat="1" x14ac:dyDescent="0.2">
      <c r="A6" s="16" t="s">
        <v>0</v>
      </c>
      <c r="I6" s="18"/>
      <c r="AC6" s="3" t="s">
        <v>1</v>
      </c>
      <c r="AG6" s="1"/>
    </row>
    <row r="7" spans="1:33" ht="12" x14ac:dyDescent="0.2">
      <c r="A7" s="4">
        <v>3760015020</v>
      </c>
      <c r="B7" s="5"/>
      <c r="C7" s="18"/>
      <c r="D7" s="5"/>
      <c r="E7" s="18"/>
      <c r="F7" s="5"/>
      <c r="G7" s="18"/>
      <c r="H7" s="5"/>
      <c r="I7" s="18"/>
      <c r="J7" s="5"/>
      <c r="K7" s="18"/>
      <c r="L7" s="5"/>
      <c r="M7" s="18"/>
      <c r="N7" s="5"/>
      <c r="O7" s="75"/>
      <c r="P7" s="5"/>
      <c r="Q7" s="75"/>
      <c r="R7" s="5"/>
      <c r="S7" s="75"/>
      <c r="T7" s="5"/>
      <c r="U7" s="75"/>
      <c r="V7" s="5"/>
      <c r="W7" s="75"/>
      <c r="X7" s="5"/>
      <c r="Y7" s="75"/>
      <c r="Z7" s="5"/>
      <c r="AA7" s="75"/>
      <c r="AB7" s="5"/>
      <c r="AC7" s="75"/>
    </row>
    <row r="8" spans="1:33" thickBot="1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7"/>
      <c r="M8" s="37"/>
      <c r="N8" s="37"/>
      <c r="O8" s="79"/>
      <c r="P8" s="37"/>
      <c r="Q8" s="79"/>
      <c r="R8" s="37"/>
      <c r="S8" s="79"/>
      <c r="T8" s="37"/>
      <c r="U8" s="79"/>
      <c r="V8" s="37"/>
      <c r="W8" s="79"/>
      <c r="X8" s="37"/>
      <c r="Y8" s="79"/>
      <c r="Z8" s="37"/>
      <c r="AA8" s="79"/>
      <c r="AB8" s="37"/>
      <c r="AC8" s="79"/>
      <c r="AE8" s="37"/>
      <c r="AF8" s="37"/>
    </row>
    <row r="9" spans="1:33" ht="30" customHeight="1" thickTop="1" thickBot="1" x14ac:dyDescent="0.25">
      <c r="A9" s="87"/>
      <c r="B9" s="437" t="s">
        <v>2</v>
      </c>
      <c r="C9" s="437"/>
      <c r="D9" s="435" t="s">
        <v>3</v>
      </c>
      <c r="E9" s="436"/>
      <c r="F9" s="437" t="s">
        <v>16</v>
      </c>
      <c r="G9" s="436"/>
      <c r="H9" s="437" t="s">
        <v>19</v>
      </c>
      <c r="I9" s="437"/>
      <c r="J9" s="435" t="s">
        <v>20</v>
      </c>
      <c r="K9" s="437"/>
      <c r="L9" s="435" t="s">
        <v>21</v>
      </c>
      <c r="M9" s="436"/>
      <c r="N9" s="437" t="s">
        <v>23</v>
      </c>
      <c r="O9" s="443"/>
      <c r="P9" s="437" t="s">
        <v>24</v>
      </c>
      <c r="Q9" s="443"/>
      <c r="R9" s="437" t="s">
        <v>27</v>
      </c>
      <c r="S9" s="443"/>
      <c r="T9" s="437" t="s">
        <v>28</v>
      </c>
      <c r="U9" s="443"/>
      <c r="V9" s="437" t="s">
        <v>29</v>
      </c>
      <c r="W9" s="443"/>
      <c r="X9" s="437" t="s">
        <v>30</v>
      </c>
      <c r="Y9" s="443"/>
      <c r="Z9" s="437" t="s">
        <v>31</v>
      </c>
      <c r="AA9" s="443"/>
      <c r="AB9" s="437" t="s">
        <v>45</v>
      </c>
      <c r="AC9" s="466"/>
      <c r="AE9" s="464" t="s">
        <v>22</v>
      </c>
      <c r="AF9" s="465"/>
      <c r="AG9" s="160" t="s">
        <v>36</v>
      </c>
    </row>
    <row r="10" spans="1:33" ht="18" customHeight="1" x14ac:dyDescent="0.2">
      <c r="A10" s="142" t="s">
        <v>4</v>
      </c>
      <c r="B10" s="4"/>
      <c r="C10" s="4"/>
      <c r="D10" s="144"/>
      <c r="E10" s="143"/>
      <c r="F10" s="4"/>
      <c r="G10" s="143"/>
      <c r="H10" s="4"/>
      <c r="I10" s="4"/>
      <c r="J10" s="144"/>
      <c r="K10" s="4"/>
      <c r="L10" s="144"/>
      <c r="M10" s="143"/>
      <c r="N10" s="264"/>
      <c r="O10" s="265"/>
      <c r="P10" s="264"/>
      <c r="Q10" s="265"/>
      <c r="R10" s="264"/>
      <c r="S10" s="265"/>
      <c r="T10" s="264"/>
      <c r="U10" s="265"/>
      <c r="V10" s="264"/>
      <c r="W10" s="265"/>
      <c r="X10" s="264"/>
      <c r="Y10" s="265"/>
      <c r="Z10" s="264"/>
      <c r="AA10" s="265"/>
      <c r="AB10" s="264"/>
      <c r="AC10" s="266"/>
      <c r="AD10" s="260"/>
      <c r="AE10" s="267"/>
      <c r="AF10" s="268"/>
      <c r="AG10" s="161"/>
    </row>
    <row r="11" spans="1:33" ht="15" customHeight="1" x14ac:dyDescent="0.2">
      <c r="A11" s="90" t="s">
        <v>5</v>
      </c>
      <c r="B11" s="8"/>
      <c r="C11" s="8"/>
      <c r="D11" s="22"/>
      <c r="E11" s="20"/>
      <c r="F11" s="8"/>
      <c r="G11" s="20"/>
      <c r="H11" s="8"/>
      <c r="I11" s="8"/>
      <c r="J11" s="22"/>
      <c r="K11" s="8"/>
      <c r="L11" s="22"/>
      <c r="M11" s="20"/>
      <c r="N11" s="269"/>
      <c r="O11" s="355"/>
      <c r="P11" s="269"/>
      <c r="Q11" s="355"/>
      <c r="R11" s="269"/>
      <c r="S11" s="355"/>
      <c r="T11" s="269"/>
      <c r="U11" s="355"/>
      <c r="V11" s="269"/>
      <c r="W11" s="355"/>
      <c r="X11" s="269"/>
      <c r="Y11" s="355"/>
      <c r="Z11" s="269"/>
      <c r="AA11" s="355"/>
      <c r="AB11" s="269"/>
      <c r="AC11" s="279"/>
      <c r="AD11" s="260"/>
      <c r="AE11" s="272"/>
      <c r="AF11" s="273"/>
      <c r="AG11" s="97"/>
    </row>
    <row r="12" spans="1:33" ht="15" customHeight="1" x14ac:dyDescent="0.2">
      <c r="A12" s="89" t="s">
        <v>6</v>
      </c>
      <c r="B12" s="7"/>
      <c r="C12" s="224">
        <v>2020956</v>
      </c>
      <c r="D12" s="225"/>
      <c r="E12" s="223">
        <v>2188740</v>
      </c>
      <c r="F12" s="168"/>
      <c r="G12" s="223">
        <v>2287290</v>
      </c>
      <c r="H12" s="168"/>
      <c r="I12" s="224">
        <v>2321061</v>
      </c>
      <c r="J12" s="225"/>
      <c r="K12" s="224">
        <v>2473697</v>
      </c>
      <c r="L12" s="225"/>
      <c r="M12" s="223">
        <v>2491795</v>
      </c>
      <c r="N12" s="274"/>
      <c r="O12" s="294">
        <v>2405344</v>
      </c>
      <c r="P12" s="274"/>
      <c r="Q12" s="294">
        <v>2422885</v>
      </c>
      <c r="R12" s="274"/>
      <c r="S12" s="295">
        <v>2474777</v>
      </c>
      <c r="T12" s="274"/>
      <c r="U12" s="295">
        <v>2610007</v>
      </c>
      <c r="V12" s="274"/>
      <c r="W12" s="295">
        <v>2554652</v>
      </c>
      <c r="X12" s="274"/>
      <c r="Y12" s="295">
        <v>2662553</v>
      </c>
      <c r="Z12" s="274"/>
      <c r="AA12" s="295">
        <v>2795249</v>
      </c>
      <c r="AB12" s="274"/>
      <c r="AC12" s="296">
        <v>2724930</v>
      </c>
      <c r="AD12" s="356"/>
      <c r="AE12" s="278"/>
      <c r="AF12" s="279">
        <f>AVERAGE(U12,AC12,Y12,W12,AA12)</f>
        <v>2669478.2000000002</v>
      </c>
      <c r="AG12" s="162">
        <f>+(AC12-U12)/U12</f>
        <v>4.4031682673648001E-2</v>
      </c>
    </row>
    <row r="13" spans="1:33" ht="15" customHeight="1" x14ac:dyDescent="0.2">
      <c r="A13" s="89" t="s">
        <v>25</v>
      </c>
      <c r="B13" s="7"/>
      <c r="C13" s="224"/>
      <c r="D13" s="225"/>
      <c r="E13" s="223"/>
      <c r="F13" s="168"/>
      <c r="G13" s="229"/>
      <c r="H13" s="168"/>
      <c r="I13" s="224">
        <v>4000</v>
      </c>
      <c r="J13" s="225"/>
      <c r="K13" s="224">
        <v>4000</v>
      </c>
      <c r="L13" s="225"/>
      <c r="M13" s="223">
        <v>13000</v>
      </c>
      <c r="N13" s="274"/>
      <c r="O13" s="294">
        <v>13000</v>
      </c>
      <c r="P13" s="274"/>
      <c r="Q13" s="294">
        <v>13000</v>
      </c>
      <c r="R13" s="274"/>
      <c r="S13" s="295">
        <v>10000</v>
      </c>
      <c r="T13" s="274"/>
      <c r="U13" s="295">
        <v>10000</v>
      </c>
      <c r="V13" s="274"/>
      <c r="W13" s="295">
        <v>129814</v>
      </c>
      <c r="X13" s="274"/>
      <c r="Y13" s="295">
        <v>10000</v>
      </c>
      <c r="Z13" s="274"/>
      <c r="AA13" s="295">
        <v>10000</v>
      </c>
      <c r="AB13" s="274"/>
      <c r="AC13" s="296">
        <v>10000</v>
      </c>
      <c r="AD13" s="356"/>
      <c r="AE13" s="282"/>
      <c r="AF13" s="279">
        <f t="shared" ref="AF13:AF15" si="0">AVERAGE(U13,AC13,Y13,W13,AA13)</f>
        <v>33962.800000000003</v>
      </c>
      <c r="AG13" s="162">
        <f t="shared" ref="AG13:AG15" si="1">+(AC13-U13)/U13</f>
        <v>0</v>
      </c>
    </row>
    <row r="14" spans="1:33" ht="30.75" customHeight="1" thickBot="1" x14ac:dyDescent="0.25">
      <c r="A14" s="105" t="s">
        <v>26</v>
      </c>
      <c r="B14" s="17"/>
      <c r="C14" s="234">
        <f>6000+4000</f>
        <v>10000</v>
      </c>
      <c r="D14" s="235"/>
      <c r="E14" s="233">
        <f>4000+2000</f>
        <v>6000</v>
      </c>
      <c r="F14" s="95"/>
      <c r="G14" s="233">
        <v>16520</v>
      </c>
      <c r="H14" s="95"/>
      <c r="I14" s="234">
        <v>21580</v>
      </c>
      <c r="J14" s="235"/>
      <c r="K14" s="234">
        <v>100185</v>
      </c>
      <c r="L14" s="235"/>
      <c r="M14" s="233">
        <v>156047</v>
      </c>
      <c r="N14" s="283"/>
      <c r="O14" s="301">
        <v>24634</v>
      </c>
      <c r="P14" s="283"/>
      <c r="Q14" s="301">
        <v>30016</v>
      </c>
      <c r="R14" s="283"/>
      <c r="S14" s="302">
        <v>69048</v>
      </c>
      <c r="T14" s="283"/>
      <c r="U14" s="302">
        <v>205701</v>
      </c>
      <c r="V14" s="283"/>
      <c r="W14" s="302">
        <v>308759</v>
      </c>
      <c r="X14" s="283"/>
      <c r="Y14" s="302">
        <v>512935</v>
      </c>
      <c r="Z14" s="283"/>
      <c r="AA14" s="302">
        <v>333288</v>
      </c>
      <c r="AB14" s="283"/>
      <c r="AC14" s="303">
        <v>453652</v>
      </c>
      <c r="AD14" s="356"/>
      <c r="AE14" s="285"/>
      <c r="AF14" s="279">
        <f t="shared" si="0"/>
        <v>362867</v>
      </c>
      <c r="AG14" s="162">
        <f t="shared" si="1"/>
        <v>1.205395209551728</v>
      </c>
    </row>
    <row r="15" spans="1:33" ht="18.75" customHeight="1" thickBot="1" x14ac:dyDescent="0.25">
      <c r="A15" s="106" t="s">
        <v>7</v>
      </c>
      <c r="B15" s="107"/>
      <c r="C15" s="241">
        <f>SUM(C12:C14)</f>
        <v>2030956</v>
      </c>
      <c r="D15" s="242"/>
      <c r="E15" s="239">
        <f>SUM(E12:E14)</f>
        <v>2194740</v>
      </c>
      <c r="F15" s="240"/>
      <c r="G15" s="239">
        <f>SUM(G12:G14)</f>
        <v>2303810</v>
      </c>
      <c r="H15" s="240"/>
      <c r="I15" s="241">
        <f>SUM(I12:I14)</f>
        <v>2346641</v>
      </c>
      <c r="J15" s="242"/>
      <c r="K15" s="241">
        <f>SUM(K12:K14)</f>
        <v>2577882</v>
      </c>
      <c r="L15" s="242"/>
      <c r="M15" s="239">
        <f>SUM(M12:M14)</f>
        <v>2660842</v>
      </c>
      <c r="N15" s="287"/>
      <c r="O15" s="288">
        <f>SUM(O12:O14)</f>
        <v>2442978</v>
      </c>
      <c r="P15" s="287"/>
      <c r="Q15" s="288">
        <f>SUM(Q12:Q14)</f>
        <v>2465901</v>
      </c>
      <c r="R15" s="287"/>
      <c r="S15" s="289">
        <f>SUM(S12:S14)</f>
        <v>2553825</v>
      </c>
      <c r="T15" s="287"/>
      <c r="U15" s="289">
        <f>SUM(U12:U14)</f>
        <v>2825708</v>
      </c>
      <c r="V15" s="287"/>
      <c r="W15" s="289">
        <f>SUM(W12:W14)</f>
        <v>2993225</v>
      </c>
      <c r="X15" s="287"/>
      <c r="Y15" s="289">
        <f>SUM(Y12:Y14)</f>
        <v>3185488</v>
      </c>
      <c r="Z15" s="287"/>
      <c r="AA15" s="289">
        <f>SUM(AA12:AA14)</f>
        <v>3138537</v>
      </c>
      <c r="AB15" s="287"/>
      <c r="AC15" s="290">
        <f>SUM(AC12:AC14)</f>
        <v>3188582</v>
      </c>
      <c r="AD15" s="356"/>
      <c r="AE15" s="292"/>
      <c r="AF15" s="293">
        <f t="shared" si="0"/>
        <v>3066308</v>
      </c>
      <c r="AG15" s="214">
        <f t="shared" si="1"/>
        <v>0.12841878920256444</v>
      </c>
    </row>
    <row r="16" spans="1:33" ht="12" x14ac:dyDescent="0.2">
      <c r="A16" s="88" t="s">
        <v>8</v>
      </c>
      <c r="B16" s="7"/>
      <c r="C16" s="224"/>
      <c r="D16" s="225"/>
      <c r="E16" s="223"/>
      <c r="F16" s="168"/>
      <c r="G16" s="223"/>
      <c r="H16" s="168"/>
      <c r="I16" s="224"/>
      <c r="J16" s="225"/>
      <c r="K16" s="224"/>
      <c r="L16" s="225"/>
      <c r="M16" s="223"/>
      <c r="N16" s="274"/>
      <c r="O16" s="294"/>
      <c r="P16" s="274"/>
      <c r="Q16" s="294"/>
      <c r="R16" s="274"/>
      <c r="S16" s="295"/>
      <c r="T16" s="274"/>
      <c r="U16" s="295"/>
      <c r="V16" s="274"/>
      <c r="W16" s="295"/>
      <c r="X16" s="274"/>
      <c r="Y16" s="295"/>
      <c r="Z16" s="274"/>
      <c r="AA16" s="295"/>
      <c r="AB16" s="274"/>
      <c r="AC16" s="296"/>
      <c r="AD16" s="356"/>
      <c r="AE16" s="272"/>
      <c r="AF16" s="273"/>
      <c r="AG16" s="155"/>
    </row>
    <row r="17" spans="1:142" ht="12" x14ac:dyDescent="0.2">
      <c r="A17" s="89" t="s">
        <v>6</v>
      </c>
      <c r="B17" s="8"/>
      <c r="C17" s="245"/>
      <c r="D17" s="246"/>
      <c r="E17" s="244"/>
      <c r="F17" s="74"/>
      <c r="G17" s="244"/>
      <c r="H17" s="74"/>
      <c r="I17" s="245"/>
      <c r="J17" s="246"/>
      <c r="K17" s="245"/>
      <c r="L17" s="246"/>
      <c r="M17" s="244"/>
      <c r="N17" s="269"/>
      <c r="O17" s="298"/>
      <c r="P17" s="269"/>
      <c r="Q17" s="298"/>
      <c r="R17" s="269"/>
      <c r="S17" s="299"/>
      <c r="T17" s="269"/>
      <c r="U17" s="299"/>
      <c r="V17" s="269"/>
      <c r="W17" s="299"/>
      <c r="X17" s="269"/>
      <c r="Y17" s="299"/>
      <c r="Z17" s="269"/>
      <c r="AA17" s="299"/>
      <c r="AB17" s="269"/>
      <c r="AC17" s="300"/>
      <c r="AD17" s="356"/>
      <c r="AE17" s="278"/>
      <c r="AF17" s="279"/>
      <c r="AG17" s="162"/>
    </row>
    <row r="18" spans="1:142" ht="12" x14ac:dyDescent="0.2">
      <c r="A18" s="89" t="s">
        <v>25</v>
      </c>
      <c r="B18" s="8"/>
      <c r="C18" s="245"/>
      <c r="D18" s="246"/>
      <c r="E18" s="244"/>
      <c r="F18" s="74"/>
      <c r="G18" s="244"/>
      <c r="H18" s="74"/>
      <c r="I18" s="245"/>
      <c r="J18" s="246"/>
      <c r="K18" s="245"/>
      <c r="L18" s="246"/>
      <c r="M18" s="244"/>
      <c r="N18" s="269"/>
      <c r="O18" s="298"/>
      <c r="P18" s="269"/>
      <c r="Q18" s="298"/>
      <c r="R18" s="269"/>
      <c r="S18" s="299"/>
      <c r="T18" s="269"/>
      <c r="U18" s="299"/>
      <c r="V18" s="269"/>
      <c r="W18" s="299"/>
      <c r="X18" s="269"/>
      <c r="Y18" s="299"/>
      <c r="Z18" s="269"/>
      <c r="AA18" s="299"/>
      <c r="AB18" s="269"/>
      <c r="AC18" s="300"/>
      <c r="AD18" s="356"/>
      <c r="AE18" s="282"/>
      <c r="AF18" s="279"/>
      <c r="AG18" s="162"/>
    </row>
    <row r="19" spans="1:142" ht="29.25" customHeight="1" thickBot="1" x14ac:dyDescent="0.25">
      <c r="A19" s="105" t="s">
        <v>26</v>
      </c>
      <c r="B19" s="17"/>
      <c r="C19" s="234"/>
      <c r="D19" s="235"/>
      <c r="E19" s="233"/>
      <c r="F19" s="95"/>
      <c r="G19" s="233"/>
      <c r="H19" s="95"/>
      <c r="I19" s="234"/>
      <c r="J19" s="235"/>
      <c r="K19" s="234"/>
      <c r="L19" s="235"/>
      <c r="M19" s="233"/>
      <c r="N19" s="283"/>
      <c r="O19" s="301"/>
      <c r="P19" s="283"/>
      <c r="Q19" s="301"/>
      <c r="R19" s="283"/>
      <c r="S19" s="302"/>
      <c r="T19" s="283"/>
      <c r="U19" s="302"/>
      <c r="V19" s="283"/>
      <c r="W19" s="302"/>
      <c r="X19" s="283"/>
      <c r="Y19" s="302"/>
      <c r="Z19" s="283"/>
      <c r="AA19" s="302"/>
      <c r="AB19" s="283"/>
      <c r="AC19" s="357"/>
      <c r="AD19" s="356"/>
      <c r="AE19" s="285"/>
      <c r="AF19" s="286"/>
      <c r="AG19" s="163"/>
    </row>
    <row r="20" spans="1:142" ht="18.75" customHeight="1" thickBot="1" x14ac:dyDescent="0.25">
      <c r="A20" s="106" t="s">
        <v>9</v>
      </c>
      <c r="B20" s="107"/>
      <c r="C20" s="241">
        <f>SUM(C17:C19)</f>
        <v>0</v>
      </c>
      <c r="D20" s="242"/>
      <c r="E20" s="239">
        <f>SUM(E17:E19)</f>
        <v>0</v>
      </c>
      <c r="F20" s="240"/>
      <c r="G20" s="239">
        <f>SUM(G17:G19)</f>
        <v>0</v>
      </c>
      <c r="H20" s="240"/>
      <c r="I20" s="241">
        <f>SUM(I17:I19)</f>
        <v>0</v>
      </c>
      <c r="J20" s="242"/>
      <c r="K20" s="241">
        <f>SUM(K17:K19)</f>
        <v>0</v>
      </c>
      <c r="L20" s="242"/>
      <c r="M20" s="239">
        <f>SUM(M17:M19)</f>
        <v>0</v>
      </c>
      <c r="N20" s="287"/>
      <c r="O20" s="288">
        <f>SUM(O17:O19)</f>
        <v>0</v>
      </c>
      <c r="P20" s="287"/>
      <c r="Q20" s="288">
        <f>SUM(Q17:Q19)</f>
        <v>0</v>
      </c>
      <c r="R20" s="287"/>
      <c r="S20" s="289">
        <f>SUM(S17:S19)</f>
        <v>0</v>
      </c>
      <c r="T20" s="287"/>
      <c r="U20" s="289">
        <f>SUM(U17:U19)</f>
        <v>0</v>
      </c>
      <c r="V20" s="287"/>
      <c r="W20" s="289">
        <f>SUM(W17:W19)</f>
        <v>0</v>
      </c>
      <c r="X20" s="287"/>
      <c r="Y20" s="289">
        <f>SUM(Y17:Y19)</f>
        <v>0</v>
      </c>
      <c r="Z20" s="287"/>
      <c r="AA20" s="289">
        <f>SUM(AA17:AA19)</f>
        <v>0</v>
      </c>
      <c r="AB20" s="287"/>
      <c r="AC20" s="290">
        <f>SUM(AC17:AC19)</f>
        <v>0</v>
      </c>
      <c r="AD20" s="356"/>
      <c r="AE20" s="292"/>
      <c r="AF20" s="290">
        <f>SUM(AF17:AF19)</f>
        <v>0</v>
      </c>
      <c r="AG20" s="215"/>
    </row>
    <row r="21" spans="1:142" ht="18.75" customHeight="1" thickBot="1" x14ac:dyDescent="0.25">
      <c r="A21" s="147" t="s">
        <v>10</v>
      </c>
      <c r="B21" s="3"/>
      <c r="C21" s="248">
        <f>SUM(C15,C20)</f>
        <v>2030956</v>
      </c>
      <c r="D21" s="249"/>
      <c r="E21" s="247">
        <f>SUM(E15,E20)</f>
        <v>2194740</v>
      </c>
      <c r="F21" s="38"/>
      <c r="G21" s="247">
        <f>SUM(G15,G20)</f>
        <v>2303810</v>
      </c>
      <c r="H21" s="38"/>
      <c r="I21" s="248">
        <f>SUM(I15,I20)</f>
        <v>2346641</v>
      </c>
      <c r="J21" s="249"/>
      <c r="K21" s="248">
        <f>SUM(K15,K20)</f>
        <v>2577882</v>
      </c>
      <c r="L21" s="249"/>
      <c r="M21" s="247">
        <f>SUM(M15,M20)</f>
        <v>2660842</v>
      </c>
      <c r="N21" s="262"/>
      <c r="O21" s="304">
        <f>SUM(O15,O20)</f>
        <v>2442978</v>
      </c>
      <c r="P21" s="262"/>
      <c r="Q21" s="304">
        <f>SUM(Q15,Q20)</f>
        <v>2465901</v>
      </c>
      <c r="R21" s="262"/>
      <c r="S21" s="305">
        <f>SUM(S15,S20)</f>
        <v>2553825</v>
      </c>
      <c r="T21" s="262"/>
      <c r="U21" s="305">
        <f>SUM(U15,U20)</f>
        <v>2825708</v>
      </c>
      <c r="V21" s="262"/>
      <c r="W21" s="305">
        <f>SUM(W15,W20)</f>
        <v>2993225</v>
      </c>
      <c r="X21" s="262"/>
      <c r="Y21" s="305">
        <f>SUM(Y15,Y20)</f>
        <v>3185488</v>
      </c>
      <c r="Z21" s="262"/>
      <c r="AA21" s="305">
        <f>SUM(AA15,AA20)</f>
        <v>3138537</v>
      </c>
      <c r="AB21" s="262"/>
      <c r="AC21" s="291">
        <f>SUM(AC15,AC20)</f>
        <v>3188582</v>
      </c>
      <c r="AD21" s="358"/>
      <c r="AE21" s="306"/>
      <c r="AF21" s="307">
        <f>AVERAGE(U21,AC21,Y21,W21,AA21)</f>
        <v>3066308</v>
      </c>
      <c r="AG21" s="216">
        <f>+(AC21-U21)/U21</f>
        <v>0.12841878920256444</v>
      </c>
      <c r="AH21" s="76"/>
      <c r="AI21" s="3"/>
    </row>
    <row r="22" spans="1:142" s="154" customFormat="1" ht="18" customHeight="1" x14ac:dyDescent="0.2">
      <c r="A22" s="153" t="s">
        <v>32</v>
      </c>
      <c r="B22" s="452"/>
      <c r="C22" s="452"/>
      <c r="D22" s="450"/>
      <c r="E22" s="451"/>
      <c r="F22" s="452"/>
      <c r="G22" s="451"/>
      <c r="H22" s="452"/>
      <c r="I22" s="452"/>
      <c r="J22" s="450"/>
      <c r="K22" s="452"/>
      <c r="L22" s="450"/>
      <c r="M22" s="451"/>
      <c r="N22" s="454"/>
      <c r="O22" s="455"/>
      <c r="P22" s="454"/>
      <c r="Q22" s="455"/>
      <c r="R22" s="454"/>
      <c r="S22" s="455"/>
      <c r="T22" s="454"/>
      <c r="U22" s="455"/>
      <c r="V22" s="454"/>
      <c r="W22" s="455"/>
      <c r="X22" s="454"/>
      <c r="Y22" s="455"/>
      <c r="Z22" s="454"/>
      <c r="AA22" s="455"/>
      <c r="AB22" s="454"/>
      <c r="AC22" s="462"/>
      <c r="AD22" s="273"/>
      <c r="AE22" s="444"/>
      <c r="AF22" s="445"/>
      <c r="AG22" s="217"/>
      <c r="AH22" s="76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ht="15" customHeight="1" x14ac:dyDescent="0.2">
      <c r="A23" s="92" t="s">
        <v>49</v>
      </c>
      <c r="B23" s="19"/>
      <c r="C23" s="36">
        <f>257112+1842108</f>
        <v>2099220</v>
      </c>
      <c r="D23" s="24"/>
      <c r="E23" s="209">
        <v>2335147</v>
      </c>
      <c r="F23" s="19"/>
      <c r="G23" s="27">
        <v>2273845.4700000002</v>
      </c>
      <c r="H23" s="150"/>
      <c r="I23" s="27">
        <v>2351500.8199999998</v>
      </c>
      <c r="J23" s="151"/>
      <c r="K23" s="27">
        <f>2451378+136138</f>
        <v>2587516</v>
      </c>
      <c r="L23" s="152"/>
      <c r="M23" s="27">
        <f>2474565+178427</f>
        <v>2652992</v>
      </c>
      <c r="N23" s="359"/>
      <c r="O23" s="360">
        <v>2509291</v>
      </c>
      <c r="P23" s="359"/>
      <c r="Q23" s="360">
        <v>2663400</v>
      </c>
      <c r="R23" s="359"/>
      <c r="S23" s="360">
        <v>2726253</v>
      </c>
      <c r="T23" s="359"/>
      <c r="U23" s="360">
        <v>2687379</v>
      </c>
      <c r="V23" s="359"/>
      <c r="W23" s="360">
        <v>2810379.85</v>
      </c>
      <c r="X23" s="359"/>
      <c r="Y23" s="361">
        <v>2978583</v>
      </c>
      <c r="Z23" s="359"/>
      <c r="AA23" s="361">
        <v>3169918</v>
      </c>
      <c r="AB23" s="359"/>
      <c r="AC23" s="362"/>
      <c r="AD23" s="356"/>
      <c r="AE23" s="278"/>
      <c r="AF23" s="279">
        <f>AVERAGE(U23,AA23,S23,W23,Y23)</f>
        <v>2874502.57</v>
      </c>
      <c r="AG23" s="162">
        <f>+(AA23-S23)/S23</f>
        <v>0.16273801441025465</v>
      </c>
      <c r="AH23" s="76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ht="15" customHeight="1" x14ac:dyDescent="0.2">
      <c r="A24" s="89" t="s">
        <v>33</v>
      </c>
      <c r="B24" s="84"/>
      <c r="C24" s="206"/>
      <c r="D24" s="109"/>
      <c r="E24" s="210"/>
      <c r="F24" s="84"/>
      <c r="G24" s="110">
        <v>32583.649999999998</v>
      </c>
      <c r="H24" s="99"/>
      <c r="I24" s="110">
        <v>11143.319999999998</v>
      </c>
      <c r="J24" s="100"/>
      <c r="K24" s="110">
        <v>13777.06</v>
      </c>
      <c r="L24" s="101"/>
      <c r="M24" s="110">
        <v>10376.530000000001</v>
      </c>
      <c r="N24" s="432"/>
      <c r="O24" s="365">
        <v>3200</v>
      </c>
      <c r="P24" s="364"/>
      <c r="Q24" s="365">
        <v>7597.98</v>
      </c>
      <c r="R24" s="364"/>
      <c r="S24" s="365">
        <v>3919.44</v>
      </c>
      <c r="T24" s="364"/>
      <c r="U24" s="365">
        <v>6824.66</v>
      </c>
      <c r="V24" s="364"/>
      <c r="W24" s="365">
        <v>5580.55</v>
      </c>
      <c r="X24" s="364"/>
      <c r="Y24" s="366">
        <v>4781</v>
      </c>
      <c r="Z24" s="364"/>
      <c r="AA24" s="366">
        <v>4393</v>
      </c>
      <c r="AB24" s="364"/>
      <c r="AC24" s="367"/>
      <c r="AD24" s="356"/>
      <c r="AE24" s="278"/>
      <c r="AF24" s="279">
        <f t="shared" ref="AF24" si="2">AVERAGE(U24,AA24,S24,W24,Y24)</f>
        <v>5099.7300000000005</v>
      </c>
      <c r="AG24" s="162">
        <f t="shared" ref="AG24" si="3">+(AA24-S24)/S24</f>
        <v>0.12082338293225561</v>
      </c>
      <c r="AH24" s="76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ht="15" customHeight="1" thickBot="1" x14ac:dyDescent="0.25">
      <c r="A25" s="141" t="s">
        <v>34</v>
      </c>
      <c r="B25" s="123"/>
      <c r="C25" s="207"/>
      <c r="D25" s="121"/>
      <c r="E25" s="211"/>
      <c r="F25" s="123"/>
      <c r="G25" s="122">
        <v>0</v>
      </c>
      <c r="H25" s="126"/>
      <c r="I25" s="122">
        <v>26357.59</v>
      </c>
      <c r="J25" s="127"/>
      <c r="K25" s="122">
        <v>48083.3</v>
      </c>
      <c r="L25" s="128"/>
      <c r="M25" s="122">
        <v>0</v>
      </c>
      <c r="N25" s="368"/>
      <c r="O25" s="369">
        <v>0</v>
      </c>
      <c r="P25" s="368"/>
      <c r="Q25" s="369">
        <v>0</v>
      </c>
      <c r="R25" s="368"/>
      <c r="S25" s="369">
        <v>0</v>
      </c>
      <c r="T25" s="368"/>
      <c r="U25" s="369">
        <v>0</v>
      </c>
      <c r="V25" s="368"/>
      <c r="W25" s="369">
        <v>0</v>
      </c>
      <c r="X25" s="368"/>
      <c r="Y25" s="370">
        <v>0</v>
      </c>
      <c r="Z25" s="368"/>
      <c r="AA25" s="370">
        <v>0</v>
      </c>
      <c r="AB25" s="368"/>
      <c r="AC25" s="371"/>
      <c r="AD25" s="262"/>
      <c r="AE25" s="319"/>
      <c r="AF25" s="279">
        <f t="shared" ref="AF25" si="4">AVERAGE(U25,AC25,Q25,W25,Y25)</f>
        <v>0</v>
      </c>
      <c r="AG25" s="162"/>
      <c r="AH25" s="76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ht="18" customHeight="1" thickTop="1" x14ac:dyDescent="0.2">
      <c r="A26" s="102" t="s">
        <v>35</v>
      </c>
      <c r="B26" s="199" t="s">
        <v>14</v>
      </c>
      <c r="C26" s="187" t="s">
        <v>15</v>
      </c>
      <c r="D26" s="199" t="s">
        <v>14</v>
      </c>
      <c r="E26" s="187" t="s">
        <v>15</v>
      </c>
      <c r="F26" s="200" t="s">
        <v>14</v>
      </c>
      <c r="G26" s="201" t="s">
        <v>15</v>
      </c>
      <c r="H26" s="202" t="s">
        <v>14</v>
      </c>
      <c r="I26" s="203" t="s">
        <v>15</v>
      </c>
      <c r="J26" s="204" t="s">
        <v>14</v>
      </c>
      <c r="K26" s="205" t="s">
        <v>15</v>
      </c>
      <c r="L26" s="202" t="s">
        <v>14</v>
      </c>
      <c r="M26" s="203" t="s">
        <v>15</v>
      </c>
      <c r="N26" s="322" t="s">
        <v>14</v>
      </c>
      <c r="O26" s="323" t="s">
        <v>15</v>
      </c>
      <c r="P26" s="320" t="s">
        <v>14</v>
      </c>
      <c r="Q26" s="321" t="s">
        <v>15</v>
      </c>
      <c r="R26" s="322" t="s">
        <v>14</v>
      </c>
      <c r="S26" s="323" t="s">
        <v>15</v>
      </c>
      <c r="T26" s="320" t="s">
        <v>14</v>
      </c>
      <c r="U26" s="321" t="s">
        <v>15</v>
      </c>
      <c r="V26" s="322" t="s">
        <v>14</v>
      </c>
      <c r="W26" s="323" t="s">
        <v>15</v>
      </c>
      <c r="X26" s="320" t="s">
        <v>14</v>
      </c>
      <c r="Y26" s="321" t="s">
        <v>15</v>
      </c>
      <c r="Z26" s="320" t="s">
        <v>14</v>
      </c>
      <c r="AA26" s="321" t="s">
        <v>15</v>
      </c>
      <c r="AB26" s="322" t="s">
        <v>14</v>
      </c>
      <c r="AC26" s="324" t="s">
        <v>15</v>
      </c>
      <c r="AD26" s="282"/>
      <c r="AE26" s="325" t="s">
        <v>14</v>
      </c>
      <c r="AF26" s="320" t="s">
        <v>15</v>
      </c>
      <c r="AG26" s="218" t="s">
        <v>43</v>
      </c>
      <c r="AH26" s="76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1:142" ht="15" customHeight="1" x14ac:dyDescent="0.2">
      <c r="A27" s="89" t="s">
        <v>46</v>
      </c>
      <c r="B27" s="65">
        <v>2</v>
      </c>
      <c r="C27" s="188">
        <v>58149</v>
      </c>
      <c r="D27" s="66">
        <v>0</v>
      </c>
      <c r="E27" s="190"/>
      <c r="F27" s="192">
        <v>1</v>
      </c>
      <c r="G27" s="55">
        <v>50000</v>
      </c>
      <c r="H27" s="77">
        <v>0</v>
      </c>
      <c r="I27" s="193">
        <v>0</v>
      </c>
      <c r="J27" s="192">
        <v>0</v>
      </c>
      <c r="K27" s="194">
        <v>0</v>
      </c>
      <c r="L27" s="78">
        <v>0</v>
      </c>
      <c r="M27" s="195">
        <v>0</v>
      </c>
      <c r="N27" s="328">
        <v>0</v>
      </c>
      <c r="O27" s="329">
        <v>0</v>
      </c>
      <c r="P27" s="326">
        <v>1</v>
      </c>
      <c r="Q27" s="327">
        <v>15000</v>
      </c>
      <c r="R27" s="328">
        <v>1</v>
      </c>
      <c r="S27" s="329">
        <v>35000</v>
      </c>
      <c r="T27" s="326">
        <v>1</v>
      </c>
      <c r="U27" s="327">
        <v>18462</v>
      </c>
      <c r="V27" s="328">
        <v>4</v>
      </c>
      <c r="W27" s="329">
        <v>117193</v>
      </c>
      <c r="X27" s="326">
        <v>0</v>
      </c>
      <c r="Y27" s="327">
        <v>0</v>
      </c>
      <c r="Z27" s="326">
        <v>1</v>
      </c>
      <c r="AA27" s="327">
        <v>12694</v>
      </c>
      <c r="AB27" s="330"/>
      <c r="AC27" s="331"/>
      <c r="AD27" s="282"/>
      <c r="AE27" s="219">
        <f>AVERAGE(T27,R27,Z27,X27,V27)</f>
        <v>1.4</v>
      </c>
      <c r="AF27" s="269">
        <f t="shared" ref="AF27:AF28" si="5">AVERAGE(U27,AA27,S27,W27,Y27)</f>
        <v>36669.800000000003</v>
      </c>
      <c r="AG27" s="220">
        <f t="shared" ref="AG27" si="6">+(AA27-S27)/S27</f>
        <v>-0.63731428571428572</v>
      </c>
      <c r="AH27" s="76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 ht="15" customHeight="1" thickBot="1" x14ac:dyDescent="0.25">
      <c r="A28" s="93" t="s">
        <v>47</v>
      </c>
      <c r="B28" s="118">
        <v>2</v>
      </c>
      <c r="C28" s="183">
        <v>7389</v>
      </c>
      <c r="D28" s="189">
        <v>1</v>
      </c>
      <c r="E28" s="191">
        <v>4995</v>
      </c>
      <c r="F28" s="185">
        <v>0</v>
      </c>
      <c r="G28" s="104">
        <v>0</v>
      </c>
      <c r="H28" s="131">
        <v>1</v>
      </c>
      <c r="I28" s="186">
        <v>50000</v>
      </c>
      <c r="J28" s="185">
        <v>0</v>
      </c>
      <c r="K28" s="132">
        <v>0</v>
      </c>
      <c r="L28" s="131">
        <v>0</v>
      </c>
      <c r="M28" s="196">
        <v>0</v>
      </c>
      <c r="N28" s="334">
        <v>0</v>
      </c>
      <c r="O28" s="335">
        <v>0</v>
      </c>
      <c r="P28" s="332">
        <v>0</v>
      </c>
      <c r="Q28" s="333">
        <v>0</v>
      </c>
      <c r="R28" s="334">
        <v>0</v>
      </c>
      <c r="S28" s="335">
        <v>0</v>
      </c>
      <c r="T28" s="332">
        <v>0</v>
      </c>
      <c r="U28" s="333">
        <v>0</v>
      </c>
      <c r="V28" s="334">
        <v>1</v>
      </c>
      <c r="W28" s="335">
        <v>25000</v>
      </c>
      <c r="X28" s="332">
        <v>1</v>
      </c>
      <c r="Y28" s="333">
        <v>28500</v>
      </c>
      <c r="Z28" s="332">
        <v>0</v>
      </c>
      <c r="AA28" s="333">
        <v>0</v>
      </c>
      <c r="AB28" s="336"/>
      <c r="AC28" s="337"/>
      <c r="AD28" s="282"/>
      <c r="AE28" s="221">
        <f>AVERAGE(T28,R28,Z28,X28,V28)</f>
        <v>0.4</v>
      </c>
      <c r="AF28" s="338">
        <f t="shared" si="5"/>
        <v>10700</v>
      </c>
      <c r="AG28" s="259"/>
      <c r="AH28" s="76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s="7" customFormat="1" ht="18" customHeight="1" thickTop="1" x14ac:dyDescent="0.2">
      <c r="A29" s="102" t="s">
        <v>11</v>
      </c>
      <c r="B29" s="458"/>
      <c r="C29" s="458"/>
      <c r="D29" s="456"/>
      <c r="E29" s="457"/>
      <c r="F29" s="458"/>
      <c r="G29" s="457"/>
      <c r="H29" s="458"/>
      <c r="I29" s="458"/>
      <c r="J29" s="456"/>
      <c r="K29" s="458"/>
      <c r="L29" s="456"/>
      <c r="M29" s="457"/>
      <c r="N29" s="460"/>
      <c r="O29" s="461"/>
      <c r="P29" s="460"/>
      <c r="Q29" s="461"/>
      <c r="R29" s="460"/>
      <c r="S29" s="461"/>
      <c r="T29" s="460"/>
      <c r="U29" s="461"/>
      <c r="V29" s="460"/>
      <c r="W29" s="461"/>
      <c r="X29" s="460"/>
      <c r="Y29" s="461"/>
      <c r="Z29" s="460"/>
      <c r="AA29" s="461"/>
      <c r="AB29" s="460"/>
      <c r="AC29" s="463"/>
      <c r="AD29" s="358"/>
      <c r="AE29" s="433"/>
      <c r="AF29" s="434"/>
      <c r="AG29" s="164"/>
      <c r="AH29" s="76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ht="15" customHeight="1" x14ac:dyDescent="0.2">
      <c r="A30" s="92" t="s">
        <v>12</v>
      </c>
      <c r="B30" s="19"/>
      <c r="C30" s="36">
        <v>12111</v>
      </c>
      <c r="D30" s="24"/>
      <c r="E30" s="27">
        <v>40082</v>
      </c>
      <c r="F30" s="19"/>
      <c r="G30" s="59">
        <v>84670</v>
      </c>
      <c r="H30" s="19"/>
      <c r="I30" s="47">
        <v>146675</v>
      </c>
      <c r="J30" s="24"/>
      <c r="K30" s="47">
        <v>163674</v>
      </c>
      <c r="L30" s="81"/>
      <c r="M30" s="85">
        <v>267224</v>
      </c>
      <c r="N30" s="274"/>
      <c r="O30" s="372">
        <v>97505</v>
      </c>
      <c r="P30" s="274"/>
      <c r="Q30" s="372">
        <v>40472.519999999997</v>
      </c>
      <c r="R30" s="274"/>
      <c r="S30" s="372">
        <v>110179.42</v>
      </c>
      <c r="T30" s="274"/>
      <c r="U30" s="372">
        <v>116343.19</v>
      </c>
      <c r="V30" s="274"/>
      <c r="W30" s="372">
        <v>207299.09</v>
      </c>
      <c r="X30" s="274"/>
      <c r="Y30" s="372">
        <v>101555.62</v>
      </c>
      <c r="Z30" s="274"/>
      <c r="AA30" s="372">
        <v>110632</v>
      </c>
      <c r="AB30" s="274"/>
      <c r="AC30" s="373"/>
      <c r="AD30" s="260"/>
      <c r="AE30" s="278"/>
      <c r="AF30" s="269">
        <f t="shared" ref="AF30:AF31" si="7">AVERAGE(U30,AA30,S30,W30,Y30)</f>
        <v>129201.86399999999</v>
      </c>
      <c r="AG30" s="220">
        <f t="shared" ref="AG30:AG31" si="8">+(AA30-S30)/S30</f>
        <v>4.1076636635045067E-3</v>
      </c>
    </row>
    <row r="31" spans="1:142" ht="15" customHeight="1" thickBot="1" x14ac:dyDescent="0.25">
      <c r="A31" s="93" t="s">
        <v>13</v>
      </c>
      <c r="B31" s="9"/>
      <c r="C31" s="208">
        <v>571422</v>
      </c>
      <c r="D31" s="26"/>
      <c r="E31" s="34">
        <v>589221</v>
      </c>
      <c r="F31" s="9"/>
      <c r="G31" s="68">
        <v>710327</v>
      </c>
      <c r="H31" s="69"/>
      <c r="I31" s="70">
        <v>877841</v>
      </c>
      <c r="J31" s="26"/>
      <c r="K31" s="70">
        <v>901715</v>
      </c>
      <c r="L31" s="82"/>
      <c r="M31" s="68">
        <v>748963</v>
      </c>
      <c r="N31" s="338"/>
      <c r="O31" s="374">
        <v>831434</v>
      </c>
      <c r="P31" s="338"/>
      <c r="Q31" s="374">
        <v>949965.47</v>
      </c>
      <c r="R31" s="338"/>
      <c r="S31" s="374">
        <v>968149.93</v>
      </c>
      <c r="T31" s="338"/>
      <c r="U31" s="374">
        <v>1073107.9099999999</v>
      </c>
      <c r="V31" s="338"/>
      <c r="W31" s="374">
        <v>1257855.3899999999</v>
      </c>
      <c r="X31" s="338"/>
      <c r="Y31" s="374">
        <v>1205819.8500000001</v>
      </c>
      <c r="Z31" s="338"/>
      <c r="AA31" s="374">
        <v>1183167</v>
      </c>
      <c r="AB31" s="338"/>
      <c r="AC31" s="375"/>
      <c r="AD31" s="260"/>
      <c r="AE31" s="319"/>
      <c r="AF31" s="376">
        <f t="shared" si="7"/>
        <v>1137620.0160000001</v>
      </c>
      <c r="AG31" s="222">
        <f t="shared" si="8"/>
        <v>0.22209067349723399</v>
      </c>
    </row>
    <row r="32" spans="1:142" thickTop="1" x14ac:dyDescent="0.2">
      <c r="A32" s="5"/>
      <c r="B32" s="12"/>
      <c r="C32" s="14"/>
      <c r="D32" s="12"/>
      <c r="E32" s="6"/>
      <c r="F32" s="12"/>
      <c r="G32" s="6"/>
      <c r="H32" s="12"/>
      <c r="I32" s="11"/>
      <c r="J32" s="12"/>
      <c r="K32" s="6"/>
      <c r="L32" s="12"/>
      <c r="M32" s="86"/>
      <c r="N32" s="262"/>
      <c r="O32" s="377"/>
      <c r="P32" s="262"/>
      <c r="Q32" s="377"/>
      <c r="R32" s="262"/>
      <c r="S32" s="377"/>
      <c r="T32" s="262"/>
      <c r="U32" s="377"/>
      <c r="V32" s="262"/>
      <c r="W32" s="377"/>
      <c r="X32" s="262"/>
      <c r="Y32" s="377"/>
      <c r="Z32" s="262"/>
      <c r="AA32" s="377"/>
      <c r="AB32" s="262"/>
      <c r="AC32" s="377"/>
      <c r="AD32" s="260"/>
      <c r="AE32" s="260"/>
      <c r="AF32" s="260"/>
    </row>
    <row r="33" spans="2:9" ht="12" x14ac:dyDescent="0.2">
      <c r="B33" s="1"/>
      <c r="C33" s="1"/>
      <c r="D33" s="1"/>
      <c r="E33" s="1"/>
      <c r="F33" s="1"/>
      <c r="G33" s="1"/>
      <c r="H33" s="1"/>
      <c r="I33" s="1"/>
    </row>
    <row r="34" spans="2:9" ht="12" x14ac:dyDescent="0.2">
      <c r="B34" s="1"/>
      <c r="C34" s="1"/>
      <c r="D34" s="1"/>
      <c r="E34" s="1"/>
      <c r="F34" s="1"/>
      <c r="G34" s="1"/>
      <c r="H34" s="1"/>
      <c r="I34" s="1"/>
    </row>
    <row r="35" spans="2:9" ht="12" x14ac:dyDescent="0.2">
      <c r="B35" s="1"/>
      <c r="C35" s="1"/>
      <c r="D35" s="1"/>
      <c r="E35" s="1"/>
      <c r="F35" s="1"/>
      <c r="G35" s="1"/>
      <c r="H35" s="1"/>
      <c r="I35" s="1"/>
    </row>
    <row r="36" spans="2:9" ht="12" x14ac:dyDescent="0.2">
      <c r="B36" s="1"/>
      <c r="C36" s="1"/>
      <c r="D36" s="1"/>
      <c r="E36" s="1"/>
      <c r="F36" s="1"/>
      <c r="G36" s="1"/>
      <c r="H36" s="1"/>
      <c r="I36" s="1"/>
    </row>
    <row r="37" spans="2:9" ht="12" x14ac:dyDescent="0.2">
      <c r="B37" s="1"/>
      <c r="C37" s="1"/>
      <c r="D37" s="1"/>
      <c r="E37" s="1"/>
      <c r="F37" s="1"/>
      <c r="G37" s="1"/>
      <c r="H37" s="1"/>
      <c r="I37" s="1"/>
    </row>
    <row r="38" spans="2:9" ht="12" x14ac:dyDescent="0.2">
      <c r="B38" s="1"/>
      <c r="C38" s="1"/>
      <c r="D38" s="1"/>
      <c r="E38" s="1"/>
      <c r="F38" s="1"/>
      <c r="G38" s="1"/>
      <c r="H38" s="1"/>
      <c r="I38" s="1"/>
    </row>
    <row r="39" spans="2:9" ht="12" x14ac:dyDescent="0.2">
      <c r="B39" s="1"/>
      <c r="C39" s="1"/>
      <c r="D39" s="1"/>
      <c r="E39" s="1"/>
      <c r="F39" s="1"/>
      <c r="G39" s="1"/>
      <c r="H39" s="1"/>
      <c r="I39" s="1"/>
    </row>
    <row r="40" spans="2:9" ht="12" x14ac:dyDescent="0.2">
      <c r="B40" s="1"/>
      <c r="C40" s="1"/>
      <c r="D40" s="1"/>
      <c r="E40" s="1"/>
      <c r="F40" s="1"/>
      <c r="G40" s="1"/>
      <c r="H40" s="1"/>
      <c r="I40" s="1"/>
    </row>
    <row r="41" spans="2:9" ht="12" x14ac:dyDescent="0.2">
      <c r="B41" s="1"/>
      <c r="C41" s="1"/>
      <c r="D41" s="1"/>
      <c r="E41" s="1"/>
      <c r="F41" s="1"/>
      <c r="G41" s="1"/>
      <c r="H41" s="1"/>
      <c r="I41" s="1"/>
    </row>
    <row r="42" spans="2:9" ht="12" x14ac:dyDescent="0.2">
      <c r="B42" s="1"/>
      <c r="C42" s="1"/>
      <c r="D42" s="1"/>
      <c r="E42" s="1"/>
      <c r="F42" s="1"/>
      <c r="G42" s="1"/>
      <c r="H42" s="1"/>
      <c r="I42" s="1"/>
    </row>
    <row r="43" spans="2:9" ht="12" x14ac:dyDescent="0.2">
      <c r="B43" s="1"/>
      <c r="C43" s="1"/>
      <c r="D43" s="1"/>
      <c r="E43" s="1"/>
      <c r="F43" s="1"/>
      <c r="G43" s="1"/>
      <c r="H43" s="1"/>
      <c r="I43" s="1"/>
    </row>
    <row r="44" spans="2:9" ht="12" x14ac:dyDescent="0.2">
      <c r="B44" s="1"/>
      <c r="C44" s="1"/>
      <c r="D44" s="1"/>
      <c r="E44" s="1"/>
      <c r="F44" s="1"/>
      <c r="G44" s="1"/>
      <c r="H44" s="1"/>
      <c r="I44" s="1"/>
    </row>
    <row r="45" spans="2:9" ht="12" x14ac:dyDescent="0.2">
      <c r="B45" s="1"/>
      <c r="C45" s="1"/>
      <c r="D45" s="1"/>
      <c r="E45" s="1"/>
      <c r="F45" s="1"/>
      <c r="G45" s="1"/>
      <c r="H45" s="1"/>
      <c r="I45" s="1"/>
    </row>
    <row r="46" spans="2:9" ht="12" x14ac:dyDescent="0.2">
      <c r="B46" s="1"/>
      <c r="C46" s="1"/>
      <c r="D46" s="1"/>
      <c r="E46" s="1"/>
      <c r="F46" s="1"/>
      <c r="G46" s="1"/>
      <c r="H46" s="1"/>
      <c r="I46" s="1"/>
    </row>
    <row r="47" spans="2:9" ht="12" x14ac:dyDescent="0.2">
      <c r="B47" s="1"/>
      <c r="C47" s="1"/>
      <c r="D47" s="1"/>
      <c r="E47" s="1"/>
      <c r="F47" s="1"/>
      <c r="G47" s="1"/>
      <c r="H47" s="1"/>
      <c r="I47" s="1"/>
    </row>
    <row r="48" spans="2:9" ht="12" x14ac:dyDescent="0.2">
      <c r="B48" s="1"/>
      <c r="C48" s="1"/>
      <c r="D48" s="1"/>
      <c r="E48" s="1"/>
      <c r="F48" s="1"/>
      <c r="G48" s="1"/>
      <c r="H48" s="1"/>
      <c r="I48" s="1"/>
    </row>
    <row r="49" spans="2:9" ht="12" x14ac:dyDescent="0.2">
      <c r="B49" s="1"/>
      <c r="C49" s="1"/>
      <c r="D49" s="1"/>
      <c r="E49" s="1"/>
      <c r="F49" s="1"/>
      <c r="G49" s="1"/>
      <c r="H49" s="1"/>
      <c r="I49" s="1"/>
    </row>
    <row r="50" spans="2:9" ht="12" x14ac:dyDescent="0.2">
      <c r="B50" s="1"/>
      <c r="C50" s="1"/>
      <c r="D50" s="1"/>
      <c r="E50" s="1"/>
      <c r="F50" s="1"/>
      <c r="G50" s="1"/>
      <c r="H50" s="1"/>
      <c r="I50" s="1"/>
    </row>
    <row r="51" spans="2:9" ht="12" x14ac:dyDescent="0.2">
      <c r="B51" s="1"/>
      <c r="C51" s="1"/>
      <c r="D51" s="1"/>
      <c r="E51" s="1"/>
      <c r="F51" s="1"/>
      <c r="G51" s="1"/>
      <c r="H51" s="1"/>
      <c r="I51" s="1"/>
    </row>
    <row r="52" spans="2:9" ht="12" x14ac:dyDescent="0.2">
      <c r="B52" s="1"/>
      <c r="C52" s="1"/>
      <c r="D52" s="1"/>
      <c r="E52" s="1"/>
      <c r="F52" s="1"/>
      <c r="G52" s="1"/>
      <c r="H52" s="1"/>
      <c r="I52" s="1"/>
    </row>
    <row r="53" spans="2:9" ht="12" x14ac:dyDescent="0.2">
      <c r="B53" s="1"/>
      <c r="C53" s="1"/>
      <c r="D53" s="1"/>
      <c r="E53" s="1"/>
      <c r="F53" s="1"/>
      <c r="G53" s="1"/>
      <c r="H53" s="1"/>
      <c r="I53" s="1"/>
    </row>
    <row r="54" spans="2:9" ht="12" x14ac:dyDescent="0.2">
      <c r="B54" s="1"/>
      <c r="C54" s="1"/>
      <c r="D54" s="1"/>
      <c r="E54" s="1"/>
      <c r="F54" s="1"/>
      <c r="G54" s="1"/>
      <c r="H54" s="1"/>
      <c r="I54" s="1"/>
    </row>
    <row r="55" spans="2:9" ht="12" x14ac:dyDescent="0.2">
      <c r="B55" s="1"/>
      <c r="C55" s="1"/>
      <c r="D55" s="1"/>
      <c r="E55" s="1"/>
      <c r="F55" s="1"/>
      <c r="G55" s="1"/>
      <c r="H55" s="1"/>
      <c r="I55" s="1"/>
    </row>
    <row r="56" spans="2:9" ht="12" x14ac:dyDescent="0.2">
      <c r="B56" s="1"/>
      <c r="C56" s="1"/>
      <c r="D56" s="1"/>
      <c r="E56" s="1"/>
      <c r="F56" s="1"/>
      <c r="G56" s="1"/>
      <c r="H56" s="1"/>
      <c r="I56" s="1"/>
    </row>
    <row r="57" spans="2:9" ht="12" x14ac:dyDescent="0.2">
      <c r="B57" s="1"/>
      <c r="C57" s="1"/>
      <c r="D57" s="1"/>
      <c r="E57" s="1"/>
      <c r="F57" s="1"/>
      <c r="G57" s="1"/>
      <c r="H57" s="1"/>
      <c r="I57" s="1"/>
    </row>
    <row r="58" spans="2:9" ht="12" x14ac:dyDescent="0.2">
      <c r="B58" s="1"/>
      <c r="C58" s="1"/>
      <c r="D58" s="1"/>
      <c r="E58" s="1"/>
      <c r="F58" s="1"/>
      <c r="G58" s="1"/>
      <c r="H58" s="1"/>
      <c r="I58" s="1"/>
    </row>
    <row r="59" spans="2:9" ht="12" x14ac:dyDescent="0.2">
      <c r="B59" s="1"/>
      <c r="C59" s="1"/>
      <c r="D59" s="1"/>
      <c r="E59" s="1"/>
      <c r="F59" s="1"/>
      <c r="G59" s="1"/>
      <c r="H59" s="1"/>
      <c r="I59" s="1"/>
    </row>
    <row r="60" spans="2:9" ht="12" x14ac:dyDescent="0.2">
      <c r="B60" s="1"/>
      <c r="C60" s="1"/>
      <c r="D60" s="1"/>
      <c r="E60" s="1"/>
      <c r="F60" s="1"/>
      <c r="G60" s="1"/>
      <c r="H60" s="1"/>
      <c r="I60" s="1"/>
    </row>
    <row r="61" spans="2:9" ht="12" x14ac:dyDescent="0.2">
      <c r="B61" s="1"/>
      <c r="C61" s="1"/>
      <c r="D61" s="1"/>
      <c r="E61" s="1"/>
      <c r="F61" s="1"/>
      <c r="G61" s="1"/>
      <c r="H61" s="1"/>
      <c r="I61" s="1"/>
    </row>
    <row r="62" spans="2:9" ht="12" x14ac:dyDescent="0.2">
      <c r="B62" s="1"/>
      <c r="C62" s="1"/>
      <c r="D62" s="1"/>
      <c r="E62" s="1"/>
      <c r="F62" s="1"/>
      <c r="G62" s="1"/>
      <c r="H62" s="1"/>
      <c r="I62" s="1"/>
    </row>
    <row r="63" spans="2:9" ht="12" x14ac:dyDescent="0.2">
      <c r="B63" s="1"/>
      <c r="C63" s="1"/>
      <c r="D63" s="1"/>
      <c r="E63" s="1"/>
      <c r="F63" s="1"/>
      <c r="G63" s="1"/>
      <c r="H63" s="1"/>
      <c r="I63" s="1"/>
    </row>
    <row r="64" spans="2:9" ht="12" x14ac:dyDescent="0.2">
      <c r="B64" s="1"/>
      <c r="C64" s="1"/>
      <c r="D64" s="1"/>
      <c r="E64" s="1"/>
      <c r="F64" s="1"/>
      <c r="G64" s="1"/>
      <c r="H64" s="1"/>
      <c r="I64" s="1"/>
    </row>
    <row r="65" spans="2:9" ht="12" x14ac:dyDescent="0.2">
      <c r="B65" s="1"/>
      <c r="C65" s="1"/>
      <c r="D65" s="1"/>
      <c r="E65" s="1"/>
      <c r="F65" s="1"/>
      <c r="G65" s="1"/>
      <c r="H65" s="1"/>
      <c r="I65" s="1"/>
    </row>
    <row r="66" spans="2:9" ht="12" x14ac:dyDescent="0.2">
      <c r="B66" s="1"/>
      <c r="C66" s="1"/>
      <c r="D66" s="1"/>
      <c r="E66" s="1"/>
      <c r="F66" s="1"/>
      <c r="G66" s="1"/>
      <c r="H66" s="1"/>
      <c r="I66" s="1"/>
    </row>
    <row r="67" spans="2:9" ht="12" x14ac:dyDescent="0.2">
      <c r="B67" s="1"/>
      <c r="C67" s="1"/>
      <c r="D67" s="1"/>
      <c r="E67" s="1"/>
      <c r="F67" s="1"/>
      <c r="G67" s="1"/>
      <c r="H67" s="1"/>
      <c r="I67" s="1"/>
    </row>
    <row r="68" spans="2:9" ht="12" x14ac:dyDescent="0.2">
      <c r="B68" s="1"/>
      <c r="C68" s="1"/>
      <c r="D68" s="1"/>
      <c r="E68" s="1"/>
      <c r="F68" s="1"/>
      <c r="G68" s="1"/>
      <c r="H68" s="1"/>
      <c r="I68" s="1"/>
    </row>
    <row r="69" spans="2:9" ht="12" x14ac:dyDescent="0.2">
      <c r="B69" s="1"/>
      <c r="C69" s="1"/>
      <c r="D69" s="1"/>
      <c r="E69" s="1"/>
      <c r="F69" s="1"/>
      <c r="G69" s="1"/>
      <c r="H69" s="1"/>
      <c r="I69" s="1"/>
    </row>
    <row r="70" spans="2:9" ht="12" x14ac:dyDescent="0.2">
      <c r="B70" s="1"/>
      <c r="C70" s="1"/>
      <c r="D70" s="1"/>
      <c r="E70" s="1"/>
      <c r="F70" s="1"/>
      <c r="G70" s="1"/>
      <c r="H70" s="1"/>
      <c r="I70" s="1"/>
    </row>
    <row r="71" spans="2:9" ht="12" x14ac:dyDescent="0.2">
      <c r="B71" s="1"/>
      <c r="C71" s="1"/>
      <c r="D71" s="1"/>
      <c r="E71" s="1"/>
      <c r="F71" s="1"/>
      <c r="G71" s="1"/>
      <c r="H71" s="1"/>
      <c r="I71" s="1"/>
    </row>
    <row r="72" spans="2:9" ht="12" x14ac:dyDescent="0.2">
      <c r="B72" s="1"/>
      <c r="C72" s="1"/>
      <c r="D72" s="1"/>
      <c r="E72" s="1"/>
      <c r="F72" s="1"/>
      <c r="G72" s="1"/>
      <c r="H72" s="1"/>
      <c r="I72" s="1"/>
    </row>
    <row r="73" spans="2:9" ht="12" x14ac:dyDescent="0.2">
      <c r="B73" s="1"/>
      <c r="C73" s="1"/>
      <c r="D73" s="1"/>
      <c r="E73" s="1"/>
      <c r="F73" s="1"/>
      <c r="G73" s="1"/>
      <c r="H73" s="1"/>
      <c r="I73" s="1"/>
    </row>
    <row r="74" spans="2:9" ht="12" x14ac:dyDescent="0.2">
      <c r="B74" s="1"/>
      <c r="C74" s="1"/>
      <c r="D74" s="1"/>
      <c r="E74" s="1"/>
      <c r="F74" s="1"/>
      <c r="G74" s="1"/>
      <c r="H74" s="1"/>
      <c r="I74" s="1"/>
    </row>
    <row r="75" spans="2:9" ht="12" x14ac:dyDescent="0.2">
      <c r="B75" s="1"/>
      <c r="C75" s="1"/>
      <c r="D75" s="1"/>
      <c r="E75" s="1"/>
      <c r="F75" s="1"/>
      <c r="G75" s="1"/>
      <c r="H75" s="1"/>
      <c r="I75" s="1"/>
    </row>
    <row r="76" spans="2:9" ht="12" x14ac:dyDescent="0.2">
      <c r="B76" s="1"/>
      <c r="C76" s="1"/>
      <c r="D76" s="1"/>
      <c r="E76" s="1"/>
      <c r="F76" s="1"/>
      <c r="G76" s="1"/>
      <c r="H76" s="1"/>
      <c r="I76" s="1"/>
    </row>
    <row r="77" spans="2:9" ht="12" x14ac:dyDescent="0.2">
      <c r="B77" s="1"/>
      <c r="C77" s="1"/>
      <c r="D77" s="1"/>
      <c r="E77" s="1"/>
      <c r="F77" s="1"/>
      <c r="G77" s="1"/>
      <c r="H77" s="1"/>
      <c r="I77" s="1"/>
    </row>
    <row r="78" spans="2:9" ht="12" x14ac:dyDescent="0.2">
      <c r="B78" s="1"/>
      <c r="C78" s="1"/>
      <c r="D78" s="1"/>
      <c r="E78" s="1"/>
      <c r="F78" s="1"/>
      <c r="G78" s="1"/>
      <c r="H78" s="1"/>
      <c r="I78" s="1"/>
    </row>
    <row r="79" spans="2:9" ht="12" x14ac:dyDescent="0.2">
      <c r="B79" s="1"/>
      <c r="C79" s="1"/>
      <c r="D79" s="1"/>
      <c r="E79" s="1"/>
      <c r="F79" s="1"/>
      <c r="G79" s="1"/>
      <c r="H79" s="1"/>
      <c r="I79" s="1"/>
    </row>
    <row r="80" spans="2:9" ht="12" x14ac:dyDescent="0.2">
      <c r="B80" s="1"/>
      <c r="C80" s="1"/>
      <c r="D80" s="1"/>
      <c r="E80" s="1"/>
      <c r="F80" s="1"/>
      <c r="G80" s="1"/>
      <c r="H80" s="1"/>
      <c r="I80" s="1"/>
    </row>
    <row r="81" spans="2:9" ht="12" x14ac:dyDescent="0.2">
      <c r="B81" s="1"/>
      <c r="C81" s="1"/>
      <c r="D81" s="1"/>
      <c r="E81" s="1"/>
      <c r="F81" s="1"/>
      <c r="G81" s="1"/>
      <c r="H81" s="1"/>
      <c r="I81" s="1"/>
    </row>
    <row r="82" spans="2:9" ht="12" x14ac:dyDescent="0.2">
      <c r="B82" s="1"/>
      <c r="C82" s="1"/>
      <c r="D82" s="1"/>
      <c r="E82" s="1"/>
      <c r="F82" s="1"/>
      <c r="G82" s="1"/>
      <c r="H82" s="1"/>
      <c r="I82" s="1"/>
    </row>
    <row r="83" spans="2:9" ht="12" x14ac:dyDescent="0.2">
      <c r="B83" s="1"/>
      <c r="C83" s="1"/>
      <c r="D83" s="1"/>
      <c r="E83" s="1"/>
      <c r="F83" s="1"/>
      <c r="G83" s="1"/>
      <c r="H83" s="1"/>
      <c r="I83" s="1"/>
    </row>
    <row r="84" spans="2:9" ht="12" x14ac:dyDescent="0.2">
      <c r="B84" s="1"/>
      <c r="C84" s="1"/>
      <c r="D84" s="1"/>
      <c r="E84" s="1"/>
      <c r="F84" s="1"/>
      <c r="G84" s="1"/>
      <c r="H84" s="1"/>
      <c r="I84" s="1"/>
    </row>
    <row r="85" spans="2:9" ht="12" x14ac:dyDescent="0.2">
      <c r="B85" s="1"/>
      <c r="C85" s="1"/>
      <c r="D85" s="1"/>
      <c r="E85" s="1"/>
      <c r="F85" s="1"/>
      <c r="G85" s="1"/>
      <c r="H85" s="1"/>
      <c r="I85" s="1"/>
    </row>
    <row r="86" spans="2:9" ht="12" x14ac:dyDescent="0.2">
      <c r="B86" s="1"/>
      <c r="C86" s="1"/>
      <c r="D86" s="1"/>
      <c r="E86" s="1"/>
      <c r="F86" s="1"/>
      <c r="G86" s="1"/>
      <c r="H86" s="1"/>
      <c r="I86" s="1"/>
    </row>
    <row r="87" spans="2:9" ht="12" x14ac:dyDescent="0.2">
      <c r="B87" s="1"/>
      <c r="C87" s="1"/>
      <c r="D87" s="1"/>
      <c r="E87" s="1"/>
      <c r="F87" s="1"/>
      <c r="G87" s="1"/>
      <c r="H87" s="1"/>
      <c r="I87" s="1"/>
    </row>
    <row r="88" spans="2:9" ht="15" customHeight="1" x14ac:dyDescent="0.2">
      <c r="B88" s="1"/>
      <c r="C88" s="1"/>
      <c r="D88" s="1"/>
      <c r="E88" s="1"/>
      <c r="F88" s="1"/>
      <c r="G88" s="1"/>
      <c r="H88" s="1"/>
      <c r="I88" s="1"/>
    </row>
  </sheetData>
  <mergeCells count="45">
    <mergeCell ref="AB22:AC22"/>
    <mergeCell ref="AB29:AC29"/>
    <mergeCell ref="P9:Q9"/>
    <mergeCell ref="H9:I9"/>
    <mergeCell ref="X9:Y9"/>
    <mergeCell ref="X22:Y22"/>
    <mergeCell ref="R9:S9"/>
    <mergeCell ref="P29:Q29"/>
    <mergeCell ref="L29:M29"/>
    <mergeCell ref="N29:O29"/>
    <mergeCell ref="X29:Y29"/>
    <mergeCell ref="AE9:AF9"/>
    <mergeCell ref="B9:C9"/>
    <mergeCell ref="F9:G9"/>
    <mergeCell ref="V9:W9"/>
    <mergeCell ref="Z9:AA9"/>
    <mergeCell ref="AB9:AC9"/>
    <mergeCell ref="B29:C29"/>
    <mergeCell ref="D29:E29"/>
    <mergeCell ref="T9:U9"/>
    <mergeCell ref="H29:I29"/>
    <mergeCell ref="N9:O9"/>
    <mergeCell ref="D9:E9"/>
    <mergeCell ref="J9:K9"/>
    <mergeCell ref="L9:M9"/>
    <mergeCell ref="R29:S29"/>
    <mergeCell ref="F29:G29"/>
    <mergeCell ref="B22:C22"/>
    <mergeCell ref="D22:E22"/>
    <mergeCell ref="AE29:AF29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J29:K29"/>
    <mergeCell ref="Z22:AA22"/>
    <mergeCell ref="V29:W29"/>
    <mergeCell ref="T29:U29"/>
    <mergeCell ref="Z29:AA29"/>
    <mergeCell ref="AE22:AF22"/>
  </mergeCells>
  <phoneticPr fontId="0" type="noConversion"/>
  <printOptions horizontalCentered="1" verticalCentered="1"/>
  <pageMargins left="0.5" right="0.5" top="0.5" bottom="0.5" header="0.25" footer="0.25"/>
  <pageSetup scale="80" orientation="landscape" horizontalDpi="4294967292" verticalDpi="4294967292" r:id="rId1"/>
  <headerFooter alignWithMargins="0">
    <oddFooter>&amp;L&amp;9Prepared by Planning and Analysis&amp;C&amp;9&amp;P of &amp;N&amp;R&amp;9Updated &amp;D</oddFooter>
  </headerFooter>
  <rowBreaks count="1" manualBreakCount="1">
    <brk id="32" max="16383" man="1"/>
  </rowBreaks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zoomScaleNormal="100" zoomScaleSheetLayoutView="95" workbookViewId="0">
      <pane xSplit="1" ySplit="7" topLeftCell="B24" activePane="bottomRight" state="frozen"/>
      <selection activeCell="AG31" sqref="AG31"/>
      <selection pane="topRight" activeCell="AG31" sqref="AG31"/>
      <selection pane="bottomLeft" activeCell="AG31" sqref="AG31"/>
      <selection pane="bottomRight" activeCell="AG31" sqref="AG31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hidden="1" customWidth="1"/>
    <col min="7" max="7" width="10.7109375" hidden="1" customWidth="1"/>
    <col min="8" max="8" width="4.7109375" hidden="1" customWidth="1"/>
    <col min="9" max="9" width="10.7109375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7109375" style="1" customWidth="1"/>
    <col min="31" max="31" width="4.7109375" style="1" customWidth="1"/>
    <col min="32" max="32" width="10.5703125" style="1" customWidth="1"/>
    <col min="33" max="33" width="8.7109375" style="1" customWidth="1"/>
    <col min="34" max="34" width="1.7109375" style="1" customWidth="1"/>
    <col min="35" max="16384" width="10.28515625" style="1"/>
  </cols>
  <sheetData>
    <row r="1" spans="1:34" ht="15.75" x14ac:dyDescent="0.25">
      <c r="A1" s="156" t="s">
        <v>37</v>
      </c>
      <c r="F1" s="157"/>
      <c r="G1" s="157"/>
      <c r="H1" s="157"/>
      <c r="I1" s="157"/>
    </row>
    <row r="2" spans="1:34" ht="15.75" x14ac:dyDescent="0.25">
      <c r="A2" s="156" t="s">
        <v>38</v>
      </c>
      <c r="F2" s="157"/>
      <c r="G2" s="157"/>
      <c r="H2" s="157"/>
      <c r="I2" s="157"/>
    </row>
    <row r="3" spans="1:34" ht="5.25" customHeight="1" x14ac:dyDescent="0.25">
      <c r="A3" s="156"/>
      <c r="F3" s="157"/>
      <c r="G3" s="157"/>
      <c r="H3" s="157"/>
      <c r="I3" s="157"/>
    </row>
    <row r="4" spans="1:34" ht="15.75" x14ac:dyDescent="0.25">
      <c r="A4" s="158" t="s">
        <v>39</v>
      </c>
      <c r="F4" s="157"/>
      <c r="G4" s="157"/>
      <c r="H4" s="157"/>
      <c r="I4" s="157"/>
    </row>
    <row r="5" spans="1:34" ht="6" customHeight="1" x14ac:dyDescent="0.25">
      <c r="A5" s="158"/>
      <c r="F5" s="157"/>
      <c r="G5" s="157"/>
      <c r="H5" s="157"/>
      <c r="I5" s="157"/>
    </row>
    <row r="6" spans="1:34" s="3" customFormat="1" x14ac:dyDescent="0.2">
      <c r="A6" s="16" t="s">
        <v>40</v>
      </c>
      <c r="I6" s="18"/>
      <c r="AG6" s="1"/>
      <c r="AH6" s="1"/>
    </row>
    <row r="7" spans="1:34" ht="12" x14ac:dyDescent="0.2">
      <c r="A7" s="4">
        <v>3760015040</v>
      </c>
      <c r="B7" s="5"/>
      <c r="C7" s="18"/>
      <c r="D7" s="5"/>
      <c r="E7" s="18"/>
      <c r="F7" s="5"/>
      <c r="G7" s="18"/>
      <c r="H7" s="5"/>
      <c r="I7" s="18"/>
      <c r="J7" s="5"/>
      <c r="K7" s="18"/>
      <c r="L7" s="5"/>
      <c r="M7" s="18"/>
      <c r="N7" s="5"/>
      <c r="O7" s="75"/>
      <c r="P7" s="5"/>
      <c r="Q7" s="75"/>
      <c r="R7" s="5"/>
      <c r="S7" s="75"/>
      <c r="T7" s="5"/>
      <c r="U7" s="75"/>
      <c r="V7" s="5"/>
      <c r="W7" s="75"/>
      <c r="X7" s="5"/>
      <c r="Y7" s="75"/>
      <c r="Z7" s="5"/>
      <c r="AA7" s="75"/>
      <c r="AB7" s="5"/>
      <c r="AC7" s="75"/>
    </row>
    <row r="8" spans="1:34" ht="12.75" customHeight="1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1"/>
      <c r="P8" s="3"/>
      <c r="Q8" s="51"/>
      <c r="R8" s="3"/>
      <c r="S8" s="51"/>
      <c r="T8" s="3"/>
      <c r="U8" s="51"/>
      <c r="V8" s="3"/>
      <c r="W8" s="51"/>
      <c r="X8" s="3"/>
      <c r="Y8" s="51"/>
      <c r="Z8" s="3"/>
      <c r="AA8" s="51"/>
      <c r="AB8" s="3"/>
      <c r="AC8" s="51"/>
      <c r="AE8" s="3"/>
      <c r="AF8" s="3"/>
    </row>
    <row r="9" spans="1:34" ht="30" customHeight="1" thickTop="1" thickBot="1" x14ac:dyDescent="0.25">
      <c r="A9" s="87"/>
      <c r="B9" s="435" t="s">
        <v>2</v>
      </c>
      <c r="C9" s="436"/>
      <c r="D9" s="437" t="s">
        <v>3</v>
      </c>
      <c r="E9" s="437"/>
      <c r="F9" s="435" t="s">
        <v>16</v>
      </c>
      <c r="G9" s="436"/>
      <c r="H9" s="437" t="s">
        <v>19</v>
      </c>
      <c r="I9" s="437"/>
      <c r="J9" s="435" t="s">
        <v>20</v>
      </c>
      <c r="K9" s="437"/>
      <c r="L9" s="435" t="s">
        <v>21</v>
      </c>
      <c r="M9" s="436"/>
      <c r="N9" s="437" t="s">
        <v>23</v>
      </c>
      <c r="O9" s="443"/>
      <c r="P9" s="437" t="s">
        <v>24</v>
      </c>
      <c r="Q9" s="443"/>
      <c r="R9" s="437" t="s">
        <v>27</v>
      </c>
      <c r="S9" s="443"/>
      <c r="T9" s="437" t="s">
        <v>28</v>
      </c>
      <c r="U9" s="443"/>
      <c r="V9" s="437" t="s">
        <v>29</v>
      </c>
      <c r="W9" s="443"/>
      <c r="X9" s="437" t="s">
        <v>30</v>
      </c>
      <c r="Y9" s="443"/>
      <c r="Z9" s="437" t="s">
        <v>31</v>
      </c>
      <c r="AA9" s="443"/>
      <c r="AB9" s="437" t="s">
        <v>45</v>
      </c>
      <c r="AC9" s="466"/>
      <c r="AE9" s="464" t="s">
        <v>22</v>
      </c>
      <c r="AF9" s="465"/>
      <c r="AG9" s="160" t="s">
        <v>36</v>
      </c>
    </row>
    <row r="10" spans="1:34" ht="18" customHeight="1" x14ac:dyDescent="0.2">
      <c r="A10" s="142" t="s">
        <v>4</v>
      </c>
      <c r="B10" s="144"/>
      <c r="C10" s="143"/>
      <c r="D10" s="4"/>
      <c r="E10" s="4"/>
      <c r="F10" s="144"/>
      <c r="G10" s="143"/>
      <c r="H10" s="4"/>
      <c r="I10" s="4"/>
      <c r="J10" s="144"/>
      <c r="K10" s="4"/>
      <c r="L10" s="144"/>
      <c r="M10" s="143"/>
      <c r="N10" s="4"/>
      <c r="O10" s="145"/>
      <c r="P10" s="4"/>
      <c r="Q10" s="145"/>
      <c r="R10" s="4"/>
      <c r="S10" s="145"/>
      <c r="T10" s="4"/>
      <c r="U10" s="145"/>
      <c r="V10" s="4"/>
      <c r="W10" s="145"/>
      <c r="X10" s="4"/>
      <c r="Y10" s="145"/>
      <c r="Z10" s="4"/>
      <c r="AA10" s="145"/>
      <c r="AB10" s="4"/>
      <c r="AC10" s="146"/>
      <c r="AE10" s="159"/>
      <c r="AF10" s="213"/>
      <c r="AG10" s="161"/>
    </row>
    <row r="11" spans="1:34" ht="15" customHeight="1" x14ac:dyDescent="0.2">
      <c r="A11" s="90" t="s">
        <v>5</v>
      </c>
      <c r="B11" s="22"/>
      <c r="C11" s="20"/>
      <c r="D11" s="8"/>
      <c r="E11" s="8"/>
      <c r="F11" s="22"/>
      <c r="G11" s="20"/>
      <c r="H11" s="8"/>
      <c r="I11" s="8"/>
      <c r="J11" s="22"/>
      <c r="K11" s="8"/>
      <c r="L11" s="22"/>
      <c r="M11" s="2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70"/>
      <c r="Z11" s="269"/>
      <c r="AA11" s="270"/>
      <c r="AB11" s="269"/>
      <c r="AC11" s="271"/>
      <c r="AD11" s="260"/>
      <c r="AE11" s="272"/>
      <c r="AF11" s="273"/>
      <c r="AG11" s="97"/>
    </row>
    <row r="12" spans="1:34" ht="15" customHeight="1" x14ac:dyDescent="0.2">
      <c r="A12" s="89" t="s">
        <v>6</v>
      </c>
      <c r="B12" s="21"/>
      <c r="C12" s="223">
        <v>974637</v>
      </c>
      <c r="D12" s="168"/>
      <c r="E12" s="224">
        <v>1044090</v>
      </c>
      <c r="F12" s="225"/>
      <c r="G12" s="243">
        <v>1053679</v>
      </c>
      <c r="H12" s="168"/>
      <c r="I12" s="224">
        <v>1114062</v>
      </c>
      <c r="J12" s="225"/>
      <c r="K12" s="224">
        <v>1243058</v>
      </c>
      <c r="L12" s="225"/>
      <c r="M12" s="223">
        <v>1290221</v>
      </c>
      <c r="N12" s="274"/>
      <c r="O12" s="295">
        <v>1242137</v>
      </c>
      <c r="P12" s="274"/>
      <c r="Q12" s="295">
        <v>1240525</v>
      </c>
      <c r="R12" s="274"/>
      <c r="S12" s="295">
        <v>1268292</v>
      </c>
      <c r="T12" s="274"/>
      <c r="U12" s="295">
        <v>1352185</v>
      </c>
      <c r="V12" s="274"/>
      <c r="W12" s="295">
        <v>1375373</v>
      </c>
      <c r="X12" s="274"/>
      <c r="Y12" s="295">
        <v>1434010</v>
      </c>
      <c r="Z12" s="274"/>
      <c r="AA12" s="295">
        <v>1420041</v>
      </c>
      <c r="AB12" s="274"/>
      <c r="AC12" s="296">
        <v>1275471</v>
      </c>
      <c r="AD12" s="356"/>
      <c r="AE12" s="278"/>
      <c r="AF12" s="279">
        <f>AVERAGE(U12,AC12,Y12,W12,AA12)</f>
        <v>1371416</v>
      </c>
      <c r="AG12" s="162">
        <f>+(AC12-U12)/U12</f>
        <v>-5.6733361189482211E-2</v>
      </c>
    </row>
    <row r="13" spans="1:34" ht="15" customHeight="1" x14ac:dyDescent="0.2">
      <c r="A13" s="89" t="s">
        <v>25</v>
      </c>
      <c r="B13" s="21"/>
      <c r="C13" s="223"/>
      <c r="D13" s="168"/>
      <c r="E13" s="224"/>
      <c r="F13" s="225"/>
      <c r="G13" s="223"/>
      <c r="H13" s="168"/>
      <c r="I13" s="224"/>
      <c r="J13" s="225"/>
      <c r="K13" s="224"/>
      <c r="L13" s="225"/>
      <c r="M13" s="223"/>
      <c r="N13" s="274"/>
      <c r="O13" s="295"/>
      <c r="P13" s="274"/>
      <c r="Q13" s="295"/>
      <c r="R13" s="274"/>
      <c r="S13" s="295"/>
      <c r="T13" s="274"/>
      <c r="U13" s="295"/>
      <c r="V13" s="274"/>
      <c r="W13" s="295"/>
      <c r="X13" s="274"/>
      <c r="Y13" s="295"/>
      <c r="Z13" s="274"/>
      <c r="AA13" s="295"/>
      <c r="AB13" s="274"/>
      <c r="AC13" s="296"/>
      <c r="AD13" s="356"/>
      <c r="AE13" s="282"/>
      <c r="AF13" s="279"/>
      <c r="AG13" s="97"/>
    </row>
    <row r="14" spans="1:34" ht="30" customHeight="1" thickBot="1" x14ac:dyDescent="0.25">
      <c r="A14" s="105" t="s">
        <v>26</v>
      </c>
      <c r="B14" s="23"/>
      <c r="C14" s="233">
        <v>9500</v>
      </c>
      <c r="D14" s="95"/>
      <c r="E14" s="234">
        <v>10000</v>
      </c>
      <c r="F14" s="235"/>
      <c r="G14" s="233">
        <v>10000</v>
      </c>
      <c r="H14" s="95"/>
      <c r="I14" s="234">
        <v>10000</v>
      </c>
      <c r="J14" s="235"/>
      <c r="K14" s="234">
        <v>33079</v>
      </c>
      <c r="L14" s="235"/>
      <c r="M14" s="233">
        <v>6500</v>
      </c>
      <c r="N14" s="283"/>
      <c r="O14" s="301">
        <v>11500</v>
      </c>
      <c r="P14" s="283"/>
      <c r="Q14" s="301">
        <v>7500</v>
      </c>
      <c r="R14" s="283"/>
      <c r="S14" s="302">
        <v>12000</v>
      </c>
      <c r="T14" s="283"/>
      <c r="U14" s="302">
        <v>35378</v>
      </c>
      <c r="V14" s="283"/>
      <c r="W14" s="302">
        <v>47137</v>
      </c>
      <c r="X14" s="283"/>
      <c r="Y14" s="302">
        <v>12000</v>
      </c>
      <c r="Z14" s="283"/>
      <c r="AA14" s="302">
        <v>102993</v>
      </c>
      <c r="AB14" s="283"/>
      <c r="AC14" s="303">
        <v>12000</v>
      </c>
      <c r="AD14" s="356"/>
      <c r="AE14" s="285"/>
      <c r="AF14" s="286">
        <f t="shared" ref="AF14:AF15" si="0">AVERAGE(U14,AC14,Y14,W14,AA14)</f>
        <v>41901.599999999999</v>
      </c>
      <c r="AG14" s="162">
        <f t="shared" ref="AG14:AG15" si="1">+(AC14-U14)/U14</f>
        <v>-0.66080615071513371</v>
      </c>
    </row>
    <row r="15" spans="1:34" ht="18.75" customHeight="1" thickBot="1" x14ac:dyDescent="0.25">
      <c r="A15" s="106" t="s">
        <v>7</v>
      </c>
      <c r="B15" s="108"/>
      <c r="C15" s="239">
        <f>SUM(C12:C14)</f>
        <v>984137</v>
      </c>
      <c r="D15" s="240"/>
      <c r="E15" s="241">
        <f>SUM(E12:E14)</f>
        <v>1054090</v>
      </c>
      <c r="F15" s="242"/>
      <c r="G15" s="239">
        <f>SUM(G12:G14)</f>
        <v>1063679</v>
      </c>
      <c r="H15" s="240"/>
      <c r="I15" s="241">
        <f>SUM(I12:I14)</f>
        <v>1124062</v>
      </c>
      <c r="J15" s="242"/>
      <c r="K15" s="241">
        <f>SUM(K12:K14)</f>
        <v>1276137</v>
      </c>
      <c r="L15" s="242"/>
      <c r="M15" s="239">
        <f>SUM(M12:M14)</f>
        <v>1296721</v>
      </c>
      <c r="N15" s="287"/>
      <c r="O15" s="288">
        <f>SUM(O12:O14)</f>
        <v>1253637</v>
      </c>
      <c r="P15" s="287"/>
      <c r="Q15" s="288">
        <f>SUM(Q12:Q14)</f>
        <v>1248025</v>
      </c>
      <c r="R15" s="287"/>
      <c r="S15" s="289">
        <f>SUM(S12:S14)</f>
        <v>1280292</v>
      </c>
      <c r="T15" s="287"/>
      <c r="U15" s="289">
        <f>SUM(U12:U14)</f>
        <v>1387563</v>
      </c>
      <c r="V15" s="287"/>
      <c r="W15" s="289">
        <f>SUM(W12:W14)</f>
        <v>1422510</v>
      </c>
      <c r="X15" s="287"/>
      <c r="Y15" s="289">
        <f>SUM(Y12:Y14)</f>
        <v>1446010</v>
      </c>
      <c r="Z15" s="287"/>
      <c r="AA15" s="289">
        <f>SUM(AA12:AA14)</f>
        <v>1523034</v>
      </c>
      <c r="AB15" s="287"/>
      <c r="AC15" s="290">
        <f>SUM(AC12:AC14)</f>
        <v>1287471</v>
      </c>
      <c r="AD15" s="356"/>
      <c r="AE15" s="292"/>
      <c r="AF15" s="293">
        <f t="shared" si="0"/>
        <v>1413317.6</v>
      </c>
      <c r="AG15" s="214">
        <f t="shared" si="1"/>
        <v>-7.2135103054780214E-2</v>
      </c>
    </row>
    <row r="16" spans="1:34" ht="15" customHeight="1" x14ac:dyDescent="0.2">
      <c r="A16" s="88" t="s">
        <v>8</v>
      </c>
      <c r="B16" s="21"/>
      <c r="C16" s="223"/>
      <c r="D16" s="168"/>
      <c r="E16" s="224"/>
      <c r="F16" s="225"/>
      <c r="G16" s="223"/>
      <c r="H16" s="168"/>
      <c r="I16" s="224"/>
      <c r="J16" s="225"/>
      <c r="K16" s="224"/>
      <c r="L16" s="225"/>
      <c r="M16" s="223"/>
      <c r="N16" s="274"/>
      <c r="O16" s="294"/>
      <c r="P16" s="274"/>
      <c r="Q16" s="294"/>
      <c r="R16" s="274"/>
      <c r="S16" s="295"/>
      <c r="T16" s="274"/>
      <c r="U16" s="295"/>
      <c r="V16" s="274"/>
      <c r="W16" s="295"/>
      <c r="X16" s="274"/>
      <c r="Y16" s="295"/>
      <c r="Z16" s="274"/>
      <c r="AA16" s="295"/>
      <c r="AB16" s="274"/>
      <c r="AC16" s="296"/>
      <c r="AD16" s="356"/>
      <c r="AE16" s="272"/>
      <c r="AF16" s="273"/>
      <c r="AG16" s="155"/>
    </row>
    <row r="17" spans="1:33" ht="15" customHeight="1" x14ac:dyDescent="0.2">
      <c r="A17" s="89" t="s">
        <v>6</v>
      </c>
      <c r="B17" s="22"/>
      <c r="C17" s="244"/>
      <c r="D17" s="74"/>
      <c r="E17" s="245"/>
      <c r="F17" s="246"/>
      <c r="G17" s="244"/>
      <c r="H17" s="74"/>
      <c r="I17" s="245"/>
      <c r="J17" s="246"/>
      <c r="K17" s="245"/>
      <c r="L17" s="246"/>
      <c r="M17" s="244"/>
      <c r="N17" s="269"/>
      <c r="O17" s="298"/>
      <c r="P17" s="269"/>
      <c r="Q17" s="298"/>
      <c r="R17" s="269"/>
      <c r="S17" s="299"/>
      <c r="T17" s="269"/>
      <c r="U17" s="299"/>
      <c r="V17" s="269"/>
      <c r="W17" s="299"/>
      <c r="X17" s="269"/>
      <c r="Y17" s="299"/>
      <c r="Z17" s="269"/>
      <c r="AA17" s="299"/>
      <c r="AB17" s="269"/>
      <c r="AC17" s="300"/>
      <c r="AD17" s="356"/>
      <c r="AE17" s="278"/>
      <c r="AF17" s="279"/>
      <c r="AG17" s="162"/>
    </row>
    <row r="18" spans="1:33" ht="15" customHeight="1" x14ac:dyDescent="0.2">
      <c r="A18" s="89" t="s">
        <v>25</v>
      </c>
      <c r="B18" s="22"/>
      <c r="C18" s="244"/>
      <c r="D18" s="74"/>
      <c r="E18" s="245"/>
      <c r="F18" s="246"/>
      <c r="G18" s="244"/>
      <c r="H18" s="74"/>
      <c r="I18" s="245"/>
      <c r="J18" s="246"/>
      <c r="K18" s="245"/>
      <c r="L18" s="246"/>
      <c r="M18" s="244"/>
      <c r="N18" s="269"/>
      <c r="O18" s="298"/>
      <c r="P18" s="269"/>
      <c r="Q18" s="298"/>
      <c r="R18" s="269"/>
      <c r="S18" s="299"/>
      <c r="T18" s="269"/>
      <c r="U18" s="299"/>
      <c r="V18" s="269"/>
      <c r="W18" s="299"/>
      <c r="X18" s="269"/>
      <c r="Y18" s="299"/>
      <c r="Z18" s="269"/>
      <c r="AA18" s="299"/>
      <c r="AB18" s="269"/>
      <c r="AC18" s="300"/>
      <c r="AD18" s="356"/>
      <c r="AE18" s="282"/>
      <c r="AF18" s="279"/>
      <c r="AG18" s="162"/>
    </row>
    <row r="19" spans="1:33" ht="30" customHeight="1" thickBot="1" x14ac:dyDescent="0.25">
      <c r="A19" s="105" t="s">
        <v>26</v>
      </c>
      <c r="B19" s="23"/>
      <c r="C19" s="233"/>
      <c r="D19" s="95"/>
      <c r="E19" s="234"/>
      <c r="F19" s="235"/>
      <c r="G19" s="233"/>
      <c r="H19" s="95"/>
      <c r="I19" s="234"/>
      <c r="J19" s="235"/>
      <c r="K19" s="234"/>
      <c r="L19" s="235"/>
      <c r="M19" s="233"/>
      <c r="N19" s="283"/>
      <c r="O19" s="301"/>
      <c r="P19" s="283"/>
      <c r="Q19" s="301"/>
      <c r="R19" s="283"/>
      <c r="S19" s="302"/>
      <c r="T19" s="283"/>
      <c r="U19" s="302"/>
      <c r="V19" s="283"/>
      <c r="W19" s="302"/>
      <c r="X19" s="283"/>
      <c r="Y19" s="302"/>
      <c r="Z19" s="283"/>
      <c r="AA19" s="302"/>
      <c r="AB19" s="283"/>
      <c r="AC19" s="303"/>
      <c r="AD19" s="356"/>
      <c r="AE19" s="285"/>
      <c r="AF19" s="286"/>
      <c r="AG19" s="163"/>
    </row>
    <row r="20" spans="1:33" ht="18.75" customHeight="1" thickBot="1" x14ac:dyDescent="0.25">
      <c r="A20" s="106" t="s">
        <v>9</v>
      </c>
      <c r="B20" s="108"/>
      <c r="C20" s="239">
        <f>SUM(C17:C19)</f>
        <v>0</v>
      </c>
      <c r="D20" s="240"/>
      <c r="E20" s="241">
        <f>SUM(E17:E19)</f>
        <v>0</v>
      </c>
      <c r="F20" s="242"/>
      <c r="G20" s="239">
        <f>SUM(G17:G19)</f>
        <v>0</v>
      </c>
      <c r="H20" s="240"/>
      <c r="I20" s="241">
        <f>SUM(I17:I19)</f>
        <v>0</v>
      </c>
      <c r="J20" s="242"/>
      <c r="K20" s="241">
        <f>SUM(K17:K19)</f>
        <v>0</v>
      </c>
      <c r="L20" s="242"/>
      <c r="M20" s="239">
        <f>SUM(M17:M19)</f>
        <v>0</v>
      </c>
      <c r="N20" s="287"/>
      <c r="O20" s="288">
        <f>SUM(O17:O19)</f>
        <v>0</v>
      </c>
      <c r="P20" s="287"/>
      <c r="Q20" s="288">
        <f>SUM(Q17:Q19)</f>
        <v>0</v>
      </c>
      <c r="R20" s="287"/>
      <c r="S20" s="289">
        <f>SUM(S17:S19)</f>
        <v>0</v>
      </c>
      <c r="T20" s="287"/>
      <c r="U20" s="289">
        <f>SUM(U17:U19)</f>
        <v>0</v>
      </c>
      <c r="V20" s="287"/>
      <c r="W20" s="289">
        <f>SUM(W17:W19)</f>
        <v>0</v>
      </c>
      <c r="X20" s="287"/>
      <c r="Y20" s="289">
        <f>SUM(Y17:Y19)</f>
        <v>0</v>
      </c>
      <c r="Z20" s="287"/>
      <c r="AA20" s="289">
        <f>SUM(AA17:AA19)</f>
        <v>0</v>
      </c>
      <c r="AB20" s="287"/>
      <c r="AC20" s="290">
        <f>SUM(AC17:AC19)</f>
        <v>0</v>
      </c>
      <c r="AD20" s="356"/>
      <c r="AE20" s="292"/>
      <c r="AF20" s="290">
        <f>SUM(AF17:AF19)</f>
        <v>0</v>
      </c>
      <c r="AG20" s="215"/>
    </row>
    <row r="21" spans="1:33" ht="18.75" customHeight="1" thickBot="1" x14ac:dyDescent="0.25">
      <c r="A21" s="170" t="s">
        <v>10</v>
      </c>
      <c r="B21" s="169"/>
      <c r="C21" s="250">
        <f>SUM(C15,C20)</f>
        <v>984137</v>
      </c>
      <c r="D21" s="251"/>
      <c r="E21" s="252">
        <f>SUM(E15,E20)</f>
        <v>1054090</v>
      </c>
      <c r="F21" s="253"/>
      <c r="G21" s="250">
        <f>SUM(G15,G20)</f>
        <v>1063679</v>
      </c>
      <c r="H21" s="251"/>
      <c r="I21" s="252">
        <f>SUM(I15,I20)</f>
        <v>1124062</v>
      </c>
      <c r="J21" s="253"/>
      <c r="K21" s="252">
        <f>SUM(K15,K20)</f>
        <v>1276137</v>
      </c>
      <c r="L21" s="253"/>
      <c r="M21" s="250">
        <f>SUM(M15,M20)</f>
        <v>1296721</v>
      </c>
      <c r="N21" s="378"/>
      <c r="O21" s="379">
        <f>SUM(O15,O20)</f>
        <v>1253637</v>
      </c>
      <c r="P21" s="378"/>
      <c r="Q21" s="379">
        <f>SUM(Q15,Q20)</f>
        <v>1248025</v>
      </c>
      <c r="R21" s="378"/>
      <c r="S21" s="380">
        <f>SUM(S15,S20)</f>
        <v>1280292</v>
      </c>
      <c r="T21" s="378"/>
      <c r="U21" s="380">
        <f>SUM(U15,U20)</f>
        <v>1387563</v>
      </c>
      <c r="V21" s="378"/>
      <c r="W21" s="380">
        <f>SUM(W15,W20)</f>
        <v>1422510</v>
      </c>
      <c r="X21" s="378"/>
      <c r="Y21" s="380">
        <f>SUM(Y15,Y20)</f>
        <v>1446010</v>
      </c>
      <c r="Z21" s="378"/>
      <c r="AA21" s="380">
        <f>SUM(AA15,AA20)</f>
        <v>1523034</v>
      </c>
      <c r="AB21" s="378"/>
      <c r="AC21" s="381">
        <f>SUM(AC15,AC20)</f>
        <v>1287471</v>
      </c>
      <c r="AD21" s="260"/>
      <c r="AE21" s="306"/>
      <c r="AF21" s="307">
        <f>AVERAGE(U21,AC21,Y21,W21,AA21)</f>
        <v>1413317.6</v>
      </c>
      <c r="AG21" s="216">
        <f>+(AC21-U21)/U21</f>
        <v>-7.2135103054780214E-2</v>
      </c>
    </row>
    <row r="22" spans="1:33" ht="18" customHeight="1" x14ac:dyDescent="0.2">
      <c r="A22" s="10" t="s">
        <v>32</v>
      </c>
      <c r="B22" s="470"/>
      <c r="C22" s="471"/>
      <c r="D22" s="467"/>
      <c r="E22" s="467"/>
      <c r="F22" s="470"/>
      <c r="G22" s="471"/>
      <c r="H22" s="467"/>
      <c r="I22" s="467"/>
      <c r="J22" s="470"/>
      <c r="K22" s="467"/>
      <c r="L22" s="470"/>
      <c r="M22" s="471"/>
      <c r="N22" s="468"/>
      <c r="O22" s="469"/>
      <c r="P22" s="468"/>
      <c r="Q22" s="469"/>
      <c r="R22" s="468"/>
      <c r="S22" s="469"/>
      <c r="T22" s="468"/>
      <c r="U22" s="469"/>
      <c r="V22" s="468"/>
      <c r="W22" s="469"/>
      <c r="X22" s="468"/>
      <c r="Y22" s="469"/>
      <c r="Z22" s="468"/>
      <c r="AA22" s="469"/>
      <c r="AB22" s="468"/>
      <c r="AC22" s="472"/>
      <c r="AD22" s="356"/>
      <c r="AE22" s="444"/>
      <c r="AF22" s="445"/>
      <c r="AG22" s="217"/>
    </row>
    <row r="23" spans="1:33" ht="15" customHeight="1" x14ac:dyDescent="0.2">
      <c r="A23" s="89" t="s">
        <v>49</v>
      </c>
      <c r="B23" s="24"/>
      <c r="C23" s="27">
        <f>176542+810063</f>
        <v>986605</v>
      </c>
      <c r="D23" s="19"/>
      <c r="E23" s="149">
        <v>1072689</v>
      </c>
      <c r="F23" s="24"/>
      <c r="G23" s="165">
        <v>1117238.18</v>
      </c>
      <c r="H23" s="19"/>
      <c r="I23" s="166">
        <v>1171259.71</v>
      </c>
      <c r="J23" s="24"/>
      <c r="K23" s="167">
        <f>1246667+51864</f>
        <v>1298531</v>
      </c>
      <c r="L23" s="81"/>
      <c r="M23" s="165">
        <f>1224836+54797</f>
        <v>1279633</v>
      </c>
      <c r="N23" s="274"/>
      <c r="O23" s="382">
        <v>1171619</v>
      </c>
      <c r="P23" s="274"/>
      <c r="Q23" s="382">
        <v>1331926</v>
      </c>
      <c r="R23" s="274"/>
      <c r="S23" s="382">
        <v>1306418</v>
      </c>
      <c r="T23" s="274"/>
      <c r="U23" s="382">
        <v>1498632</v>
      </c>
      <c r="V23" s="274"/>
      <c r="W23" s="382">
        <v>1411173.11</v>
      </c>
      <c r="X23" s="274"/>
      <c r="Y23" s="383">
        <v>1547772</v>
      </c>
      <c r="Z23" s="274"/>
      <c r="AA23" s="383">
        <v>1512342</v>
      </c>
      <c r="AB23" s="274"/>
      <c r="AC23" s="384"/>
      <c r="AD23" s="356"/>
      <c r="AE23" s="278"/>
      <c r="AF23" s="279">
        <f>AVERAGE(U23,AA23,S23,W23,Y23)</f>
        <v>1455267.422</v>
      </c>
      <c r="AG23" s="162">
        <f>+(AA23-S23)/S23</f>
        <v>0.15762489494174145</v>
      </c>
    </row>
    <row r="24" spans="1:33" ht="15" customHeight="1" x14ac:dyDescent="0.2">
      <c r="A24" s="89" t="s">
        <v>33</v>
      </c>
      <c r="B24" s="109"/>
      <c r="C24" s="110">
        <v>0</v>
      </c>
      <c r="D24" s="84"/>
      <c r="E24" s="98">
        <v>0</v>
      </c>
      <c r="F24" s="109"/>
      <c r="G24" s="111">
        <v>0</v>
      </c>
      <c r="H24" s="84"/>
      <c r="I24" s="112">
        <v>0</v>
      </c>
      <c r="J24" s="109"/>
      <c r="K24" s="113">
        <v>0</v>
      </c>
      <c r="L24" s="114"/>
      <c r="M24" s="56">
        <v>0</v>
      </c>
      <c r="N24" s="363"/>
      <c r="O24" s="385">
        <v>0</v>
      </c>
      <c r="P24" s="363"/>
      <c r="Q24" s="385">
        <v>0</v>
      </c>
      <c r="R24" s="363"/>
      <c r="S24" s="385">
        <v>0</v>
      </c>
      <c r="T24" s="363"/>
      <c r="U24" s="385">
        <v>0</v>
      </c>
      <c r="V24" s="363"/>
      <c r="W24" s="385">
        <v>0</v>
      </c>
      <c r="X24" s="363"/>
      <c r="Y24" s="385">
        <v>0</v>
      </c>
      <c r="Z24" s="363"/>
      <c r="AA24" s="385">
        <v>0</v>
      </c>
      <c r="AB24" s="283"/>
      <c r="AC24" s="386"/>
      <c r="AD24" s="356"/>
      <c r="AE24" s="278"/>
      <c r="AF24" s="279">
        <f t="shared" ref="AF24:AF25" si="2">AVERAGE(U24,AA24,AB24,W24,Y24)</f>
        <v>0</v>
      </c>
      <c r="AG24" s="162"/>
    </row>
    <row r="25" spans="1:33" ht="15" customHeight="1" thickBot="1" x14ac:dyDescent="0.25">
      <c r="A25" s="93" t="s">
        <v>34</v>
      </c>
      <c r="B25" s="26"/>
      <c r="C25" s="28"/>
      <c r="D25" s="9"/>
      <c r="E25" s="103"/>
      <c r="F25" s="26"/>
      <c r="G25" s="117"/>
      <c r="H25" s="9"/>
      <c r="I25" s="115"/>
      <c r="J25" s="26"/>
      <c r="K25" s="116"/>
      <c r="L25" s="82"/>
      <c r="M25" s="104">
        <v>0</v>
      </c>
      <c r="N25" s="387"/>
      <c r="O25" s="335">
        <v>0</v>
      </c>
      <c r="P25" s="387"/>
      <c r="Q25" s="335">
        <v>0</v>
      </c>
      <c r="R25" s="387"/>
      <c r="S25" s="335">
        <v>0</v>
      </c>
      <c r="T25" s="387"/>
      <c r="U25" s="335">
        <v>0</v>
      </c>
      <c r="V25" s="387"/>
      <c r="W25" s="335">
        <v>0</v>
      </c>
      <c r="X25" s="387"/>
      <c r="Y25" s="335">
        <v>0</v>
      </c>
      <c r="Z25" s="387"/>
      <c r="AA25" s="335">
        <v>0</v>
      </c>
      <c r="AB25" s="338"/>
      <c r="AC25" s="388"/>
      <c r="AD25" s="262"/>
      <c r="AE25" s="319"/>
      <c r="AF25" s="279">
        <f t="shared" si="2"/>
        <v>0</v>
      </c>
      <c r="AG25" s="162"/>
    </row>
    <row r="26" spans="1:33" ht="18" customHeight="1" thickTop="1" x14ac:dyDescent="0.2">
      <c r="A26" s="102" t="s">
        <v>41</v>
      </c>
      <c r="B26" s="199" t="s">
        <v>14</v>
      </c>
      <c r="C26" s="187" t="s">
        <v>15</v>
      </c>
      <c r="D26" s="199" t="s">
        <v>14</v>
      </c>
      <c r="E26" s="187" t="s">
        <v>15</v>
      </c>
      <c r="F26" s="200" t="s">
        <v>14</v>
      </c>
      <c r="G26" s="201" t="s">
        <v>15</v>
      </c>
      <c r="H26" s="202" t="s">
        <v>14</v>
      </c>
      <c r="I26" s="203" t="s">
        <v>15</v>
      </c>
      <c r="J26" s="204" t="s">
        <v>14</v>
      </c>
      <c r="K26" s="205" t="s">
        <v>15</v>
      </c>
      <c r="L26" s="202" t="s">
        <v>14</v>
      </c>
      <c r="M26" s="203" t="s">
        <v>15</v>
      </c>
      <c r="N26" s="322" t="s">
        <v>14</v>
      </c>
      <c r="O26" s="323" t="s">
        <v>15</v>
      </c>
      <c r="P26" s="320" t="s">
        <v>14</v>
      </c>
      <c r="Q26" s="321" t="s">
        <v>15</v>
      </c>
      <c r="R26" s="322" t="s">
        <v>14</v>
      </c>
      <c r="S26" s="323" t="s">
        <v>15</v>
      </c>
      <c r="T26" s="320" t="s">
        <v>14</v>
      </c>
      <c r="U26" s="321" t="s">
        <v>15</v>
      </c>
      <c r="V26" s="322" t="s">
        <v>14</v>
      </c>
      <c r="W26" s="323" t="s">
        <v>15</v>
      </c>
      <c r="X26" s="320" t="s">
        <v>14</v>
      </c>
      <c r="Y26" s="321" t="s">
        <v>15</v>
      </c>
      <c r="Z26" s="320" t="s">
        <v>14</v>
      </c>
      <c r="AA26" s="321" t="s">
        <v>15</v>
      </c>
      <c r="AB26" s="322" t="s">
        <v>14</v>
      </c>
      <c r="AC26" s="324" t="s">
        <v>15</v>
      </c>
      <c r="AD26" s="282"/>
      <c r="AE26" s="325" t="s">
        <v>14</v>
      </c>
      <c r="AF26" s="320" t="s">
        <v>15</v>
      </c>
      <c r="AG26" s="218" t="s">
        <v>43</v>
      </c>
    </row>
    <row r="27" spans="1:33" ht="15" customHeight="1" x14ac:dyDescent="0.2">
      <c r="A27" s="89" t="s">
        <v>46</v>
      </c>
      <c r="B27" s="65">
        <v>1</v>
      </c>
      <c r="C27" s="188">
        <v>5000</v>
      </c>
      <c r="D27" s="66">
        <v>1</v>
      </c>
      <c r="E27" s="190">
        <v>126260</v>
      </c>
      <c r="F27" s="192">
        <v>0</v>
      </c>
      <c r="G27" s="55">
        <v>0</v>
      </c>
      <c r="H27" s="77">
        <v>0</v>
      </c>
      <c r="I27" s="193">
        <v>0</v>
      </c>
      <c r="J27" s="192">
        <v>0</v>
      </c>
      <c r="K27" s="194">
        <v>0</v>
      </c>
      <c r="L27" s="78">
        <v>0</v>
      </c>
      <c r="M27" s="195">
        <v>0</v>
      </c>
      <c r="N27" s="328">
        <v>1</v>
      </c>
      <c r="O27" s="329">
        <v>5000</v>
      </c>
      <c r="P27" s="326">
        <v>0</v>
      </c>
      <c r="Q27" s="327">
        <v>0</v>
      </c>
      <c r="R27" s="328">
        <v>3</v>
      </c>
      <c r="S27" s="329">
        <v>83566</v>
      </c>
      <c r="T27" s="326">
        <v>0</v>
      </c>
      <c r="U27" s="327">
        <v>0</v>
      </c>
      <c r="V27" s="328">
        <v>0</v>
      </c>
      <c r="W27" s="329">
        <v>0</v>
      </c>
      <c r="X27" s="326">
        <v>1</v>
      </c>
      <c r="Y27" s="327">
        <v>3745</v>
      </c>
      <c r="Z27" s="326">
        <v>0</v>
      </c>
      <c r="AA27" s="327">
        <v>0</v>
      </c>
      <c r="AB27" s="330"/>
      <c r="AC27" s="331"/>
      <c r="AD27" s="282"/>
      <c r="AE27" s="219">
        <f>AVERAGE(T27,R27,Z27,X27,V27)</f>
        <v>0.8</v>
      </c>
      <c r="AF27" s="269">
        <f t="shared" ref="AF27:AF28" si="3">AVERAGE(U27,AA27,S27,W27,Y27)</f>
        <v>17462.2</v>
      </c>
      <c r="AG27" s="220">
        <f t="shared" ref="AG27:AG28" si="4">+(AA27-S27)/S27</f>
        <v>-1</v>
      </c>
    </row>
    <row r="28" spans="1:33" ht="15" customHeight="1" thickBot="1" x14ac:dyDescent="0.25">
      <c r="A28" s="93" t="s">
        <v>47</v>
      </c>
      <c r="B28" s="118">
        <v>0</v>
      </c>
      <c r="C28" s="183">
        <v>0</v>
      </c>
      <c r="D28" s="189">
        <v>0</v>
      </c>
      <c r="E28" s="191">
        <v>0</v>
      </c>
      <c r="F28" s="185">
        <v>0</v>
      </c>
      <c r="G28" s="104">
        <v>0</v>
      </c>
      <c r="H28" s="131">
        <v>0</v>
      </c>
      <c r="I28" s="186">
        <v>0</v>
      </c>
      <c r="J28" s="185">
        <v>0</v>
      </c>
      <c r="K28" s="132">
        <v>0</v>
      </c>
      <c r="L28" s="131">
        <v>0</v>
      </c>
      <c r="M28" s="196">
        <v>0</v>
      </c>
      <c r="N28" s="334">
        <v>1</v>
      </c>
      <c r="O28" s="335">
        <v>5000</v>
      </c>
      <c r="P28" s="332">
        <v>0</v>
      </c>
      <c r="Q28" s="333">
        <v>0</v>
      </c>
      <c r="R28" s="334">
        <v>2</v>
      </c>
      <c r="S28" s="335">
        <v>33982</v>
      </c>
      <c r="T28" s="332">
        <v>0</v>
      </c>
      <c r="U28" s="333">
        <v>0</v>
      </c>
      <c r="V28" s="334">
        <v>0</v>
      </c>
      <c r="W28" s="335">
        <v>0</v>
      </c>
      <c r="X28" s="332">
        <v>0</v>
      </c>
      <c r="Y28" s="333">
        <v>0</v>
      </c>
      <c r="Z28" s="332">
        <v>1</v>
      </c>
      <c r="AA28" s="333">
        <v>3745</v>
      </c>
      <c r="AB28" s="336"/>
      <c r="AC28" s="337"/>
      <c r="AD28" s="282"/>
      <c r="AE28" s="221">
        <f>AVERAGE(T28,R28,Z28,X28,V28)</f>
        <v>0.6</v>
      </c>
      <c r="AF28" s="338">
        <f t="shared" si="3"/>
        <v>7545.4</v>
      </c>
      <c r="AG28" s="220">
        <f t="shared" si="4"/>
        <v>-0.88979459713966214</v>
      </c>
    </row>
    <row r="29" spans="1:33" ht="18" customHeight="1" thickTop="1" x14ac:dyDescent="0.2">
      <c r="A29" s="102" t="s">
        <v>11</v>
      </c>
      <c r="B29" s="456"/>
      <c r="C29" s="457"/>
      <c r="D29" s="458"/>
      <c r="E29" s="458"/>
      <c r="F29" s="456"/>
      <c r="G29" s="457"/>
      <c r="H29" s="458"/>
      <c r="I29" s="458"/>
      <c r="J29" s="456"/>
      <c r="K29" s="458"/>
      <c r="L29" s="456"/>
      <c r="M29" s="457"/>
      <c r="N29" s="460"/>
      <c r="O29" s="461"/>
      <c r="P29" s="460"/>
      <c r="Q29" s="461"/>
      <c r="R29" s="460"/>
      <c r="S29" s="461"/>
      <c r="T29" s="460"/>
      <c r="U29" s="461"/>
      <c r="V29" s="460"/>
      <c r="W29" s="461"/>
      <c r="X29" s="460"/>
      <c r="Y29" s="461"/>
      <c r="Z29" s="460"/>
      <c r="AA29" s="461"/>
      <c r="AB29" s="460"/>
      <c r="AC29" s="463"/>
      <c r="AD29" s="356"/>
      <c r="AE29" s="433"/>
      <c r="AF29" s="434"/>
      <c r="AG29" s="164"/>
    </row>
    <row r="30" spans="1:33" ht="15" customHeight="1" x14ac:dyDescent="0.2">
      <c r="A30" s="92" t="s">
        <v>12</v>
      </c>
      <c r="B30" s="24"/>
      <c r="C30" s="27">
        <v>17089.990000000002</v>
      </c>
      <c r="D30" s="19"/>
      <c r="E30" s="36">
        <v>9104</v>
      </c>
      <c r="F30" s="24"/>
      <c r="G30" s="59">
        <v>12415</v>
      </c>
      <c r="H30" s="19"/>
      <c r="I30" s="47">
        <v>17349</v>
      </c>
      <c r="J30" s="24"/>
      <c r="K30" s="47">
        <v>52626</v>
      </c>
      <c r="L30" s="81"/>
      <c r="M30" s="85">
        <v>15570</v>
      </c>
      <c r="N30" s="274"/>
      <c r="O30" s="372">
        <v>13345</v>
      </c>
      <c r="P30" s="274"/>
      <c r="Q30" s="372">
        <v>25502</v>
      </c>
      <c r="R30" s="274"/>
      <c r="S30" s="372">
        <v>20421.5</v>
      </c>
      <c r="T30" s="274"/>
      <c r="U30" s="372">
        <v>85600.02</v>
      </c>
      <c r="V30" s="274"/>
      <c r="W30" s="372">
        <v>26782.5</v>
      </c>
      <c r="X30" s="274"/>
      <c r="Y30" s="372">
        <v>31257.02</v>
      </c>
      <c r="Z30" s="274"/>
      <c r="AA30" s="372">
        <v>268621</v>
      </c>
      <c r="AB30" s="274"/>
      <c r="AC30" s="389"/>
      <c r="AD30" s="260"/>
      <c r="AE30" s="278"/>
      <c r="AF30" s="269">
        <f t="shared" ref="AF30:AF31" si="5">AVERAGE(U30,AA30,S30,W30,Y30)</f>
        <v>86536.40800000001</v>
      </c>
      <c r="AG30" s="220">
        <f t="shared" ref="AG30" si="6">+(AA30-S30)/S30</f>
        <v>12.153832970154005</v>
      </c>
    </row>
    <row r="31" spans="1:33" ht="15" customHeight="1" thickBot="1" x14ac:dyDescent="0.25">
      <c r="A31" s="93" t="s">
        <v>13</v>
      </c>
      <c r="B31" s="26"/>
      <c r="C31" s="28">
        <v>0</v>
      </c>
      <c r="D31" s="9"/>
      <c r="E31" s="29">
        <v>0</v>
      </c>
      <c r="F31" s="26"/>
      <c r="G31" s="68">
        <v>0</v>
      </c>
      <c r="H31" s="69"/>
      <c r="I31" s="70">
        <v>0</v>
      </c>
      <c r="J31" s="26"/>
      <c r="K31" s="70">
        <v>0</v>
      </c>
      <c r="L31" s="82"/>
      <c r="M31" s="68">
        <v>0</v>
      </c>
      <c r="N31" s="338"/>
      <c r="O31" s="374">
        <v>0</v>
      </c>
      <c r="P31" s="338"/>
      <c r="Q31" s="374">
        <v>0</v>
      </c>
      <c r="R31" s="338"/>
      <c r="S31" s="374">
        <v>0</v>
      </c>
      <c r="T31" s="338"/>
      <c r="U31" s="374">
        <v>0</v>
      </c>
      <c r="V31" s="338"/>
      <c r="W31" s="374">
        <v>0</v>
      </c>
      <c r="X31" s="338"/>
      <c r="Y31" s="374">
        <v>0</v>
      </c>
      <c r="Z31" s="338"/>
      <c r="AA31" s="374">
        <v>0</v>
      </c>
      <c r="AB31" s="338"/>
      <c r="AC31" s="390"/>
      <c r="AD31" s="260"/>
      <c r="AE31" s="319"/>
      <c r="AF31" s="283">
        <f t="shared" si="5"/>
        <v>0</v>
      </c>
      <c r="AG31" s="222">
        <v>0</v>
      </c>
    </row>
    <row r="32" spans="1:33" ht="12" customHeight="1" thickTop="1" x14ac:dyDescent="0.2">
      <c r="A32" s="5"/>
      <c r="B32" s="12"/>
      <c r="C32" s="14"/>
      <c r="D32" s="12"/>
      <c r="E32" s="6"/>
      <c r="F32" s="12"/>
      <c r="G32" s="6"/>
      <c r="H32" s="12"/>
      <c r="I32" s="6"/>
      <c r="J32" s="12"/>
      <c r="K32" s="6"/>
      <c r="L32" s="12"/>
      <c r="M32" s="6"/>
      <c r="N32" s="262"/>
      <c r="O32" s="352"/>
      <c r="P32" s="262"/>
      <c r="Q32" s="352"/>
      <c r="R32" s="262"/>
      <c r="S32" s="352"/>
      <c r="T32" s="262"/>
      <c r="U32" s="352"/>
      <c r="V32" s="262"/>
      <c r="W32" s="353"/>
      <c r="X32" s="262"/>
      <c r="Y32" s="352"/>
      <c r="Z32" s="262"/>
      <c r="AA32" s="352"/>
      <c r="AB32" s="262"/>
      <c r="AC32" s="352"/>
      <c r="AD32" s="260"/>
      <c r="AE32" s="260"/>
      <c r="AF32" s="391"/>
    </row>
  </sheetData>
  <mergeCells count="45">
    <mergeCell ref="AB9:AC9"/>
    <mergeCell ref="AB22:AC22"/>
    <mergeCell ref="AB29:AC29"/>
    <mergeCell ref="AE9:AF9"/>
    <mergeCell ref="AE29:AF29"/>
    <mergeCell ref="J9:K9"/>
    <mergeCell ref="T22:U22"/>
    <mergeCell ref="T29:U29"/>
    <mergeCell ref="T9:U9"/>
    <mergeCell ref="J29:K29"/>
    <mergeCell ref="Z29:AA29"/>
    <mergeCell ref="Z9:AA9"/>
    <mergeCell ref="L22:M22"/>
    <mergeCell ref="V22:W22"/>
    <mergeCell ref="V29:W29"/>
    <mergeCell ref="V9:W9"/>
    <mergeCell ref="R22:S22"/>
    <mergeCell ref="R29:S29"/>
    <mergeCell ref="R9:S9"/>
    <mergeCell ref="X22:Y22"/>
    <mergeCell ref="B22:C22"/>
    <mergeCell ref="D29:E29"/>
    <mergeCell ref="F29:G29"/>
    <mergeCell ref="F22:G22"/>
    <mergeCell ref="F9:G9"/>
    <mergeCell ref="B29:C29"/>
    <mergeCell ref="D22:E22"/>
    <mergeCell ref="B9:C9"/>
    <mergeCell ref="D9:E9"/>
    <mergeCell ref="H22:I22"/>
    <mergeCell ref="H9:I9"/>
    <mergeCell ref="H29:I29"/>
    <mergeCell ref="AE22:AF22"/>
    <mergeCell ref="P22:Q22"/>
    <mergeCell ref="P29:Q29"/>
    <mergeCell ref="N22:O22"/>
    <mergeCell ref="N29:O29"/>
    <mergeCell ref="P9:Q9"/>
    <mergeCell ref="L29:M29"/>
    <mergeCell ref="J22:K22"/>
    <mergeCell ref="X29:Y29"/>
    <mergeCell ref="X9:Y9"/>
    <mergeCell ref="N9:O9"/>
    <mergeCell ref="L9:M9"/>
    <mergeCell ref="Z22:AA22"/>
  </mergeCells>
  <phoneticPr fontId="0" type="noConversion"/>
  <printOptions horizontalCentered="1" verticalCentered="1"/>
  <pageMargins left="0.5" right="0.5" top="0.5" bottom="0.5" header="0.25" footer="0.25"/>
  <pageSetup scale="80" orientation="landscape" horizontalDpi="4294967292" verticalDpi="4294967292" r:id="rId1"/>
  <headerFooter alignWithMargins="0">
    <oddFooter>&amp;L&amp;9Prepared by Planning and Analysis&amp;C&amp;9&amp;P of &amp;N&amp;R&amp;9Updated &amp;D</oddFooter>
  </headerFooter>
  <colBreaks count="2" manualBreakCount="2">
    <brk id="29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zoomScaleNormal="100" zoomScaleSheetLayoutView="100" workbookViewId="0">
      <pane xSplit="1" ySplit="7" topLeftCell="N23" activePane="bottomRight" state="frozen"/>
      <selection activeCell="AG31" sqref="AG31"/>
      <selection pane="topRight" activeCell="AG31" sqref="AG31"/>
      <selection pane="bottomLeft" activeCell="AG31" sqref="AG31"/>
      <selection pane="bottomRight" activeCell="AG31" sqref="AG31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hidden="1" customWidth="1"/>
    <col min="7" max="7" width="10.7109375" hidden="1" customWidth="1"/>
    <col min="8" max="8" width="4.7109375" hidden="1" customWidth="1"/>
    <col min="9" max="9" width="10.7109375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42578125" style="1" customWidth="1"/>
    <col min="31" max="31" width="6.7109375" style="1" customWidth="1"/>
    <col min="32" max="32" width="10.7109375" style="1" customWidth="1"/>
    <col min="33" max="33" width="8.7109375" style="1" customWidth="1"/>
    <col min="34" max="34" width="2.42578125" style="1" customWidth="1"/>
    <col min="35" max="16384" width="10.28515625" style="1"/>
  </cols>
  <sheetData>
    <row r="1" spans="1:35" ht="15.75" x14ac:dyDescent="0.25">
      <c r="A1" s="156" t="s">
        <v>37</v>
      </c>
      <c r="F1" s="157"/>
      <c r="G1" s="157"/>
      <c r="H1" s="157"/>
      <c r="I1" s="157"/>
    </row>
    <row r="2" spans="1:35" ht="15.75" x14ac:dyDescent="0.25">
      <c r="A2" s="156" t="s">
        <v>38</v>
      </c>
      <c r="F2" s="157"/>
      <c r="G2" s="157"/>
      <c r="H2" s="157"/>
      <c r="I2" s="157"/>
    </row>
    <row r="3" spans="1:35" ht="5.25" customHeight="1" x14ac:dyDescent="0.25">
      <c r="A3" s="156"/>
      <c r="F3" s="157"/>
      <c r="G3" s="157"/>
      <c r="H3" s="157"/>
      <c r="I3" s="157"/>
    </row>
    <row r="4" spans="1:35" ht="15.75" x14ac:dyDescent="0.25">
      <c r="A4" s="158" t="s">
        <v>39</v>
      </c>
      <c r="F4" s="157"/>
      <c r="G4" s="157"/>
      <c r="H4" s="157"/>
      <c r="I4" s="157"/>
    </row>
    <row r="5" spans="1:35" ht="6" customHeight="1" x14ac:dyDescent="0.25">
      <c r="A5" s="158"/>
      <c r="F5" s="157"/>
      <c r="G5" s="157"/>
      <c r="H5" s="157"/>
      <c r="I5" s="157"/>
    </row>
    <row r="6" spans="1:35" s="3" customFormat="1" ht="38.25" x14ac:dyDescent="0.2">
      <c r="A6" s="212" t="s">
        <v>48</v>
      </c>
      <c r="I6" s="18"/>
      <c r="AB6" s="3" t="s">
        <v>1</v>
      </c>
      <c r="AG6" s="1"/>
      <c r="AH6" s="1"/>
    </row>
    <row r="7" spans="1:35" ht="12" x14ac:dyDescent="0.2">
      <c r="A7" s="4">
        <v>3760015050</v>
      </c>
      <c r="B7" s="5"/>
      <c r="C7" s="18"/>
      <c r="D7" s="5"/>
      <c r="E7" s="18"/>
      <c r="F7" s="5"/>
      <c r="G7" s="18"/>
      <c r="H7" s="5"/>
      <c r="I7" s="18"/>
      <c r="J7" s="5"/>
      <c r="K7" s="18"/>
      <c r="L7" s="5"/>
      <c r="M7" s="18"/>
      <c r="N7" s="5"/>
      <c r="O7" s="75"/>
      <c r="P7" s="5"/>
      <c r="Q7" s="75"/>
      <c r="R7" s="5"/>
      <c r="S7" s="75"/>
      <c r="T7" s="5"/>
      <c r="U7" s="75"/>
      <c r="V7" s="5"/>
      <c r="W7" s="75"/>
      <c r="X7" s="5"/>
      <c r="Y7" s="75"/>
      <c r="Z7" s="5"/>
      <c r="AA7" s="75"/>
      <c r="AB7" s="5"/>
      <c r="AC7" s="75"/>
    </row>
    <row r="8" spans="1:35" ht="13.5" customHeight="1" thickBot="1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E8" s="3"/>
      <c r="AF8" s="3"/>
    </row>
    <row r="9" spans="1:35" ht="30" customHeight="1" thickTop="1" thickBot="1" x14ac:dyDescent="0.25">
      <c r="A9" s="140"/>
      <c r="B9" s="435" t="s">
        <v>2</v>
      </c>
      <c r="C9" s="436"/>
      <c r="D9" s="437" t="s">
        <v>3</v>
      </c>
      <c r="E9" s="437"/>
      <c r="F9" s="435" t="s">
        <v>16</v>
      </c>
      <c r="G9" s="436"/>
      <c r="H9" s="437" t="s">
        <v>19</v>
      </c>
      <c r="I9" s="437"/>
      <c r="J9" s="435" t="s">
        <v>20</v>
      </c>
      <c r="K9" s="437"/>
      <c r="L9" s="435" t="s">
        <v>21</v>
      </c>
      <c r="M9" s="436"/>
      <c r="N9" s="437" t="s">
        <v>23</v>
      </c>
      <c r="O9" s="436"/>
      <c r="P9" s="437" t="s">
        <v>24</v>
      </c>
      <c r="Q9" s="436"/>
      <c r="R9" s="437" t="s">
        <v>27</v>
      </c>
      <c r="S9" s="436"/>
      <c r="T9" s="437" t="s">
        <v>28</v>
      </c>
      <c r="U9" s="436"/>
      <c r="V9" s="437" t="s">
        <v>29</v>
      </c>
      <c r="W9" s="436"/>
      <c r="X9" s="437" t="s">
        <v>30</v>
      </c>
      <c r="Y9" s="436"/>
      <c r="Z9" s="437" t="s">
        <v>31</v>
      </c>
      <c r="AA9" s="436"/>
      <c r="AB9" s="437" t="s">
        <v>45</v>
      </c>
      <c r="AC9" s="477"/>
      <c r="AE9" s="464" t="s">
        <v>22</v>
      </c>
      <c r="AF9" s="465"/>
      <c r="AG9" s="160" t="s">
        <v>36</v>
      </c>
    </row>
    <row r="10" spans="1:35" ht="18" customHeight="1" x14ac:dyDescent="0.2">
      <c r="A10" s="91" t="s">
        <v>4</v>
      </c>
      <c r="B10" s="144"/>
      <c r="C10" s="143"/>
      <c r="D10" s="4"/>
      <c r="E10" s="4"/>
      <c r="F10" s="144"/>
      <c r="G10" s="143"/>
      <c r="H10" s="4"/>
      <c r="I10" s="4"/>
      <c r="J10" s="144"/>
      <c r="K10" s="4"/>
      <c r="L10" s="144"/>
      <c r="M10" s="143"/>
      <c r="N10" s="4"/>
      <c r="O10" s="143"/>
      <c r="P10" s="4"/>
      <c r="Q10" s="143"/>
      <c r="R10" s="4"/>
      <c r="S10" s="143"/>
      <c r="T10" s="4"/>
      <c r="U10" s="143"/>
      <c r="V10" s="4"/>
      <c r="W10" s="143"/>
      <c r="X10" s="4"/>
      <c r="Y10" s="143"/>
      <c r="Z10" s="4"/>
      <c r="AA10" s="143"/>
      <c r="AB10" s="4"/>
      <c r="AC10" s="254"/>
      <c r="AE10" s="159"/>
      <c r="AF10" s="213"/>
      <c r="AG10" s="161"/>
    </row>
    <row r="11" spans="1:35" ht="15" customHeight="1" x14ac:dyDescent="0.2">
      <c r="A11" s="88" t="s">
        <v>5</v>
      </c>
      <c r="B11" s="22"/>
      <c r="C11" s="20"/>
      <c r="D11" s="8"/>
      <c r="E11" s="8"/>
      <c r="F11" s="22"/>
      <c r="G11" s="20"/>
      <c r="H11" s="8"/>
      <c r="I11" s="8"/>
      <c r="J11" s="22"/>
      <c r="K11" s="8"/>
      <c r="L11" s="22"/>
      <c r="M11" s="20"/>
      <c r="N11" s="269"/>
      <c r="O11" s="355"/>
      <c r="P11" s="269"/>
      <c r="Q11" s="355"/>
      <c r="R11" s="269"/>
      <c r="S11" s="355"/>
      <c r="T11" s="269"/>
      <c r="U11" s="355"/>
      <c r="V11" s="269"/>
      <c r="W11" s="355"/>
      <c r="X11" s="269"/>
      <c r="Y11" s="355"/>
      <c r="Z11" s="269"/>
      <c r="AA11" s="355"/>
      <c r="AB11" s="269"/>
      <c r="AC11" s="279"/>
      <c r="AD11" s="260"/>
      <c r="AE11" s="272"/>
      <c r="AF11" s="273"/>
      <c r="AG11" s="97"/>
    </row>
    <row r="12" spans="1:35" ht="15" customHeight="1" x14ac:dyDescent="0.2">
      <c r="A12" s="89" t="s">
        <v>6</v>
      </c>
      <c r="B12" s="21"/>
      <c r="C12" s="223">
        <v>1591169</v>
      </c>
      <c r="D12" s="168"/>
      <c r="E12" s="224">
        <v>1666418</v>
      </c>
      <c r="F12" s="225"/>
      <c r="G12" s="223">
        <v>1734620</v>
      </c>
      <c r="H12" s="168"/>
      <c r="I12" s="224">
        <v>1915371</v>
      </c>
      <c r="J12" s="225"/>
      <c r="K12" s="224">
        <v>1968048</v>
      </c>
      <c r="L12" s="225"/>
      <c r="M12" s="223">
        <v>2094314</v>
      </c>
      <c r="N12" s="274"/>
      <c r="O12" s="294">
        <v>2129741</v>
      </c>
      <c r="P12" s="274"/>
      <c r="Q12" s="294">
        <v>2144877</v>
      </c>
      <c r="R12" s="274"/>
      <c r="S12" s="295">
        <v>2221724</v>
      </c>
      <c r="T12" s="274"/>
      <c r="U12" s="295">
        <v>2295012</v>
      </c>
      <c r="V12" s="274"/>
      <c r="W12" s="295">
        <v>2249908</v>
      </c>
      <c r="X12" s="274"/>
      <c r="Y12" s="295">
        <v>2333983</v>
      </c>
      <c r="Z12" s="274"/>
      <c r="AA12" s="295">
        <v>2269038</v>
      </c>
      <c r="AB12" s="274"/>
      <c r="AC12" s="296">
        <v>2150870</v>
      </c>
      <c r="AD12" s="356"/>
      <c r="AE12" s="278"/>
      <c r="AF12" s="279">
        <f>AVERAGE(U12,AC12,Y12,W12,AA12)</f>
        <v>2259762.2000000002</v>
      </c>
      <c r="AG12" s="162">
        <f>+(AC12-U12)/U12</f>
        <v>-6.280664327681075E-2</v>
      </c>
    </row>
    <row r="13" spans="1:35" ht="15" customHeight="1" x14ac:dyDescent="0.2">
      <c r="A13" s="89" t="s">
        <v>25</v>
      </c>
      <c r="B13" s="21"/>
      <c r="C13" s="223"/>
      <c r="D13" s="168"/>
      <c r="E13" s="224"/>
      <c r="F13" s="225"/>
      <c r="G13" s="229"/>
      <c r="H13" s="168"/>
      <c r="I13" s="224">
        <v>9000</v>
      </c>
      <c r="J13" s="225"/>
      <c r="K13" s="224">
        <v>9000</v>
      </c>
      <c r="L13" s="225"/>
      <c r="M13" s="223">
        <v>17000</v>
      </c>
      <c r="N13" s="274"/>
      <c r="O13" s="294">
        <v>13000</v>
      </c>
      <c r="P13" s="274"/>
      <c r="Q13" s="294">
        <v>20000</v>
      </c>
      <c r="R13" s="274"/>
      <c r="S13" s="295">
        <v>10000</v>
      </c>
      <c r="T13" s="274"/>
      <c r="U13" s="295">
        <v>10000</v>
      </c>
      <c r="V13" s="274"/>
      <c r="W13" s="295">
        <v>10000</v>
      </c>
      <c r="X13" s="274"/>
      <c r="Y13" s="295">
        <v>10000</v>
      </c>
      <c r="Z13" s="274"/>
      <c r="AA13" s="295">
        <v>10000</v>
      </c>
      <c r="AB13" s="274"/>
      <c r="AC13" s="296">
        <v>10000</v>
      </c>
      <c r="AD13" s="356"/>
      <c r="AE13" s="282"/>
      <c r="AF13" s="279">
        <f t="shared" ref="AF13:AF15" si="0">AVERAGE(U13,AC13,Y13,W13,AA13)</f>
        <v>10000</v>
      </c>
      <c r="AG13" s="162">
        <f t="shared" ref="AG13:AG15" si="1">+(AC13-U13)/U13</f>
        <v>0</v>
      </c>
      <c r="AI13" s="64"/>
    </row>
    <row r="14" spans="1:35" s="35" customFormat="1" ht="30" customHeight="1" thickBot="1" x14ac:dyDescent="0.25">
      <c r="A14" s="105" t="s">
        <v>26</v>
      </c>
      <c r="B14" s="23"/>
      <c r="C14" s="233">
        <v>66882</v>
      </c>
      <c r="D14" s="95"/>
      <c r="E14" s="234">
        <f>9000+218955</f>
        <v>227955</v>
      </c>
      <c r="F14" s="235"/>
      <c r="G14" s="233">
        <v>166326</v>
      </c>
      <c r="H14" s="95"/>
      <c r="I14" s="234">
        <v>161952</v>
      </c>
      <c r="J14" s="235"/>
      <c r="K14" s="234">
        <v>298329</v>
      </c>
      <c r="L14" s="235"/>
      <c r="M14" s="233">
        <v>280049</v>
      </c>
      <c r="N14" s="283"/>
      <c r="O14" s="301">
        <v>205401</v>
      </c>
      <c r="P14" s="283"/>
      <c r="Q14" s="301">
        <v>209855</v>
      </c>
      <c r="R14" s="283"/>
      <c r="S14" s="302">
        <v>136595</v>
      </c>
      <c r="T14" s="283"/>
      <c r="U14" s="302">
        <v>118317</v>
      </c>
      <c r="V14" s="283"/>
      <c r="W14" s="302">
        <v>177032</v>
      </c>
      <c r="X14" s="283"/>
      <c r="Y14" s="302">
        <v>153238</v>
      </c>
      <c r="Z14" s="283"/>
      <c r="AA14" s="302">
        <v>192035</v>
      </c>
      <c r="AB14" s="283"/>
      <c r="AC14" s="303">
        <v>234287</v>
      </c>
      <c r="AD14" s="356"/>
      <c r="AE14" s="285"/>
      <c r="AF14" s="286">
        <f t="shared" si="0"/>
        <v>174981.8</v>
      </c>
      <c r="AG14" s="162">
        <f t="shared" si="1"/>
        <v>0.9801634591816899</v>
      </c>
      <c r="AH14" s="1"/>
      <c r="AI14" s="73"/>
    </row>
    <row r="15" spans="1:35" s="35" customFormat="1" ht="18.75" customHeight="1" thickBot="1" x14ac:dyDescent="0.25">
      <c r="A15" s="106" t="s">
        <v>7</v>
      </c>
      <c r="B15" s="108"/>
      <c r="C15" s="239">
        <f>SUM(C12:C14)</f>
        <v>1658051</v>
      </c>
      <c r="D15" s="240"/>
      <c r="E15" s="241">
        <f>SUM(E12:E14)</f>
        <v>1894373</v>
      </c>
      <c r="F15" s="242"/>
      <c r="G15" s="239">
        <f>SUM(G12:G14)</f>
        <v>1900946</v>
      </c>
      <c r="H15" s="240"/>
      <c r="I15" s="241">
        <f>SUM(I12:I14)</f>
        <v>2086323</v>
      </c>
      <c r="J15" s="242"/>
      <c r="K15" s="241">
        <f>SUM(K12:K14)</f>
        <v>2275377</v>
      </c>
      <c r="L15" s="242"/>
      <c r="M15" s="239">
        <f>SUM(M12:M14)</f>
        <v>2391363</v>
      </c>
      <c r="N15" s="287"/>
      <c r="O15" s="288">
        <f>SUM(O12:O14)</f>
        <v>2348142</v>
      </c>
      <c r="P15" s="287"/>
      <c r="Q15" s="288">
        <f>SUM(Q12:Q14)</f>
        <v>2374732</v>
      </c>
      <c r="R15" s="287"/>
      <c r="S15" s="289">
        <f>SUM(S12:S14)</f>
        <v>2368319</v>
      </c>
      <c r="T15" s="287"/>
      <c r="U15" s="289">
        <f>SUM(U12:U14)</f>
        <v>2423329</v>
      </c>
      <c r="V15" s="287"/>
      <c r="W15" s="289">
        <f>SUM(W12:W14)</f>
        <v>2436940</v>
      </c>
      <c r="X15" s="287"/>
      <c r="Y15" s="289">
        <f>SUM(Y12:Y14)</f>
        <v>2497221</v>
      </c>
      <c r="Z15" s="287"/>
      <c r="AA15" s="289">
        <f>SUM(AA12:AA14)</f>
        <v>2471073</v>
      </c>
      <c r="AB15" s="287"/>
      <c r="AC15" s="290">
        <f>SUM(AC12:AC14)</f>
        <v>2395157</v>
      </c>
      <c r="AD15" s="356"/>
      <c r="AE15" s="292"/>
      <c r="AF15" s="293">
        <f t="shared" si="0"/>
        <v>2444744</v>
      </c>
      <c r="AG15" s="214">
        <f t="shared" si="1"/>
        <v>-1.1625330279132548E-2</v>
      </c>
      <c r="AH15" s="1"/>
      <c r="AI15" s="73"/>
    </row>
    <row r="16" spans="1:35" s="35" customFormat="1" ht="15" customHeight="1" x14ac:dyDescent="0.2">
      <c r="A16" s="88" t="s">
        <v>8</v>
      </c>
      <c r="B16" s="21"/>
      <c r="C16" s="223"/>
      <c r="D16" s="168"/>
      <c r="E16" s="224"/>
      <c r="F16" s="225"/>
      <c r="G16" s="223"/>
      <c r="H16" s="168"/>
      <c r="I16" s="224"/>
      <c r="J16" s="225"/>
      <c r="K16" s="224"/>
      <c r="L16" s="225"/>
      <c r="M16" s="223"/>
      <c r="N16" s="274"/>
      <c r="O16" s="294"/>
      <c r="P16" s="274"/>
      <c r="Q16" s="294"/>
      <c r="R16" s="274"/>
      <c r="S16" s="295"/>
      <c r="T16" s="274"/>
      <c r="U16" s="295"/>
      <c r="V16" s="274"/>
      <c r="W16" s="295"/>
      <c r="X16" s="274"/>
      <c r="Y16" s="295"/>
      <c r="Z16" s="274"/>
      <c r="AA16" s="295"/>
      <c r="AB16" s="274"/>
      <c r="AC16" s="296"/>
      <c r="AD16" s="356"/>
      <c r="AE16" s="272"/>
      <c r="AF16" s="273"/>
      <c r="AG16" s="155"/>
      <c r="AH16" s="1"/>
      <c r="AI16" s="73"/>
    </row>
    <row r="17" spans="1:34" s="35" customFormat="1" ht="15" customHeight="1" x14ac:dyDescent="0.2">
      <c r="A17" s="89" t="s">
        <v>6</v>
      </c>
      <c r="B17" s="22"/>
      <c r="C17" s="244"/>
      <c r="D17" s="74"/>
      <c r="E17" s="245"/>
      <c r="F17" s="246"/>
      <c r="G17" s="244"/>
      <c r="H17" s="74"/>
      <c r="I17" s="245"/>
      <c r="J17" s="246"/>
      <c r="K17" s="245"/>
      <c r="L17" s="246"/>
      <c r="M17" s="244"/>
      <c r="N17" s="269"/>
      <c r="O17" s="298"/>
      <c r="P17" s="269"/>
      <c r="Q17" s="298"/>
      <c r="R17" s="269"/>
      <c r="S17" s="299"/>
      <c r="T17" s="269"/>
      <c r="U17" s="299"/>
      <c r="V17" s="269"/>
      <c r="W17" s="299"/>
      <c r="X17" s="269"/>
      <c r="Y17" s="299"/>
      <c r="Z17" s="269"/>
      <c r="AA17" s="299"/>
      <c r="AB17" s="269"/>
      <c r="AC17" s="300"/>
      <c r="AD17" s="356"/>
      <c r="AE17" s="278"/>
      <c r="AF17" s="279"/>
      <c r="AG17" s="162"/>
      <c r="AH17" s="1"/>
    </row>
    <row r="18" spans="1:34" s="35" customFormat="1" ht="15" customHeight="1" x14ac:dyDescent="0.2">
      <c r="A18" s="89" t="s">
        <v>25</v>
      </c>
      <c r="B18" s="22"/>
      <c r="C18" s="244"/>
      <c r="D18" s="74"/>
      <c r="E18" s="245"/>
      <c r="F18" s="246"/>
      <c r="G18" s="244"/>
      <c r="H18" s="74"/>
      <c r="I18" s="245"/>
      <c r="J18" s="246"/>
      <c r="K18" s="245"/>
      <c r="L18" s="246"/>
      <c r="M18" s="244"/>
      <c r="N18" s="269"/>
      <c r="O18" s="298"/>
      <c r="P18" s="269"/>
      <c r="Q18" s="298"/>
      <c r="R18" s="269"/>
      <c r="S18" s="299"/>
      <c r="T18" s="269"/>
      <c r="U18" s="299"/>
      <c r="V18" s="269"/>
      <c r="W18" s="299"/>
      <c r="X18" s="269"/>
      <c r="Y18" s="299"/>
      <c r="Z18" s="269"/>
      <c r="AA18" s="299"/>
      <c r="AB18" s="269"/>
      <c r="AC18" s="300"/>
      <c r="AD18" s="356"/>
      <c r="AE18" s="282"/>
      <c r="AF18" s="279"/>
      <c r="AG18" s="162"/>
      <c r="AH18" s="1"/>
    </row>
    <row r="19" spans="1:34" s="35" customFormat="1" ht="30" customHeight="1" thickBot="1" x14ac:dyDescent="0.25">
      <c r="A19" s="105" t="s">
        <v>26</v>
      </c>
      <c r="B19" s="23"/>
      <c r="C19" s="233"/>
      <c r="D19" s="95"/>
      <c r="E19" s="234"/>
      <c r="F19" s="235"/>
      <c r="G19" s="233">
        <v>0</v>
      </c>
      <c r="H19" s="95"/>
      <c r="I19" s="234">
        <v>0</v>
      </c>
      <c r="J19" s="235"/>
      <c r="K19" s="234">
        <v>0</v>
      </c>
      <c r="L19" s="235"/>
      <c r="M19" s="233">
        <v>0</v>
      </c>
      <c r="N19" s="283"/>
      <c r="O19" s="301">
        <v>0</v>
      </c>
      <c r="P19" s="283"/>
      <c r="Q19" s="301">
        <v>0</v>
      </c>
      <c r="R19" s="283"/>
      <c r="S19" s="302">
        <v>0</v>
      </c>
      <c r="T19" s="283"/>
      <c r="U19" s="302"/>
      <c r="V19" s="283"/>
      <c r="W19" s="302"/>
      <c r="X19" s="283"/>
      <c r="Y19" s="302"/>
      <c r="Z19" s="283"/>
      <c r="AA19" s="302"/>
      <c r="AB19" s="283"/>
      <c r="AC19" s="303"/>
      <c r="AD19" s="356"/>
      <c r="AE19" s="285"/>
      <c r="AF19" s="286"/>
      <c r="AG19" s="163"/>
      <c r="AH19" s="1"/>
    </row>
    <row r="20" spans="1:34" s="35" customFormat="1" ht="18.75" customHeight="1" thickBot="1" x14ac:dyDescent="0.25">
      <c r="A20" s="106" t="s">
        <v>9</v>
      </c>
      <c r="B20" s="108"/>
      <c r="C20" s="239">
        <f>SUM(C17:C19)</f>
        <v>0</v>
      </c>
      <c r="D20" s="240"/>
      <c r="E20" s="241">
        <f>SUM(E17:E19)</f>
        <v>0</v>
      </c>
      <c r="F20" s="242"/>
      <c r="G20" s="239">
        <f>SUM(G17:G19)</f>
        <v>0</v>
      </c>
      <c r="H20" s="240"/>
      <c r="I20" s="241">
        <f>SUM(I17:I19)</f>
        <v>0</v>
      </c>
      <c r="J20" s="242"/>
      <c r="K20" s="241">
        <f>SUM(K17:K19)</f>
        <v>0</v>
      </c>
      <c r="L20" s="242"/>
      <c r="M20" s="239">
        <f>SUM(M17:M19)</f>
        <v>0</v>
      </c>
      <c r="N20" s="287"/>
      <c r="O20" s="288">
        <f>SUM(O17:O19)</f>
        <v>0</v>
      </c>
      <c r="P20" s="287"/>
      <c r="Q20" s="288">
        <f>SUM(Q17:Q19)</f>
        <v>0</v>
      </c>
      <c r="R20" s="287"/>
      <c r="S20" s="289">
        <f>SUM(S17:S19)</f>
        <v>0</v>
      </c>
      <c r="T20" s="287"/>
      <c r="U20" s="289">
        <f>SUM(U17:U19)</f>
        <v>0</v>
      </c>
      <c r="V20" s="287"/>
      <c r="W20" s="289">
        <f>SUM(W17:W19)</f>
        <v>0</v>
      </c>
      <c r="X20" s="287"/>
      <c r="Y20" s="289">
        <f>SUM(Y17:Y19)</f>
        <v>0</v>
      </c>
      <c r="Z20" s="287"/>
      <c r="AA20" s="289">
        <f>SUM(AA17:AA19)</f>
        <v>0</v>
      </c>
      <c r="AB20" s="287"/>
      <c r="AC20" s="290">
        <f>SUM(AC17:AC19)</f>
        <v>0</v>
      </c>
      <c r="AD20" s="356"/>
      <c r="AE20" s="292"/>
      <c r="AF20" s="290">
        <f>SUM(AF17:AF19)</f>
        <v>0</v>
      </c>
      <c r="AG20" s="215"/>
      <c r="AH20" s="3"/>
    </row>
    <row r="21" spans="1:34" ht="18.75" customHeight="1" thickBot="1" x14ac:dyDescent="0.25">
      <c r="A21" s="170" t="s">
        <v>10</v>
      </c>
      <c r="B21" s="169"/>
      <c r="C21" s="250">
        <f>SUM(C15,C20)</f>
        <v>1658051</v>
      </c>
      <c r="D21" s="251"/>
      <c r="E21" s="252">
        <f>SUM(E15,E20)</f>
        <v>1894373</v>
      </c>
      <c r="F21" s="253"/>
      <c r="G21" s="250">
        <f>SUM(G15,G20)</f>
        <v>1900946</v>
      </c>
      <c r="H21" s="251"/>
      <c r="I21" s="252">
        <f>SUM(I15,I20)</f>
        <v>2086323</v>
      </c>
      <c r="J21" s="253"/>
      <c r="K21" s="252">
        <f>SUM(K15,K20)</f>
        <v>2275377</v>
      </c>
      <c r="L21" s="253"/>
      <c r="M21" s="250">
        <f>SUM(M15,M20)</f>
        <v>2391363</v>
      </c>
      <c r="N21" s="378"/>
      <c r="O21" s="379">
        <f>SUM(O15,O20)</f>
        <v>2348142</v>
      </c>
      <c r="P21" s="378"/>
      <c r="Q21" s="379">
        <f>SUM(Q15,Q20)</f>
        <v>2374732</v>
      </c>
      <c r="R21" s="378"/>
      <c r="S21" s="380">
        <f>SUM(S15,S20)</f>
        <v>2368319</v>
      </c>
      <c r="T21" s="378"/>
      <c r="U21" s="380">
        <f>SUM(U15,U20)</f>
        <v>2423329</v>
      </c>
      <c r="V21" s="378"/>
      <c r="W21" s="380">
        <f>SUM(W15,W20)</f>
        <v>2436940</v>
      </c>
      <c r="X21" s="378"/>
      <c r="Y21" s="380">
        <f>SUM(Y15,Y20)</f>
        <v>2497221</v>
      </c>
      <c r="Z21" s="378"/>
      <c r="AA21" s="380">
        <f>SUM(AA15,AA20)</f>
        <v>2471073</v>
      </c>
      <c r="AB21" s="378"/>
      <c r="AC21" s="381">
        <f>SUM(AC15,AC20)</f>
        <v>2395157</v>
      </c>
      <c r="AD21" s="356"/>
      <c r="AE21" s="306"/>
      <c r="AF21" s="307">
        <f>AVERAGE(U21,AC21,Y21,W21,AA21)</f>
        <v>2444744</v>
      </c>
      <c r="AG21" s="216">
        <f>+(AC21-U21)/U21</f>
        <v>-1.1625330279132548E-2</v>
      </c>
      <c r="AH21" s="3"/>
    </row>
    <row r="22" spans="1:34" ht="18" customHeight="1" x14ac:dyDescent="0.2">
      <c r="A22" s="10" t="s">
        <v>32</v>
      </c>
      <c r="B22" s="470"/>
      <c r="C22" s="471"/>
      <c r="D22" s="467"/>
      <c r="E22" s="467"/>
      <c r="F22" s="470"/>
      <c r="G22" s="471"/>
      <c r="H22" s="467"/>
      <c r="I22" s="467"/>
      <c r="J22" s="470"/>
      <c r="K22" s="467"/>
      <c r="L22" s="470"/>
      <c r="M22" s="471"/>
      <c r="N22" s="468"/>
      <c r="O22" s="473"/>
      <c r="P22" s="468"/>
      <c r="Q22" s="473"/>
      <c r="R22" s="468"/>
      <c r="S22" s="473"/>
      <c r="T22" s="468"/>
      <c r="U22" s="473"/>
      <c r="V22" s="468"/>
      <c r="W22" s="473"/>
      <c r="X22" s="468"/>
      <c r="Y22" s="473"/>
      <c r="Z22" s="468"/>
      <c r="AA22" s="473"/>
      <c r="AB22" s="468"/>
      <c r="AC22" s="475"/>
      <c r="AD22" s="356"/>
      <c r="AE22" s="444"/>
      <c r="AF22" s="445"/>
      <c r="AG22" s="217"/>
      <c r="AH22" s="3"/>
    </row>
    <row r="23" spans="1:34" ht="15" customHeight="1" x14ac:dyDescent="0.2">
      <c r="A23" s="89" t="s">
        <v>49</v>
      </c>
      <c r="B23" s="24"/>
      <c r="C23" s="27">
        <f>302694+1430751</f>
        <v>1733445</v>
      </c>
      <c r="D23" s="19"/>
      <c r="E23" s="171">
        <v>1783618</v>
      </c>
      <c r="F23" s="81"/>
      <c r="G23" s="32">
        <v>1980641.52</v>
      </c>
      <c r="H23" s="172"/>
      <c r="I23" s="173">
        <v>2018572.09</v>
      </c>
      <c r="J23" s="152"/>
      <c r="K23" s="173">
        <f>2053483+93452</f>
        <v>2146935</v>
      </c>
      <c r="L23" s="152"/>
      <c r="M23" s="174">
        <f>2065162+100550</f>
        <v>2165712</v>
      </c>
      <c r="N23" s="392"/>
      <c r="O23" s="393">
        <v>2179001</v>
      </c>
      <c r="P23" s="392"/>
      <c r="Q23" s="393">
        <v>2251745</v>
      </c>
      <c r="R23" s="392"/>
      <c r="S23" s="393">
        <v>2396277</v>
      </c>
      <c r="T23" s="392"/>
      <c r="U23" s="393">
        <v>2456779</v>
      </c>
      <c r="V23" s="392"/>
      <c r="W23" s="393">
        <v>2483139.06</v>
      </c>
      <c r="X23" s="392"/>
      <c r="Y23" s="394">
        <v>2469299</v>
      </c>
      <c r="Z23" s="392"/>
      <c r="AA23" s="394">
        <v>2408686</v>
      </c>
      <c r="AB23" s="395"/>
      <c r="AC23" s="362"/>
      <c r="AD23" s="356"/>
      <c r="AE23" s="278"/>
      <c r="AF23" s="279">
        <f>AVERAGE(U23,AA23,S23,W23,Y23)</f>
        <v>2442836.0120000001</v>
      </c>
      <c r="AG23" s="162">
        <f>+(AA23-S23)/S23</f>
        <v>5.1784497368209097E-3</v>
      </c>
      <c r="AH23" s="15"/>
    </row>
    <row r="24" spans="1:34" ht="15" customHeight="1" x14ac:dyDescent="0.2">
      <c r="A24" s="89" t="s">
        <v>33</v>
      </c>
      <c r="B24" s="109"/>
      <c r="C24" s="110"/>
      <c r="D24" s="84"/>
      <c r="E24" s="119"/>
      <c r="F24" s="109"/>
      <c r="G24" s="120">
        <v>5572.01</v>
      </c>
      <c r="H24" s="109"/>
      <c r="I24" s="120">
        <v>14777.69</v>
      </c>
      <c r="J24" s="109"/>
      <c r="K24" s="120">
        <v>16964.23</v>
      </c>
      <c r="L24" s="109"/>
      <c r="M24" s="138">
        <v>65089.22</v>
      </c>
      <c r="N24" s="396"/>
      <c r="O24" s="397">
        <v>63660.319999999978</v>
      </c>
      <c r="P24" s="396"/>
      <c r="Q24" s="397">
        <v>49743.17</v>
      </c>
      <c r="R24" s="396"/>
      <c r="S24" s="397">
        <v>97589.790000000023</v>
      </c>
      <c r="T24" s="396"/>
      <c r="U24" s="397">
        <v>125426.95000000001</v>
      </c>
      <c r="V24" s="396"/>
      <c r="W24" s="397">
        <v>164285.62000000008</v>
      </c>
      <c r="X24" s="398"/>
      <c r="Y24" s="397">
        <v>104637</v>
      </c>
      <c r="Z24" s="398"/>
      <c r="AA24" s="397">
        <v>75230</v>
      </c>
      <c r="AB24" s="399"/>
      <c r="AC24" s="367"/>
      <c r="AD24" s="356"/>
      <c r="AE24" s="278"/>
      <c r="AF24" s="279">
        <f t="shared" ref="AF24:AF25" si="2">AVERAGE(U24,AA24,S24,W24,Y24)</f>
        <v>113433.87200000002</v>
      </c>
      <c r="AG24" s="162">
        <f t="shared" ref="AG24:AG25" si="3">+(AA24-S24)/S24</f>
        <v>-0.22912017742839716</v>
      </c>
      <c r="AH24" s="15"/>
    </row>
    <row r="25" spans="1:34" ht="15" customHeight="1" thickBot="1" x14ac:dyDescent="0.25">
      <c r="A25" s="141" t="s">
        <v>34</v>
      </c>
      <c r="B25" s="121"/>
      <c r="C25" s="122"/>
      <c r="D25" s="123"/>
      <c r="E25" s="124"/>
      <c r="F25" s="121"/>
      <c r="G25" s="125">
        <v>0</v>
      </c>
      <c r="H25" s="121"/>
      <c r="I25" s="125">
        <v>0</v>
      </c>
      <c r="J25" s="121"/>
      <c r="K25" s="125">
        <v>0</v>
      </c>
      <c r="L25" s="121"/>
      <c r="M25" s="139">
        <v>0</v>
      </c>
      <c r="N25" s="400"/>
      <c r="O25" s="401">
        <v>4817.76</v>
      </c>
      <c r="P25" s="400"/>
      <c r="Q25" s="401">
        <v>3691.14</v>
      </c>
      <c r="R25" s="400"/>
      <c r="S25" s="401">
        <v>0</v>
      </c>
      <c r="T25" s="400"/>
      <c r="U25" s="401">
        <v>0</v>
      </c>
      <c r="V25" s="400"/>
      <c r="W25" s="401">
        <v>0</v>
      </c>
      <c r="X25" s="402"/>
      <c r="Y25" s="401">
        <v>0</v>
      </c>
      <c r="Z25" s="402"/>
      <c r="AA25" s="401">
        <v>128</v>
      </c>
      <c r="AB25" s="403"/>
      <c r="AC25" s="371"/>
      <c r="AD25" s="262"/>
      <c r="AE25" s="319"/>
      <c r="AF25" s="279">
        <f t="shared" si="2"/>
        <v>25.6</v>
      </c>
      <c r="AG25" s="162" t="e">
        <f t="shared" si="3"/>
        <v>#DIV/0!</v>
      </c>
      <c r="AH25" s="42"/>
    </row>
    <row r="26" spans="1:34" ht="18" customHeight="1" thickTop="1" x14ac:dyDescent="0.2">
      <c r="A26" s="102" t="s">
        <v>41</v>
      </c>
      <c r="B26" s="199" t="s">
        <v>14</v>
      </c>
      <c r="C26" s="187" t="s">
        <v>15</v>
      </c>
      <c r="D26" s="199" t="s">
        <v>14</v>
      </c>
      <c r="E26" s="187" t="s">
        <v>15</v>
      </c>
      <c r="F26" s="200" t="s">
        <v>14</v>
      </c>
      <c r="G26" s="201" t="s">
        <v>15</v>
      </c>
      <c r="H26" s="202" t="s">
        <v>14</v>
      </c>
      <c r="I26" s="203" t="s">
        <v>15</v>
      </c>
      <c r="J26" s="204" t="s">
        <v>14</v>
      </c>
      <c r="K26" s="205" t="s">
        <v>15</v>
      </c>
      <c r="L26" s="202" t="s">
        <v>14</v>
      </c>
      <c r="M26" s="203" t="s">
        <v>15</v>
      </c>
      <c r="N26" s="322" t="s">
        <v>14</v>
      </c>
      <c r="O26" s="323" t="s">
        <v>15</v>
      </c>
      <c r="P26" s="320" t="s">
        <v>14</v>
      </c>
      <c r="Q26" s="321" t="s">
        <v>15</v>
      </c>
      <c r="R26" s="322" t="s">
        <v>14</v>
      </c>
      <c r="S26" s="323" t="s">
        <v>15</v>
      </c>
      <c r="T26" s="320" t="s">
        <v>14</v>
      </c>
      <c r="U26" s="321" t="s">
        <v>15</v>
      </c>
      <c r="V26" s="322" t="s">
        <v>14</v>
      </c>
      <c r="W26" s="323" t="s">
        <v>15</v>
      </c>
      <c r="X26" s="320" t="s">
        <v>14</v>
      </c>
      <c r="Y26" s="321" t="s">
        <v>15</v>
      </c>
      <c r="Z26" s="320" t="s">
        <v>14</v>
      </c>
      <c r="AA26" s="321" t="s">
        <v>15</v>
      </c>
      <c r="AB26" s="322" t="s">
        <v>14</v>
      </c>
      <c r="AC26" s="324" t="s">
        <v>15</v>
      </c>
      <c r="AD26" s="282"/>
      <c r="AE26" s="325" t="s">
        <v>14</v>
      </c>
      <c r="AF26" s="320" t="s">
        <v>15</v>
      </c>
      <c r="AG26" s="218" t="s">
        <v>43</v>
      </c>
    </row>
    <row r="27" spans="1:34" ht="15" customHeight="1" x14ac:dyDescent="0.2">
      <c r="A27" s="89" t="s">
        <v>46</v>
      </c>
      <c r="B27" s="65">
        <v>1</v>
      </c>
      <c r="C27" s="188">
        <v>5000</v>
      </c>
      <c r="D27" s="66">
        <v>4</v>
      </c>
      <c r="E27" s="190">
        <v>544384</v>
      </c>
      <c r="F27" s="192">
        <v>2</v>
      </c>
      <c r="G27" s="55">
        <v>0</v>
      </c>
      <c r="H27" s="77">
        <v>4</v>
      </c>
      <c r="I27" s="193">
        <v>94413</v>
      </c>
      <c r="J27" s="192">
        <v>3</v>
      </c>
      <c r="K27" s="194">
        <v>77272</v>
      </c>
      <c r="L27" s="78">
        <v>2</v>
      </c>
      <c r="M27" s="195">
        <v>105781</v>
      </c>
      <c r="N27" s="328">
        <v>4</v>
      </c>
      <c r="O27" s="329">
        <v>130846</v>
      </c>
      <c r="P27" s="326">
        <v>6</v>
      </c>
      <c r="Q27" s="327">
        <v>257845</v>
      </c>
      <c r="R27" s="328">
        <v>6</v>
      </c>
      <c r="S27" s="329">
        <v>599736</v>
      </c>
      <c r="T27" s="326">
        <v>7</v>
      </c>
      <c r="U27" s="327">
        <v>237607</v>
      </c>
      <c r="V27" s="328">
        <v>9</v>
      </c>
      <c r="W27" s="329">
        <v>414115</v>
      </c>
      <c r="X27" s="326">
        <v>10</v>
      </c>
      <c r="Y27" s="327">
        <v>423137</v>
      </c>
      <c r="Z27" s="326">
        <v>13</v>
      </c>
      <c r="AA27" s="327">
        <v>900693</v>
      </c>
      <c r="AB27" s="330"/>
      <c r="AC27" s="331"/>
      <c r="AD27" s="282"/>
      <c r="AE27" s="219">
        <f>AVERAGE(T27,R27,Z27,X27,V27)</f>
        <v>9</v>
      </c>
      <c r="AF27" s="269">
        <f t="shared" ref="AF27:AF28" si="4">AVERAGE(U27,AA27,S27,W27,Y27)</f>
        <v>515057.6</v>
      </c>
      <c r="AG27" s="220">
        <f t="shared" ref="AG27:AG28" si="5">+(AA27-S27)/S27</f>
        <v>0.50181579895153872</v>
      </c>
    </row>
    <row r="28" spans="1:34" ht="15" customHeight="1" thickBot="1" x14ac:dyDescent="0.25">
      <c r="A28" s="93" t="s">
        <v>47</v>
      </c>
      <c r="B28" s="118">
        <v>0</v>
      </c>
      <c r="C28" s="183">
        <v>0</v>
      </c>
      <c r="D28" s="189">
        <v>4</v>
      </c>
      <c r="E28" s="191">
        <v>125596</v>
      </c>
      <c r="F28" s="185">
        <v>2</v>
      </c>
      <c r="G28" s="104">
        <v>183520</v>
      </c>
      <c r="H28" s="131">
        <v>3</v>
      </c>
      <c r="I28" s="186">
        <v>13393</v>
      </c>
      <c r="J28" s="185">
        <v>0</v>
      </c>
      <c r="K28" s="132">
        <v>0</v>
      </c>
      <c r="L28" s="131">
        <v>0</v>
      </c>
      <c r="M28" s="196">
        <v>0</v>
      </c>
      <c r="N28" s="334">
        <v>3</v>
      </c>
      <c r="O28" s="335">
        <v>167343</v>
      </c>
      <c r="P28" s="332">
        <v>3</v>
      </c>
      <c r="Q28" s="333">
        <v>60008</v>
      </c>
      <c r="R28" s="334">
        <v>4</v>
      </c>
      <c r="S28" s="335">
        <v>261936</v>
      </c>
      <c r="T28" s="332">
        <v>0</v>
      </c>
      <c r="U28" s="333">
        <v>0</v>
      </c>
      <c r="V28" s="334">
        <v>9</v>
      </c>
      <c r="W28" s="335">
        <v>71571</v>
      </c>
      <c r="X28" s="332">
        <v>1</v>
      </c>
      <c r="Y28" s="333">
        <v>7210</v>
      </c>
      <c r="Z28" s="332">
        <v>6</v>
      </c>
      <c r="AA28" s="333">
        <v>31976</v>
      </c>
      <c r="AB28" s="336"/>
      <c r="AC28" s="337"/>
      <c r="AD28" s="282"/>
      <c r="AE28" s="221">
        <f>AVERAGE(T28,R28,Z28,X28,V28)</f>
        <v>4</v>
      </c>
      <c r="AF28" s="338">
        <f t="shared" si="4"/>
        <v>74538.600000000006</v>
      </c>
      <c r="AG28" s="220">
        <f t="shared" si="5"/>
        <v>-0.87792437847413107</v>
      </c>
    </row>
    <row r="29" spans="1:34" ht="18" customHeight="1" thickTop="1" x14ac:dyDescent="0.2">
      <c r="A29" s="102" t="s">
        <v>11</v>
      </c>
      <c r="B29" s="456"/>
      <c r="C29" s="457"/>
      <c r="D29" s="458"/>
      <c r="E29" s="458"/>
      <c r="F29" s="456"/>
      <c r="G29" s="457"/>
      <c r="H29" s="458"/>
      <c r="I29" s="458"/>
      <c r="J29" s="456"/>
      <c r="K29" s="458"/>
      <c r="L29" s="456"/>
      <c r="M29" s="457"/>
      <c r="N29" s="460"/>
      <c r="O29" s="474"/>
      <c r="P29" s="460"/>
      <c r="Q29" s="474"/>
      <c r="R29" s="460"/>
      <c r="S29" s="474"/>
      <c r="T29" s="460"/>
      <c r="U29" s="474"/>
      <c r="V29" s="460"/>
      <c r="W29" s="474"/>
      <c r="X29" s="460"/>
      <c r="Y29" s="474"/>
      <c r="Z29" s="460"/>
      <c r="AA29" s="474"/>
      <c r="AB29" s="460"/>
      <c r="AC29" s="476"/>
      <c r="AD29" s="356"/>
      <c r="AE29" s="433"/>
      <c r="AF29" s="434"/>
      <c r="AG29" s="164"/>
      <c r="AH29" s="40"/>
    </row>
    <row r="30" spans="1:34" ht="15" customHeight="1" x14ac:dyDescent="0.2">
      <c r="A30" s="92" t="s">
        <v>12</v>
      </c>
      <c r="B30" s="24"/>
      <c r="C30" s="27">
        <v>525693.07999999996</v>
      </c>
      <c r="D30" s="19"/>
      <c r="E30" s="36">
        <v>28701.43</v>
      </c>
      <c r="F30" s="24"/>
      <c r="G30" s="58">
        <v>21330.75</v>
      </c>
      <c r="H30" s="19"/>
      <c r="I30" s="71">
        <v>86576.14</v>
      </c>
      <c r="J30" s="24"/>
      <c r="K30" s="71">
        <v>71695.429999999993</v>
      </c>
      <c r="L30" s="81"/>
      <c r="M30" s="71">
        <v>307547</v>
      </c>
      <c r="N30" s="274"/>
      <c r="O30" s="340">
        <v>24694</v>
      </c>
      <c r="P30" s="274"/>
      <c r="Q30" s="340">
        <v>25380.39</v>
      </c>
      <c r="R30" s="274"/>
      <c r="S30" s="340">
        <v>16074.94</v>
      </c>
      <c r="T30" s="274"/>
      <c r="U30" s="340">
        <v>39130.449999999997</v>
      </c>
      <c r="V30" s="274"/>
      <c r="W30" s="340">
        <v>31339.77</v>
      </c>
      <c r="X30" s="274"/>
      <c r="Y30" s="404">
        <v>68286.69</v>
      </c>
      <c r="Z30" s="274"/>
      <c r="AA30" s="404">
        <v>44602</v>
      </c>
      <c r="AB30" s="274"/>
      <c r="AC30" s="405"/>
      <c r="AD30" s="356"/>
      <c r="AE30" s="278"/>
      <c r="AF30" s="269">
        <f>AVERAGE(U30,AA30,S30,W30,Y30)</f>
        <v>39886.770000000004</v>
      </c>
      <c r="AG30" s="220">
        <f>+(AA30-S30)/S30</f>
        <v>1.7746293298761922</v>
      </c>
      <c r="AH30" s="3"/>
    </row>
    <row r="31" spans="1:34" ht="15" customHeight="1" thickBot="1" x14ac:dyDescent="0.25">
      <c r="A31" s="93" t="s">
        <v>13</v>
      </c>
      <c r="B31" s="26"/>
      <c r="C31" s="28">
        <v>974195.34</v>
      </c>
      <c r="D31" s="9"/>
      <c r="E31" s="57">
        <v>1134927.99</v>
      </c>
      <c r="F31" s="26"/>
      <c r="G31" s="57">
        <v>1232213.99</v>
      </c>
      <c r="H31" s="9"/>
      <c r="I31" s="67">
        <v>1422094.21</v>
      </c>
      <c r="J31" s="26"/>
      <c r="K31" s="67">
        <v>1417194.32</v>
      </c>
      <c r="L31" s="82"/>
      <c r="M31" s="61">
        <v>1089396.6100000001</v>
      </c>
      <c r="N31" s="338"/>
      <c r="O31" s="346">
        <v>1155891</v>
      </c>
      <c r="P31" s="338"/>
      <c r="Q31" s="346">
        <v>1313566.07</v>
      </c>
      <c r="R31" s="338"/>
      <c r="S31" s="346">
        <v>1253075.8</v>
      </c>
      <c r="T31" s="338"/>
      <c r="U31" s="346">
        <v>1348071.42</v>
      </c>
      <c r="V31" s="338"/>
      <c r="W31" s="346">
        <v>1518562.22</v>
      </c>
      <c r="X31" s="338"/>
      <c r="Y31" s="346">
        <v>1484683.65</v>
      </c>
      <c r="Z31" s="338"/>
      <c r="AA31" s="346">
        <v>1439931</v>
      </c>
      <c r="AB31" s="338"/>
      <c r="AC31" s="406"/>
      <c r="AD31" s="356"/>
      <c r="AE31" s="319"/>
      <c r="AF31" s="338">
        <f t="shared" ref="AF31" si="6">AVERAGE(U31,AA31,S31,W31,Y31)</f>
        <v>1408864.818</v>
      </c>
      <c r="AG31" s="222">
        <f t="shared" ref="AG31" si="7">+(AA31-S31)/S31</f>
        <v>0.14911723616400535</v>
      </c>
      <c r="AH31" s="3"/>
    </row>
    <row r="32" spans="1:34" ht="14.25" customHeight="1" thickTop="1" x14ac:dyDescent="0.2">
      <c r="A32" s="5"/>
      <c r="B32" s="12"/>
      <c r="C32" s="14"/>
      <c r="D32" s="12"/>
      <c r="E32" s="6"/>
      <c r="F32" s="12"/>
      <c r="G32" s="6"/>
      <c r="H32" s="12"/>
      <c r="I32" s="6"/>
      <c r="J32" s="12"/>
      <c r="K32" s="6"/>
      <c r="L32" s="12"/>
      <c r="M32" s="6"/>
      <c r="N32" s="262"/>
      <c r="O32" s="352"/>
      <c r="P32" s="262"/>
      <c r="Q32" s="352"/>
      <c r="R32" s="262"/>
      <c r="S32" s="352"/>
      <c r="T32" s="262"/>
      <c r="U32" s="352"/>
      <c r="V32" s="262"/>
      <c r="W32" s="352"/>
      <c r="X32" s="262"/>
      <c r="Y32" s="352"/>
      <c r="Z32" s="262"/>
      <c r="AA32" s="352"/>
      <c r="AB32" s="262"/>
      <c r="AC32" s="352"/>
      <c r="AD32" s="262"/>
      <c r="AE32" s="262"/>
      <c r="AF32" s="407"/>
      <c r="AH32" s="13"/>
    </row>
    <row r="33" spans="1:35" x14ac:dyDescent="0.2">
      <c r="A33" s="94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</row>
    <row r="34" spans="1:35" x14ac:dyDescent="0.2"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</row>
    <row r="35" spans="1:35" x14ac:dyDescent="0.2"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</row>
    <row r="36" spans="1:35" x14ac:dyDescent="0.2"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</row>
    <row r="37" spans="1:35" x14ac:dyDescent="0.2"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</row>
    <row r="38" spans="1:35" x14ac:dyDescent="0.2"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</row>
    <row r="39" spans="1:35" x14ac:dyDescent="0.2"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</row>
    <row r="40" spans="1:35" x14ac:dyDescent="0.2"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</row>
    <row r="41" spans="1:35" x14ac:dyDescent="0.2"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</row>
    <row r="42" spans="1:35" x14ac:dyDescent="0.2"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</row>
    <row r="43" spans="1:35" ht="13.5" customHeight="1" x14ac:dyDescent="0.2"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</row>
    <row r="44" spans="1:35" x14ac:dyDescent="0.2"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</row>
    <row r="45" spans="1:35" x14ac:dyDescent="0.2"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</row>
    <row r="46" spans="1:35" ht="4.5" customHeight="1" x14ac:dyDescent="0.2"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I46" s="4"/>
    </row>
    <row r="47" spans="1:35" x14ac:dyDescent="0.2"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I47" s="4"/>
    </row>
    <row r="48" spans="1:35" x14ac:dyDescent="0.2"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I48" s="4"/>
    </row>
    <row r="49" spans="14:41" x14ac:dyDescent="0.2"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</row>
    <row r="50" spans="14:41" x14ac:dyDescent="0.2"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I50" s="3"/>
    </row>
    <row r="51" spans="14:41" x14ac:dyDescent="0.2"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</row>
    <row r="52" spans="14:41" x14ac:dyDescent="0.2"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</row>
    <row r="53" spans="14:41" x14ac:dyDescent="0.2"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</row>
    <row r="54" spans="14:41" x14ac:dyDescent="0.2"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I54" s="1" t="s">
        <v>1</v>
      </c>
    </row>
    <row r="55" spans="14:41" x14ac:dyDescent="0.2"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</row>
    <row r="56" spans="14:41" x14ac:dyDescent="0.2"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</row>
    <row r="57" spans="14:41" x14ac:dyDescent="0.2"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J57" s="3"/>
      <c r="AK57" s="3"/>
      <c r="AL57" s="3"/>
      <c r="AM57" s="3"/>
      <c r="AN57" s="3"/>
      <c r="AO57" s="3"/>
    </row>
    <row r="58" spans="14:41" x14ac:dyDescent="0.2"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J58" s="3"/>
      <c r="AK58" s="3"/>
      <c r="AL58" s="3"/>
      <c r="AM58" s="3"/>
      <c r="AN58" s="3"/>
      <c r="AO58" s="3"/>
    </row>
    <row r="59" spans="14:41" x14ac:dyDescent="0.2"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J59" s="3"/>
      <c r="AK59" s="3"/>
      <c r="AL59" s="3"/>
      <c r="AM59" s="51"/>
      <c r="AN59" s="51"/>
      <c r="AO59" s="51"/>
    </row>
    <row r="60" spans="14:41" x14ac:dyDescent="0.2"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J60" s="15"/>
      <c r="AK60" s="15"/>
      <c r="AL60" s="15"/>
      <c r="AM60" s="41"/>
      <c r="AN60" s="41"/>
      <c r="AO60" s="51"/>
    </row>
    <row r="61" spans="14:41" x14ac:dyDescent="0.2"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J61" s="42"/>
      <c r="AK61" s="44"/>
      <c r="AL61" s="39"/>
      <c r="AM61" s="45"/>
      <c r="AN61" s="45"/>
      <c r="AO61" s="51"/>
    </row>
    <row r="62" spans="14:41" x14ac:dyDescent="0.2"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</row>
    <row r="63" spans="14:41" ht="11.45" customHeight="1" x14ac:dyDescent="0.2"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</row>
    <row r="64" spans="14:41" ht="11.45" customHeight="1" x14ac:dyDescent="0.2"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I64" s="3"/>
    </row>
    <row r="65" spans="14:41" x14ac:dyDescent="0.2"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I65" s="4"/>
    </row>
    <row r="66" spans="14:41" x14ac:dyDescent="0.2"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I66" s="4"/>
      <c r="AJ66" s="40"/>
      <c r="AK66" s="44"/>
      <c r="AL66" s="38"/>
      <c r="AM66" s="45"/>
      <c r="AN66" s="45"/>
      <c r="AO66" s="51"/>
    </row>
    <row r="67" spans="14:41" x14ac:dyDescent="0.2">
      <c r="AI67" s="4"/>
      <c r="AJ67" s="43"/>
      <c r="AK67" s="49"/>
      <c r="AL67" s="50"/>
      <c r="AM67" s="48"/>
      <c r="AN67" s="48"/>
      <c r="AO67" s="51"/>
    </row>
    <row r="68" spans="14:41" x14ac:dyDescent="0.2">
      <c r="AI68" s="4"/>
      <c r="AJ68" s="43"/>
      <c r="AK68" s="43"/>
      <c r="AL68" s="43"/>
      <c r="AM68" s="48"/>
      <c r="AN68" s="48"/>
      <c r="AO68" s="51"/>
    </row>
    <row r="69" spans="14:41" ht="6.75" customHeight="1" x14ac:dyDescent="0.2">
      <c r="AJ69" s="13"/>
      <c r="AK69" s="12"/>
      <c r="AL69" s="13"/>
      <c r="AM69" s="46"/>
      <c r="AN69" s="52"/>
      <c r="AO69" s="51"/>
    </row>
    <row r="70" spans="14:41" x14ac:dyDescent="0.2">
      <c r="AJ70" s="13"/>
      <c r="AK70" s="12"/>
      <c r="AL70" s="13"/>
      <c r="AM70" s="46"/>
      <c r="AN70" s="52"/>
      <c r="AO70" s="51"/>
    </row>
    <row r="71" spans="14:41" x14ac:dyDescent="0.2">
      <c r="AM71" s="35"/>
      <c r="AN71" s="35"/>
      <c r="AO71" s="35"/>
    </row>
    <row r="72" spans="14:41" x14ac:dyDescent="0.2">
      <c r="AM72" s="35"/>
      <c r="AN72" s="35"/>
      <c r="AO72" s="35"/>
    </row>
  </sheetData>
  <mergeCells count="45">
    <mergeCell ref="AE9:AF9"/>
    <mergeCell ref="P9:Q9"/>
    <mergeCell ref="J9:K9"/>
    <mergeCell ref="L9:M9"/>
    <mergeCell ref="F9:G9"/>
    <mergeCell ref="H9:I9"/>
    <mergeCell ref="Z9:AA9"/>
    <mergeCell ref="V9:W9"/>
    <mergeCell ref="X9:Y9"/>
    <mergeCell ref="R9:S9"/>
    <mergeCell ref="T9:U9"/>
    <mergeCell ref="AB9:AC9"/>
    <mergeCell ref="B9:C9"/>
    <mergeCell ref="D9:E9"/>
    <mergeCell ref="L29:M29"/>
    <mergeCell ref="N29:O29"/>
    <mergeCell ref="P29:Q29"/>
    <mergeCell ref="N9:O9"/>
    <mergeCell ref="B29:C29"/>
    <mergeCell ref="D29:E29"/>
    <mergeCell ref="F29:G29"/>
    <mergeCell ref="H29:I29"/>
    <mergeCell ref="J29:K29"/>
    <mergeCell ref="L22:M22"/>
    <mergeCell ref="N22:O22"/>
    <mergeCell ref="P22:Q22"/>
    <mergeCell ref="B22:C22"/>
    <mergeCell ref="D22:E22"/>
    <mergeCell ref="F22:G22"/>
    <mergeCell ref="H22:I22"/>
    <mergeCell ref="J22:K22"/>
    <mergeCell ref="T29:U29"/>
    <mergeCell ref="V29:W29"/>
    <mergeCell ref="R29:S29"/>
    <mergeCell ref="R22:S22"/>
    <mergeCell ref="T22:U22"/>
    <mergeCell ref="AE22:AF22"/>
    <mergeCell ref="AE29:AF29"/>
    <mergeCell ref="V22:W22"/>
    <mergeCell ref="X22:Y22"/>
    <mergeCell ref="Z22:AA22"/>
    <mergeCell ref="X29:Y29"/>
    <mergeCell ref="Z29:AA29"/>
    <mergeCell ref="AB22:AC22"/>
    <mergeCell ref="AB29:AC29"/>
  </mergeCells>
  <phoneticPr fontId="0" type="noConversion"/>
  <printOptions horizontalCentered="1" verticalCentered="1"/>
  <pageMargins left="0.5" right="0.5" top="0.3" bottom="0.5" header="0.25" footer="0.25"/>
  <pageSetup scale="80" orientation="landscape" horizontalDpi="4294967292" verticalDpi="4294967292" r:id="rId1"/>
  <headerFooter alignWithMargins="0">
    <oddFooter>&amp;L&amp;9Prepared by Planning and Analysis&amp;C&amp;9&amp;P of &amp;N&amp;R&amp;9Updated &amp;D</oddFooter>
  </headerFooter>
  <colBreaks count="1" manualBreakCount="1">
    <brk id="29" min="7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2"/>
  <sheetViews>
    <sheetView tabSelected="1" zoomScaleNormal="100" zoomScaleSheetLayoutView="100" workbookViewId="0">
      <pane xSplit="1" ySplit="7" topLeftCell="B8" activePane="bottomRight" state="frozen"/>
      <selection activeCell="W1" sqref="W1:Z1048576"/>
      <selection pane="topRight" activeCell="W1" sqref="W1:Z1048576"/>
      <selection pane="bottomLeft" activeCell="W1" sqref="W1:Z1048576"/>
      <selection pane="bottomRight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hidden="1" customWidth="1"/>
    <col min="7" max="7" width="10.7109375" hidden="1" customWidth="1"/>
    <col min="8" max="8" width="4.7109375" hidden="1" customWidth="1"/>
    <col min="9" max="9" width="10.7109375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hidden="1" customWidth="1"/>
    <col min="15" max="15" width="10.7109375" style="1" hidden="1" customWidth="1"/>
    <col min="16" max="16" width="4.7109375" style="1" hidden="1" customWidth="1"/>
    <col min="17" max="17" width="10.7109375" style="1" hidden="1" customWidth="1"/>
    <col min="18" max="18" width="4.7109375" style="1" hidden="1" customWidth="1"/>
    <col min="19" max="19" width="10.7109375" style="1" hidden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42578125" style="1" customWidth="1"/>
    <col min="31" max="31" width="6.7109375" style="1" customWidth="1"/>
    <col min="32" max="32" width="10.7109375" style="1" customWidth="1"/>
    <col min="33" max="33" width="8.7109375" style="1" customWidth="1"/>
    <col min="34" max="34" width="2.42578125" style="1" customWidth="1"/>
    <col min="35" max="16384" width="10.28515625" style="1"/>
  </cols>
  <sheetData>
    <row r="1" spans="1:35" ht="15.75" x14ac:dyDescent="0.25">
      <c r="A1" s="156" t="s">
        <v>37</v>
      </c>
      <c r="F1" s="157"/>
      <c r="G1" s="157"/>
      <c r="H1" s="157"/>
      <c r="I1" s="157"/>
    </row>
    <row r="2" spans="1:35" ht="15.75" x14ac:dyDescent="0.25">
      <c r="A2" s="156" t="s">
        <v>38</v>
      </c>
      <c r="F2" s="157"/>
      <c r="G2" s="157"/>
      <c r="H2" s="157"/>
      <c r="I2" s="157"/>
    </row>
    <row r="3" spans="1:35" ht="5.25" customHeight="1" x14ac:dyDescent="0.25">
      <c r="A3" s="156"/>
      <c r="F3" s="157"/>
      <c r="G3" s="157"/>
      <c r="H3" s="157"/>
      <c r="I3" s="157"/>
      <c r="X3" s="1" t="s">
        <v>1</v>
      </c>
    </row>
    <row r="4" spans="1:35" ht="15.75" x14ac:dyDescent="0.25">
      <c r="A4" s="158" t="s">
        <v>39</v>
      </c>
      <c r="F4" s="157"/>
      <c r="G4" s="157"/>
      <c r="H4" s="157"/>
      <c r="I4" s="157"/>
    </row>
    <row r="5" spans="1:35" ht="6" customHeight="1" x14ac:dyDescent="0.25">
      <c r="A5" s="158"/>
      <c r="F5" s="157"/>
      <c r="G5" s="157"/>
      <c r="H5" s="157"/>
      <c r="I5" s="157"/>
    </row>
    <row r="6" spans="1:35" s="3" customFormat="1" x14ac:dyDescent="0.2">
      <c r="A6" s="212" t="s">
        <v>44</v>
      </c>
      <c r="I6" s="18"/>
      <c r="AG6" s="1"/>
      <c r="AH6" s="1"/>
    </row>
    <row r="7" spans="1:35" ht="12" x14ac:dyDescent="0.2">
      <c r="A7" s="4"/>
      <c r="B7" s="5"/>
      <c r="C7" s="18"/>
      <c r="D7" s="5"/>
      <c r="E7" s="18"/>
      <c r="F7" s="5"/>
      <c r="G7" s="18"/>
      <c r="H7" s="5"/>
      <c r="I7" s="18"/>
      <c r="J7" s="5"/>
      <c r="K7" s="18"/>
      <c r="L7" s="5"/>
      <c r="M7" s="18"/>
      <c r="N7" s="5"/>
      <c r="O7" s="75"/>
      <c r="P7" s="5"/>
      <c r="Q7" s="75"/>
      <c r="R7" s="5"/>
      <c r="S7" s="75"/>
      <c r="T7" s="5"/>
      <c r="U7" s="75"/>
      <c r="V7" s="5"/>
      <c r="W7" s="75"/>
      <c r="X7" s="5"/>
      <c r="Y7" s="75"/>
      <c r="Z7" s="5"/>
      <c r="AA7" s="75"/>
      <c r="AB7" s="5"/>
      <c r="AC7" s="75"/>
    </row>
    <row r="8" spans="1:35" ht="13.5" customHeight="1" thickBot="1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E8" s="3"/>
      <c r="AF8" s="3"/>
    </row>
    <row r="9" spans="1:35" ht="30" customHeight="1" thickTop="1" thickBot="1" x14ac:dyDescent="0.25">
      <c r="A9" s="140"/>
      <c r="B9" s="435" t="s">
        <v>2</v>
      </c>
      <c r="C9" s="436"/>
      <c r="D9" s="437" t="s">
        <v>3</v>
      </c>
      <c r="E9" s="437"/>
      <c r="F9" s="435" t="s">
        <v>16</v>
      </c>
      <c r="G9" s="436"/>
      <c r="H9" s="437" t="s">
        <v>19</v>
      </c>
      <c r="I9" s="437"/>
      <c r="J9" s="435" t="s">
        <v>20</v>
      </c>
      <c r="K9" s="437"/>
      <c r="L9" s="435" t="s">
        <v>21</v>
      </c>
      <c r="M9" s="436"/>
      <c r="N9" s="437" t="s">
        <v>23</v>
      </c>
      <c r="O9" s="436"/>
      <c r="P9" s="437" t="s">
        <v>24</v>
      </c>
      <c r="Q9" s="436"/>
      <c r="R9" s="437" t="s">
        <v>27</v>
      </c>
      <c r="S9" s="436"/>
      <c r="T9" s="437" t="s">
        <v>28</v>
      </c>
      <c r="U9" s="436"/>
      <c r="V9" s="437" t="s">
        <v>29</v>
      </c>
      <c r="W9" s="436"/>
      <c r="X9" s="437" t="s">
        <v>30</v>
      </c>
      <c r="Y9" s="436"/>
      <c r="Z9" s="437" t="s">
        <v>31</v>
      </c>
      <c r="AA9" s="436"/>
      <c r="AB9" s="437" t="s">
        <v>45</v>
      </c>
      <c r="AC9" s="477"/>
      <c r="AE9" s="464" t="s">
        <v>22</v>
      </c>
      <c r="AF9" s="465"/>
      <c r="AG9" s="160" t="s">
        <v>36</v>
      </c>
    </row>
    <row r="10" spans="1:35" ht="18" customHeight="1" x14ac:dyDescent="0.2">
      <c r="A10" s="91" t="s">
        <v>4</v>
      </c>
      <c r="B10" s="144"/>
      <c r="C10" s="143"/>
      <c r="D10" s="4"/>
      <c r="E10" s="4"/>
      <c r="F10" s="144"/>
      <c r="G10" s="143"/>
      <c r="H10" s="4"/>
      <c r="I10" s="4"/>
      <c r="J10" s="144"/>
      <c r="K10" s="4"/>
      <c r="L10" s="144"/>
      <c r="M10" s="143"/>
      <c r="N10" s="4"/>
      <c r="O10" s="143"/>
      <c r="P10" s="4"/>
      <c r="Q10" s="143"/>
      <c r="R10" s="4"/>
      <c r="S10" s="143"/>
      <c r="T10" s="4"/>
      <c r="U10" s="143"/>
      <c r="V10" s="4"/>
      <c r="W10" s="143"/>
      <c r="X10" s="4"/>
      <c r="Y10" s="143"/>
      <c r="Z10" s="4"/>
      <c r="AA10" s="143"/>
      <c r="AB10" s="4"/>
      <c r="AC10" s="254"/>
      <c r="AE10" s="159"/>
      <c r="AF10" s="213"/>
      <c r="AG10" s="161"/>
    </row>
    <row r="11" spans="1:35" ht="15" customHeight="1" x14ac:dyDescent="0.2">
      <c r="A11" s="88" t="s">
        <v>5</v>
      </c>
      <c r="B11" s="22"/>
      <c r="C11" s="20"/>
      <c r="D11" s="8"/>
      <c r="E11" s="8"/>
      <c r="F11" s="22"/>
      <c r="G11" s="20"/>
      <c r="H11" s="8"/>
      <c r="I11" s="8"/>
      <c r="J11" s="22"/>
      <c r="K11" s="8"/>
      <c r="L11" s="22"/>
      <c r="M11" s="20"/>
      <c r="N11" s="269"/>
      <c r="O11" s="355"/>
      <c r="P11" s="269"/>
      <c r="Q11" s="355"/>
      <c r="R11" s="269"/>
      <c r="S11" s="355"/>
      <c r="T11" s="269"/>
      <c r="U11" s="355"/>
      <c r="V11" s="269"/>
      <c r="W11" s="355"/>
      <c r="X11" s="269"/>
      <c r="Y11" s="355"/>
      <c r="Z11" s="269"/>
      <c r="AA11" s="355"/>
      <c r="AB11" s="269"/>
      <c r="AC11" s="279"/>
      <c r="AD11" s="260"/>
      <c r="AE11" s="272"/>
      <c r="AF11" s="273"/>
      <c r="AG11" s="97"/>
    </row>
    <row r="12" spans="1:35" ht="15" customHeight="1" x14ac:dyDescent="0.2">
      <c r="A12" s="89" t="s">
        <v>6</v>
      </c>
      <c r="B12" s="21"/>
      <c r="C12" s="223">
        <v>1591169</v>
      </c>
      <c r="D12" s="168"/>
      <c r="E12" s="224">
        <v>1666418</v>
      </c>
      <c r="F12" s="225"/>
      <c r="G12" s="223">
        <v>1734620</v>
      </c>
      <c r="H12" s="168"/>
      <c r="I12" s="224">
        <v>1915371</v>
      </c>
      <c r="J12" s="225"/>
      <c r="K12" s="224">
        <f>'Dean Arch'!K11+Architecture!K12+Interior!K12+Landscape!K12</f>
        <v>7305725</v>
      </c>
      <c r="L12" s="225"/>
      <c r="M12" s="224">
        <f>'Dean Arch'!M11+Architecture!M12+Interior!M12+Landscape!M12</f>
        <v>7550734</v>
      </c>
      <c r="N12" s="408"/>
      <c r="O12" s="409">
        <f>'Dean Arch'!O11+Architecture!O12+Interior!O12+Landscape!O12</f>
        <v>7583007</v>
      </c>
      <c r="P12" s="408"/>
      <c r="Q12" s="409">
        <f>'Dean Arch'!Q11+Architecture!Q12+Interior!Q12+Landscape!Q12</f>
        <v>7784496</v>
      </c>
      <c r="R12" s="408"/>
      <c r="S12" s="409">
        <f>'Dean Arch'!S11+Architecture!S12+Interior!S12+Landscape!S12</f>
        <v>8142373</v>
      </c>
      <c r="T12" s="408"/>
      <c r="U12" s="409">
        <f>'Dean Arch'!U11+Architecture!U12+Interior!U12+Landscape!U12</f>
        <v>8357813</v>
      </c>
      <c r="V12" s="408"/>
      <c r="W12" s="409">
        <f>'Dean Arch'!W11+Architecture!W12+Interior!W12+Landscape!W12</f>
        <v>8439461</v>
      </c>
      <c r="X12" s="408"/>
      <c r="Y12" s="409">
        <f>'Dean Arch'!Y11+Architecture!Y12+Interior!Y12+Landscape!Y12</f>
        <v>10351554</v>
      </c>
      <c r="Z12" s="408"/>
      <c r="AA12" s="409">
        <f>'Dean Arch'!AA11+Architecture!AA12+Interior!AA12+Landscape!AA12</f>
        <v>8778112</v>
      </c>
      <c r="AB12" s="410"/>
      <c r="AC12" s="411">
        <f>'Dean Arch'!AC11+Architecture!AC12+Interior!AC12+Landscape!AC12</f>
        <v>8614478</v>
      </c>
      <c r="AD12" s="356"/>
      <c r="AE12" s="278"/>
      <c r="AF12" s="279">
        <f>AVERAGE(U12,AC12,Y12,W12,AA12)</f>
        <v>8908283.5999999996</v>
      </c>
      <c r="AG12" s="162">
        <f>+(AC12-U12)/U12</f>
        <v>3.070958874049946E-2</v>
      </c>
    </row>
    <row r="13" spans="1:35" ht="15" customHeight="1" x14ac:dyDescent="0.2">
      <c r="A13" s="89" t="s">
        <v>25</v>
      </c>
      <c r="B13" s="21"/>
      <c r="C13" s="223"/>
      <c r="D13" s="168"/>
      <c r="E13" s="224"/>
      <c r="F13" s="225"/>
      <c r="G13" s="229"/>
      <c r="H13" s="168"/>
      <c r="I13" s="224">
        <v>9000</v>
      </c>
      <c r="J13" s="225"/>
      <c r="K13" s="224">
        <f>'Dean Arch'!K12+Architecture!K13+Interior!K13+Landscape!K13</f>
        <v>17000</v>
      </c>
      <c r="L13" s="225"/>
      <c r="M13" s="224">
        <f>'Dean Arch'!M12+Architecture!M13+Interior!M13+Landscape!M13</f>
        <v>34000</v>
      </c>
      <c r="N13" s="408"/>
      <c r="O13" s="409">
        <f>'Dean Arch'!O12+Architecture!O13+Interior!O13+Landscape!O13</f>
        <v>30000</v>
      </c>
      <c r="P13" s="408"/>
      <c r="Q13" s="409">
        <f>'Dean Arch'!Q12+Architecture!Q13+Interior!Q13+Landscape!Q13</f>
        <v>37000</v>
      </c>
      <c r="R13" s="408"/>
      <c r="S13" s="409">
        <f>'Dean Arch'!S12+Architecture!S13+Interior!S13+Landscape!S13</f>
        <v>24000</v>
      </c>
      <c r="T13" s="408"/>
      <c r="U13" s="409">
        <f>'Dean Arch'!U12+Architecture!U13+Interior!U13+Landscape!U13</f>
        <v>24000</v>
      </c>
      <c r="V13" s="408"/>
      <c r="W13" s="409">
        <f>'Dean Arch'!W12+Architecture!W13+Interior!W13+Landscape!W13</f>
        <v>143814</v>
      </c>
      <c r="X13" s="408"/>
      <c r="Y13" s="409">
        <f>'Dean Arch'!Y12+Architecture!Y13+Interior!Y13+Landscape!Y13</f>
        <v>24000</v>
      </c>
      <c r="Z13" s="408"/>
      <c r="AA13" s="409">
        <f>'Dean Arch'!AA12+Architecture!AA13+Interior!AA13+Landscape!AA13</f>
        <v>24000</v>
      </c>
      <c r="AB13" s="408"/>
      <c r="AC13" s="412">
        <f>'Dean Arch'!AC12+Architecture!AC13+Interior!AC13+Landscape!AC13</f>
        <v>24000</v>
      </c>
      <c r="AD13" s="356"/>
      <c r="AE13" s="282"/>
      <c r="AF13" s="279">
        <f t="shared" ref="AF13:AF15" si="0">AVERAGE(U13,AC13,Y13,W13,AA13)</f>
        <v>47962.8</v>
      </c>
      <c r="AG13" s="162">
        <f t="shared" ref="AG13:AG15" si="1">+(AC13-U13)/U13</f>
        <v>0</v>
      </c>
      <c r="AI13" s="64"/>
    </row>
    <row r="14" spans="1:35" s="35" customFormat="1" ht="30" customHeight="1" thickBot="1" x14ac:dyDescent="0.25">
      <c r="A14" s="105" t="s">
        <v>26</v>
      </c>
      <c r="B14" s="23"/>
      <c r="C14" s="233">
        <v>66882</v>
      </c>
      <c r="D14" s="95"/>
      <c r="E14" s="234">
        <f>9000+218955</f>
        <v>227955</v>
      </c>
      <c r="F14" s="235"/>
      <c r="G14" s="233">
        <v>166326</v>
      </c>
      <c r="H14" s="95"/>
      <c r="I14" s="234">
        <v>161952</v>
      </c>
      <c r="J14" s="235"/>
      <c r="K14" s="224">
        <f>'Dean Arch'!K13+Architecture!K14+Interior!K14+Landscape!K14</f>
        <v>734849</v>
      </c>
      <c r="L14" s="235"/>
      <c r="M14" s="224">
        <f>'Dean Arch'!M13+Architecture!M14+Interior!M14+Landscape!M14</f>
        <v>836773</v>
      </c>
      <c r="N14" s="316"/>
      <c r="O14" s="409">
        <f>'Dean Arch'!O13+Architecture!O14+Interior!O14+Landscape!O14</f>
        <v>636808</v>
      </c>
      <c r="P14" s="316"/>
      <c r="Q14" s="409">
        <f>'Dean Arch'!Q13+Architecture!Q14+Interior!Q14+Landscape!Q14</f>
        <v>634003</v>
      </c>
      <c r="R14" s="316"/>
      <c r="S14" s="409">
        <f>'Dean Arch'!S13+Architecture!S14+Interior!S14+Landscape!S14</f>
        <v>851677</v>
      </c>
      <c r="T14" s="316"/>
      <c r="U14" s="409">
        <f>'Dean Arch'!U13+Architecture!U14+Interior!U14+Landscape!U14</f>
        <v>909438</v>
      </c>
      <c r="V14" s="316"/>
      <c r="W14" s="409">
        <f>'Dean Arch'!W13+Architecture!W14+Interior!W14+Landscape!W14</f>
        <v>1007174</v>
      </c>
      <c r="X14" s="316"/>
      <c r="Y14" s="409">
        <f>'Dean Arch'!Y13+Architecture!Y14+Interior!Y14+Landscape!Y14</f>
        <v>1281319</v>
      </c>
      <c r="Z14" s="316"/>
      <c r="AA14" s="409">
        <f>'Dean Arch'!AA13+Architecture!AA14+Interior!AA14+Landscape!AA14</f>
        <v>1215669</v>
      </c>
      <c r="AB14" s="413"/>
      <c r="AC14" s="414">
        <f>'Dean Arch'!AC13+Architecture!AC14+Interior!AC14+Landscape!AC14</f>
        <v>1712565</v>
      </c>
      <c r="AD14" s="356"/>
      <c r="AE14" s="285"/>
      <c r="AF14" s="286">
        <f t="shared" si="0"/>
        <v>1225233</v>
      </c>
      <c r="AG14" s="162">
        <f t="shared" si="1"/>
        <v>0.88310253145349105</v>
      </c>
      <c r="AH14" s="1"/>
      <c r="AI14" s="73"/>
    </row>
    <row r="15" spans="1:35" s="35" customFormat="1" ht="18.75" customHeight="1" thickBot="1" x14ac:dyDescent="0.25">
      <c r="A15" s="106" t="s">
        <v>7</v>
      </c>
      <c r="B15" s="108"/>
      <c r="C15" s="239">
        <f>SUM(C12:C14)</f>
        <v>1658051</v>
      </c>
      <c r="D15" s="240"/>
      <c r="E15" s="241">
        <f>SUM(E12:E14)</f>
        <v>1894373</v>
      </c>
      <c r="F15" s="242"/>
      <c r="G15" s="239">
        <f>SUM(G12:G14)</f>
        <v>1900946</v>
      </c>
      <c r="H15" s="240"/>
      <c r="I15" s="241">
        <f>SUM(I12:I14)</f>
        <v>2086323</v>
      </c>
      <c r="J15" s="242"/>
      <c r="K15" s="241">
        <f>SUM(K12:K14)</f>
        <v>8057574</v>
      </c>
      <c r="L15" s="242"/>
      <c r="M15" s="239">
        <f>SUM(M12:M14)</f>
        <v>8421507</v>
      </c>
      <c r="N15" s="287"/>
      <c r="O15" s="288">
        <f>SUM(O12:O14)</f>
        <v>8249815</v>
      </c>
      <c r="P15" s="287"/>
      <c r="Q15" s="288">
        <f>SUM(Q12:Q14)</f>
        <v>8455499</v>
      </c>
      <c r="R15" s="287"/>
      <c r="S15" s="289">
        <f>SUM(S12:S14)</f>
        <v>9018050</v>
      </c>
      <c r="T15" s="287"/>
      <c r="U15" s="289">
        <f>SUM(U12:U14)</f>
        <v>9291251</v>
      </c>
      <c r="V15" s="287"/>
      <c r="W15" s="289">
        <f>SUM(W12:W14)</f>
        <v>9590449</v>
      </c>
      <c r="X15" s="287"/>
      <c r="Y15" s="289">
        <f>SUM(Y12:Y14)</f>
        <v>11656873</v>
      </c>
      <c r="Z15" s="287"/>
      <c r="AA15" s="289">
        <f>SUM(AA12:AA14)</f>
        <v>10017781</v>
      </c>
      <c r="AB15" s="287"/>
      <c r="AC15" s="290">
        <f>SUM(AC12:AC14)</f>
        <v>10351043</v>
      </c>
      <c r="AD15" s="356"/>
      <c r="AE15" s="292"/>
      <c r="AF15" s="293">
        <f t="shared" si="0"/>
        <v>10181479.4</v>
      </c>
      <c r="AG15" s="214">
        <f t="shared" si="1"/>
        <v>0.11406343451490009</v>
      </c>
      <c r="AH15" s="1"/>
      <c r="AI15" s="73"/>
    </row>
    <row r="16" spans="1:35" s="35" customFormat="1" ht="15" customHeight="1" x14ac:dyDescent="0.2">
      <c r="A16" s="88" t="s">
        <v>8</v>
      </c>
      <c r="B16" s="21"/>
      <c r="C16" s="223"/>
      <c r="D16" s="168"/>
      <c r="E16" s="224"/>
      <c r="F16" s="225"/>
      <c r="G16" s="223"/>
      <c r="H16" s="168"/>
      <c r="I16" s="224"/>
      <c r="J16" s="225"/>
      <c r="K16" s="224"/>
      <c r="L16" s="225"/>
      <c r="M16" s="223"/>
      <c r="N16" s="274"/>
      <c r="O16" s="294"/>
      <c r="P16" s="274"/>
      <c r="Q16" s="294"/>
      <c r="R16" s="274"/>
      <c r="S16" s="295"/>
      <c r="T16" s="274"/>
      <c r="U16" s="295"/>
      <c r="V16" s="274"/>
      <c r="W16" s="295"/>
      <c r="X16" s="274"/>
      <c r="Y16" s="295"/>
      <c r="Z16" s="274"/>
      <c r="AA16" s="295"/>
      <c r="AB16" s="274"/>
      <c r="AC16" s="296"/>
      <c r="AD16" s="356"/>
      <c r="AE16" s="272"/>
      <c r="AF16" s="273"/>
      <c r="AG16" s="155"/>
      <c r="AH16" s="1"/>
      <c r="AI16" s="73"/>
    </row>
    <row r="17" spans="1:34" s="35" customFormat="1" ht="15" customHeight="1" x14ac:dyDescent="0.2">
      <c r="A17" s="89" t="s">
        <v>6</v>
      </c>
      <c r="B17" s="22"/>
      <c r="C17" s="244"/>
      <c r="D17" s="74"/>
      <c r="E17" s="245"/>
      <c r="F17" s="246"/>
      <c r="G17" s="244"/>
      <c r="H17" s="74"/>
      <c r="I17" s="245"/>
      <c r="J17" s="246"/>
      <c r="K17" s="224">
        <f>'Dean Arch'!K16+Architecture!K17+Interior!K17+Landscape!K17</f>
        <v>0</v>
      </c>
      <c r="L17" s="246"/>
      <c r="M17" s="224">
        <f>'Dean Arch'!M16+Architecture!M17+Interior!M17+Landscape!M17</f>
        <v>0</v>
      </c>
      <c r="N17" s="410"/>
      <c r="O17" s="409">
        <f>'Dean Arch'!O16+Architecture!O17+Interior!O17+Landscape!O17</f>
        <v>0</v>
      </c>
      <c r="P17" s="410"/>
      <c r="Q17" s="409">
        <f>'Dean Arch'!Q16+Architecture!Q17+Interior!Q17+Landscape!Q17</f>
        <v>0</v>
      </c>
      <c r="R17" s="410"/>
      <c r="S17" s="409">
        <f>'Dean Arch'!S16+Architecture!S17+Interior!S17+Landscape!S17</f>
        <v>0</v>
      </c>
      <c r="T17" s="410"/>
      <c r="U17" s="409">
        <f>'Dean Arch'!U16+Architecture!U17+Interior!U17+Landscape!U17</f>
        <v>0</v>
      </c>
      <c r="V17" s="410"/>
      <c r="W17" s="409">
        <f>'Dean Arch'!W16+Architecture!W17+Interior!W17+Landscape!W17</f>
        <v>0</v>
      </c>
      <c r="X17" s="410"/>
      <c r="Y17" s="409">
        <f>'Dean Arch'!Y16+Architecture!Y17+Interior!Y17+Landscape!Y17</f>
        <v>0</v>
      </c>
      <c r="Z17" s="410"/>
      <c r="AA17" s="409">
        <f>'Dean Arch'!AA16+Architecture!AA17+Interior!AA17+Landscape!AA17</f>
        <v>0</v>
      </c>
      <c r="AB17" s="410"/>
      <c r="AC17" s="411">
        <f>'Dean Arch'!AC16+Architecture!AC17+Interior!AC17+Landscape!AC17</f>
        <v>0</v>
      </c>
      <c r="AD17" s="356"/>
      <c r="AE17" s="278"/>
      <c r="AF17" s="279"/>
      <c r="AG17" s="162"/>
      <c r="AH17" s="1"/>
    </row>
    <row r="18" spans="1:34" s="35" customFormat="1" ht="15" customHeight="1" x14ac:dyDescent="0.2">
      <c r="A18" s="89" t="s">
        <v>25</v>
      </c>
      <c r="B18" s="22"/>
      <c r="C18" s="244"/>
      <c r="D18" s="74"/>
      <c r="E18" s="245"/>
      <c r="F18" s="246"/>
      <c r="G18" s="244"/>
      <c r="H18" s="74"/>
      <c r="I18" s="245"/>
      <c r="J18" s="246"/>
      <c r="K18" s="224">
        <f>'Dean Arch'!K17+Architecture!K18+Interior!K18+Landscape!K18</f>
        <v>0</v>
      </c>
      <c r="L18" s="246"/>
      <c r="M18" s="224">
        <f>'Dean Arch'!M17+Architecture!M18+Interior!M18+Landscape!M18</f>
        <v>0</v>
      </c>
      <c r="N18" s="410"/>
      <c r="O18" s="409">
        <f>'Dean Arch'!O17+Architecture!O18+Interior!O18+Landscape!O18</f>
        <v>0</v>
      </c>
      <c r="P18" s="410"/>
      <c r="Q18" s="409">
        <f>'Dean Arch'!Q17+Architecture!Q18+Interior!Q18+Landscape!Q18</f>
        <v>0</v>
      </c>
      <c r="R18" s="410"/>
      <c r="S18" s="409">
        <f>'Dean Arch'!S17+Architecture!S18+Interior!S18+Landscape!S18</f>
        <v>0</v>
      </c>
      <c r="T18" s="410"/>
      <c r="U18" s="409">
        <f>'Dean Arch'!U17+Architecture!U18+Interior!U18+Landscape!U18</f>
        <v>0</v>
      </c>
      <c r="V18" s="410"/>
      <c r="W18" s="409">
        <f>'Dean Arch'!W17+Architecture!W18+Interior!W18+Landscape!W18</f>
        <v>0</v>
      </c>
      <c r="X18" s="410"/>
      <c r="Y18" s="409">
        <f>'Dean Arch'!Y17+Architecture!Y18+Interior!Y18+Landscape!Y18</f>
        <v>0</v>
      </c>
      <c r="Z18" s="410"/>
      <c r="AA18" s="409">
        <f>'Dean Arch'!AA17+Architecture!AA18+Interior!AA18+Landscape!AA18</f>
        <v>0</v>
      </c>
      <c r="AB18" s="410"/>
      <c r="AC18" s="412">
        <f>'Dean Arch'!AC17+Architecture!AC18+Interior!AC18+Landscape!AC18</f>
        <v>0</v>
      </c>
      <c r="AD18" s="356"/>
      <c r="AE18" s="282"/>
      <c r="AF18" s="279"/>
      <c r="AG18" s="162"/>
      <c r="AH18" s="1"/>
    </row>
    <row r="19" spans="1:34" s="35" customFormat="1" ht="30" customHeight="1" thickBot="1" x14ac:dyDescent="0.25">
      <c r="A19" s="105" t="s">
        <v>26</v>
      </c>
      <c r="B19" s="23"/>
      <c r="C19" s="233"/>
      <c r="D19" s="95"/>
      <c r="E19" s="234"/>
      <c r="F19" s="235"/>
      <c r="G19" s="233">
        <v>0</v>
      </c>
      <c r="H19" s="95"/>
      <c r="I19" s="234">
        <v>0</v>
      </c>
      <c r="J19" s="235"/>
      <c r="K19" s="224">
        <f>'Dean Arch'!K18+Architecture!K19+Interior!K19+Landscape!K19</f>
        <v>0</v>
      </c>
      <c r="L19" s="235"/>
      <c r="M19" s="224">
        <f>'Dean Arch'!M18+Architecture!M19+Interior!M19+Landscape!M19</f>
        <v>0</v>
      </c>
      <c r="N19" s="316"/>
      <c r="O19" s="409">
        <f>'Dean Arch'!O18+Architecture!O19+Interior!O19+Landscape!O19</f>
        <v>0</v>
      </c>
      <c r="P19" s="316"/>
      <c r="Q19" s="409">
        <f>'Dean Arch'!Q18+Architecture!Q19+Interior!Q19+Landscape!Q19</f>
        <v>0</v>
      </c>
      <c r="R19" s="316"/>
      <c r="S19" s="409">
        <f>'Dean Arch'!S18+Architecture!S19+Interior!S19+Landscape!S19</f>
        <v>0</v>
      </c>
      <c r="T19" s="316"/>
      <c r="U19" s="409">
        <f>'Dean Arch'!U18+Architecture!U19+Interior!U19+Landscape!U19</f>
        <v>0</v>
      </c>
      <c r="V19" s="316"/>
      <c r="W19" s="409">
        <f>'Dean Arch'!W18+Architecture!W19+Interior!W19+Landscape!W19</f>
        <v>0</v>
      </c>
      <c r="X19" s="316"/>
      <c r="Y19" s="409">
        <f>'Dean Arch'!Y18+Architecture!Y19+Interior!Y19+Landscape!Y19</f>
        <v>0</v>
      </c>
      <c r="Z19" s="316"/>
      <c r="AA19" s="409">
        <f>'Dean Arch'!AA18+Architecture!AA19+Interior!AA19+Landscape!AA19</f>
        <v>0</v>
      </c>
      <c r="AB19" s="413"/>
      <c r="AC19" s="414">
        <f>'Dean Arch'!AC18+Architecture!AC19+Interior!AC19+Landscape!AC19</f>
        <v>0</v>
      </c>
      <c r="AD19" s="356"/>
      <c r="AE19" s="285"/>
      <c r="AF19" s="286"/>
      <c r="AG19" s="163"/>
      <c r="AH19" s="1"/>
    </row>
    <row r="20" spans="1:34" s="35" customFormat="1" ht="18.75" customHeight="1" thickBot="1" x14ac:dyDescent="0.25">
      <c r="A20" s="106" t="s">
        <v>9</v>
      </c>
      <c r="B20" s="108"/>
      <c r="C20" s="239">
        <f>SUM(C17:C19)</f>
        <v>0</v>
      </c>
      <c r="D20" s="240"/>
      <c r="E20" s="241">
        <f>SUM(E17:E19)</f>
        <v>0</v>
      </c>
      <c r="F20" s="242"/>
      <c r="G20" s="239">
        <f>SUM(G17:G19)</f>
        <v>0</v>
      </c>
      <c r="H20" s="240"/>
      <c r="I20" s="241">
        <f>SUM(I17:I19)</f>
        <v>0</v>
      </c>
      <c r="J20" s="242"/>
      <c r="K20" s="241">
        <f>SUM(K17:K19)</f>
        <v>0</v>
      </c>
      <c r="L20" s="242"/>
      <c r="M20" s="239">
        <f>SUM(M17:M19)</f>
        <v>0</v>
      </c>
      <c r="N20" s="287"/>
      <c r="O20" s="288">
        <f>SUM(O17:O19)</f>
        <v>0</v>
      </c>
      <c r="P20" s="287"/>
      <c r="Q20" s="288">
        <f>SUM(Q17:Q19)</f>
        <v>0</v>
      </c>
      <c r="R20" s="287"/>
      <c r="S20" s="289">
        <f>SUM(S17:S19)</f>
        <v>0</v>
      </c>
      <c r="T20" s="287"/>
      <c r="U20" s="289">
        <f>SUM(U17:U19)</f>
        <v>0</v>
      </c>
      <c r="V20" s="287"/>
      <c r="W20" s="289">
        <f>SUM(W17:W19)</f>
        <v>0</v>
      </c>
      <c r="X20" s="287"/>
      <c r="Y20" s="289">
        <f>SUM(Y17:Y19)</f>
        <v>0</v>
      </c>
      <c r="Z20" s="287"/>
      <c r="AA20" s="289">
        <f>SUM(AA17:AA19)</f>
        <v>0</v>
      </c>
      <c r="AB20" s="287"/>
      <c r="AC20" s="290">
        <f>SUM(AC17:AC19)</f>
        <v>0</v>
      </c>
      <c r="AD20" s="356"/>
      <c r="AE20" s="292"/>
      <c r="AF20" s="290">
        <f>SUM(AF17:AF19)</f>
        <v>0</v>
      </c>
      <c r="AG20" s="215"/>
      <c r="AH20" s="3"/>
    </row>
    <row r="21" spans="1:34" ht="18.75" customHeight="1" thickBot="1" x14ac:dyDescent="0.25">
      <c r="A21" s="170" t="s">
        <v>10</v>
      </c>
      <c r="B21" s="169"/>
      <c r="C21" s="250">
        <f>SUM(C15,C20)</f>
        <v>1658051</v>
      </c>
      <c r="D21" s="251"/>
      <c r="E21" s="252">
        <f>SUM(E15,E20)</f>
        <v>1894373</v>
      </c>
      <c r="F21" s="253"/>
      <c r="G21" s="250">
        <f>SUM(G15,G20)</f>
        <v>1900946</v>
      </c>
      <c r="H21" s="251"/>
      <c r="I21" s="252">
        <f>SUM(I15,I20)</f>
        <v>2086323</v>
      </c>
      <c r="J21" s="253"/>
      <c r="K21" s="252">
        <f>SUM(K15,K20)</f>
        <v>8057574</v>
      </c>
      <c r="L21" s="253"/>
      <c r="M21" s="250">
        <f>SUM(M15,M20)</f>
        <v>8421507</v>
      </c>
      <c r="N21" s="378"/>
      <c r="O21" s="379">
        <f>SUM(O15,O20)</f>
        <v>8249815</v>
      </c>
      <c r="P21" s="378"/>
      <c r="Q21" s="379">
        <f>SUM(Q15,Q20)</f>
        <v>8455499</v>
      </c>
      <c r="R21" s="378"/>
      <c r="S21" s="380">
        <f>SUM(S15,S20)</f>
        <v>9018050</v>
      </c>
      <c r="T21" s="378"/>
      <c r="U21" s="380">
        <f>SUM(U15,U20)</f>
        <v>9291251</v>
      </c>
      <c r="V21" s="378"/>
      <c r="W21" s="380">
        <f>SUM(W15,W20)</f>
        <v>9590449</v>
      </c>
      <c r="X21" s="378"/>
      <c r="Y21" s="380">
        <f>SUM(Y15,Y20)</f>
        <v>11656873</v>
      </c>
      <c r="Z21" s="378"/>
      <c r="AA21" s="380">
        <f>SUM(AA15,AA20)</f>
        <v>10017781</v>
      </c>
      <c r="AB21" s="378"/>
      <c r="AC21" s="381">
        <f>SUM(AC15,AC20)</f>
        <v>10351043</v>
      </c>
      <c r="AD21" s="356"/>
      <c r="AE21" s="306"/>
      <c r="AF21" s="307">
        <f>AVERAGE(U21,AC21,Y21,W21,AA21)</f>
        <v>10181479.4</v>
      </c>
      <c r="AG21" s="216">
        <f>+(AC21-U21)/U21</f>
        <v>0.11406343451490009</v>
      </c>
      <c r="AH21" s="3"/>
    </row>
    <row r="22" spans="1:34" ht="18" customHeight="1" x14ac:dyDescent="0.2">
      <c r="A22" s="10" t="s">
        <v>32</v>
      </c>
      <c r="B22" s="470"/>
      <c r="C22" s="471"/>
      <c r="D22" s="467"/>
      <c r="E22" s="467"/>
      <c r="F22" s="470"/>
      <c r="G22" s="471"/>
      <c r="H22" s="467"/>
      <c r="I22" s="467"/>
      <c r="J22" s="450"/>
      <c r="K22" s="452"/>
      <c r="L22" s="450"/>
      <c r="M22" s="451"/>
      <c r="N22" s="454"/>
      <c r="O22" s="478"/>
      <c r="P22" s="454"/>
      <c r="Q22" s="478"/>
      <c r="R22" s="454"/>
      <c r="S22" s="478"/>
      <c r="T22" s="454"/>
      <c r="U22" s="478"/>
      <c r="V22" s="454"/>
      <c r="W22" s="478"/>
      <c r="X22" s="454"/>
      <c r="Y22" s="478"/>
      <c r="Z22" s="454"/>
      <c r="AA22" s="478"/>
      <c r="AB22" s="454"/>
      <c r="AC22" s="445"/>
      <c r="AD22" s="356"/>
      <c r="AE22" s="444"/>
      <c r="AF22" s="445"/>
      <c r="AG22" s="217"/>
      <c r="AH22" s="3"/>
    </row>
    <row r="23" spans="1:34" ht="15" customHeight="1" x14ac:dyDescent="0.2">
      <c r="A23" s="89" t="s">
        <v>49</v>
      </c>
      <c r="B23" s="24"/>
      <c r="C23" s="27">
        <f>302694+1430751</f>
        <v>1733445</v>
      </c>
      <c r="D23" s="19"/>
      <c r="E23" s="171">
        <v>1783618</v>
      </c>
      <c r="F23" s="81"/>
      <c r="G23" s="32">
        <v>1980641.52</v>
      </c>
      <c r="H23" s="172"/>
      <c r="I23" s="173">
        <v>2018572.09</v>
      </c>
      <c r="J23" s="152"/>
      <c r="K23" s="173">
        <f>'Dean Arch'!K22+Architecture!K23+Interior!K23+Landscape!K23</f>
        <v>6081981</v>
      </c>
      <c r="L23" s="152"/>
      <c r="M23" s="55">
        <f>'Dean Arch'!M22+Architecture!M23+Interior!M23+Landscape!M23</f>
        <v>6162649</v>
      </c>
      <c r="N23" s="415"/>
      <c r="O23" s="329">
        <f>'Dean Arch'!O22+Architecture!O23+Interior!O23+Landscape!O23</f>
        <v>5886758</v>
      </c>
      <c r="P23" s="415"/>
      <c r="Q23" s="329">
        <f>'Dean Arch'!Q22+Architecture!Q23+Interior!Q23+Landscape!Q23</f>
        <v>6305310</v>
      </c>
      <c r="R23" s="415"/>
      <c r="S23" s="329">
        <f>'Dean Arch'!S22+Architecture!S23+Interior!S23+Landscape!S23</f>
        <v>6446369</v>
      </c>
      <c r="T23" s="415"/>
      <c r="U23" s="329">
        <f>'Dean Arch'!U22+Architecture!U23+Interior!U23+Landscape!U23</f>
        <v>6695580</v>
      </c>
      <c r="V23" s="415"/>
      <c r="W23" s="329">
        <f>'Dean Arch'!W22+Architecture!W23+Interior!W23+Landscape!W23</f>
        <v>6746280.5099999998</v>
      </c>
      <c r="X23" s="415"/>
      <c r="Y23" s="329">
        <f>'Dean Arch'!Y22+Architecture!Y23+Interior!Y23+Landscape!Y23</f>
        <v>7053802</v>
      </c>
      <c r="Z23" s="415"/>
      <c r="AA23" s="329">
        <f>'Dean Arch'!AA22+Architecture!AA23+Interior!AA23+Landscape!AA23</f>
        <v>7211458</v>
      </c>
      <c r="AB23" s="395"/>
      <c r="AC23" s="416">
        <f>'Dean Arch'!AC22+Architecture!AC23+Interior!AC23+Landscape!AC23</f>
        <v>0</v>
      </c>
      <c r="AD23" s="356"/>
      <c r="AE23" s="278"/>
      <c r="AF23" s="279">
        <f>AVERAGE(U23,AA23,S23,W23,Y23)</f>
        <v>6830697.9019999998</v>
      </c>
      <c r="AG23" s="162">
        <f>+(AA23-S23)/S23</f>
        <v>0.11868526297517254</v>
      </c>
      <c r="AH23" s="15"/>
    </row>
    <row r="24" spans="1:34" ht="15" customHeight="1" x14ac:dyDescent="0.2">
      <c r="A24" s="89" t="s">
        <v>33</v>
      </c>
      <c r="B24" s="109"/>
      <c r="C24" s="110"/>
      <c r="D24" s="84"/>
      <c r="E24" s="119"/>
      <c r="F24" s="109"/>
      <c r="G24" s="120">
        <v>5572.01</v>
      </c>
      <c r="H24" s="109"/>
      <c r="I24" s="120">
        <v>14777.69</v>
      </c>
      <c r="J24" s="109"/>
      <c r="K24" s="173">
        <f>'Dean Arch'!K23+Architecture!K24+Interior!K24+Landscape!K24</f>
        <v>38249.899999999994</v>
      </c>
      <c r="L24" s="109"/>
      <c r="M24" s="173">
        <f>'Dean Arch'!M23+Architecture!M24+Interior!M24+Landscape!M24</f>
        <v>75465.75</v>
      </c>
      <c r="N24" s="410"/>
      <c r="O24" s="399">
        <f>'Dean Arch'!O23+Architecture!O24+Interior!O24+Landscape!O24</f>
        <v>68902.689999999973</v>
      </c>
      <c r="P24" s="410"/>
      <c r="Q24" s="399">
        <f>'Dean Arch'!Q23+Architecture!Q24+Interior!Q24+Landscape!Q24</f>
        <v>66301.739999999991</v>
      </c>
      <c r="R24" s="410"/>
      <c r="S24" s="399">
        <f>'Dean Arch'!S23+Architecture!S24+Interior!S24+Landscape!S24</f>
        <v>104659.34000000003</v>
      </c>
      <c r="T24" s="410"/>
      <c r="U24" s="399">
        <f>'Dean Arch'!U23+Architecture!U24+Interior!U24+Landscape!U24</f>
        <v>163132.83000000002</v>
      </c>
      <c r="V24" s="410"/>
      <c r="W24" s="399">
        <f>'Dean Arch'!W23+Architecture!W24+Interior!W24+Landscape!W24</f>
        <v>174768.96000000008</v>
      </c>
      <c r="X24" s="410"/>
      <c r="Y24" s="329">
        <f>'Dean Arch'!Y23+Architecture!Y24+Interior!Y24+Landscape!Y24</f>
        <v>113065</v>
      </c>
      <c r="Z24" s="410"/>
      <c r="AA24" s="329">
        <f>'Dean Arch'!AA23+Architecture!AA24+Interior!AA24+Landscape!AA24</f>
        <v>79623</v>
      </c>
      <c r="AB24" s="399"/>
      <c r="AC24" s="416">
        <f>'Dean Arch'!AC23+Architecture!AC24+Interior!AC24+Landscape!AC24</f>
        <v>0</v>
      </c>
      <c r="AD24" s="356"/>
      <c r="AE24" s="278"/>
      <c r="AF24" s="279">
        <f t="shared" ref="AF24:AF25" si="2">AVERAGE(U24,AA24,S24,W24,Y24)</f>
        <v>127049.82600000003</v>
      </c>
      <c r="AG24" s="162">
        <f t="shared" ref="AG24" si="3">+(AA24-S24)/S24</f>
        <v>-0.23921744585815294</v>
      </c>
      <c r="AH24" s="15"/>
    </row>
    <row r="25" spans="1:34" ht="15" customHeight="1" thickBot="1" x14ac:dyDescent="0.25">
      <c r="A25" s="141" t="s">
        <v>34</v>
      </c>
      <c r="B25" s="121"/>
      <c r="C25" s="122"/>
      <c r="D25" s="123"/>
      <c r="E25" s="124"/>
      <c r="F25" s="121"/>
      <c r="G25" s="125">
        <v>0</v>
      </c>
      <c r="H25" s="121"/>
      <c r="I25" s="125">
        <v>0</v>
      </c>
      <c r="J25" s="121"/>
      <c r="K25" s="125">
        <f>'Dean Arch'!K24+Architecture!K25+Interior!K25+Landscape!K25</f>
        <v>48083.3</v>
      </c>
      <c r="L25" s="121"/>
      <c r="M25" s="125">
        <f>'Dean Arch'!M24+Architecture!M25+Interior!M25+Landscape!M25</f>
        <v>0</v>
      </c>
      <c r="N25" s="417"/>
      <c r="O25" s="429">
        <f>'Dean Arch'!O24+Architecture!O25+Interior!O25+Landscape!O25</f>
        <v>4817.76</v>
      </c>
      <c r="P25" s="430"/>
      <c r="Q25" s="429">
        <f>'Dean Arch'!Q24+Architecture!Q25+Interior!Q25+Landscape!Q25</f>
        <v>3691.14</v>
      </c>
      <c r="R25" s="430"/>
      <c r="S25" s="429">
        <f>'Dean Arch'!S24+Architecture!S25+Interior!S25+Landscape!S25</f>
        <v>0</v>
      </c>
      <c r="T25" s="430"/>
      <c r="U25" s="429">
        <f>'Dean Arch'!U24+Architecture!U25+Interior!U25+Landscape!U25</f>
        <v>0</v>
      </c>
      <c r="V25" s="430"/>
      <c r="W25" s="429">
        <f>'Dean Arch'!W24+Architecture!W25+Interior!W25+Landscape!W25</f>
        <v>0</v>
      </c>
      <c r="X25" s="430"/>
      <c r="Y25" s="429">
        <f>'Dean Arch'!Y24+Architecture!Y25+Interior!Y25+Landscape!Y25</f>
        <v>0</v>
      </c>
      <c r="Z25" s="430"/>
      <c r="AA25" s="429">
        <f>'Dean Arch'!AA24+Architecture!AA25+Interior!AA25+Landscape!AA25</f>
        <v>128</v>
      </c>
      <c r="AB25" s="403"/>
      <c r="AC25" s="431">
        <f>'Dean Arch'!AC24+Architecture!AC25+Interior!AC25+Landscape!AC25</f>
        <v>0</v>
      </c>
      <c r="AD25" s="262"/>
      <c r="AE25" s="319"/>
      <c r="AF25" s="279">
        <f t="shared" si="2"/>
        <v>25.6</v>
      </c>
      <c r="AG25" s="162">
        <v>0</v>
      </c>
      <c r="AH25" s="42"/>
    </row>
    <row r="26" spans="1:34" ht="18" customHeight="1" thickTop="1" x14ac:dyDescent="0.2">
      <c r="A26" s="102" t="s">
        <v>41</v>
      </c>
      <c r="B26" s="199" t="s">
        <v>14</v>
      </c>
      <c r="C26" s="187" t="s">
        <v>15</v>
      </c>
      <c r="D26" s="199" t="s">
        <v>14</v>
      </c>
      <c r="E26" s="187" t="s">
        <v>15</v>
      </c>
      <c r="F26" s="200" t="s">
        <v>14</v>
      </c>
      <c r="G26" s="201" t="s">
        <v>15</v>
      </c>
      <c r="H26" s="202" t="s">
        <v>14</v>
      </c>
      <c r="I26" s="203" t="s">
        <v>15</v>
      </c>
      <c r="J26" s="200" t="s">
        <v>14</v>
      </c>
      <c r="K26" s="205" t="s">
        <v>15</v>
      </c>
      <c r="L26" s="202" t="s">
        <v>14</v>
      </c>
      <c r="M26" s="203" t="s">
        <v>15</v>
      </c>
      <c r="N26" s="322" t="s">
        <v>14</v>
      </c>
      <c r="O26" s="323" t="s">
        <v>15</v>
      </c>
      <c r="P26" s="320" t="s">
        <v>14</v>
      </c>
      <c r="Q26" s="321" t="s">
        <v>15</v>
      </c>
      <c r="R26" s="322" t="s">
        <v>14</v>
      </c>
      <c r="S26" s="323" t="s">
        <v>15</v>
      </c>
      <c r="T26" s="320" t="s">
        <v>14</v>
      </c>
      <c r="U26" s="321" t="s">
        <v>15</v>
      </c>
      <c r="V26" s="322" t="s">
        <v>14</v>
      </c>
      <c r="W26" s="323" t="s">
        <v>15</v>
      </c>
      <c r="X26" s="320" t="s">
        <v>14</v>
      </c>
      <c r="Y26" s="321" t="s">
        <v>15</v>
      </c>
      <c r="Z26" s="320" t="s">
        <v>14</v>
      </c>
      <c r="AA26" s="321" t="s">
        <v>15</v>
      </c>
      <c r="AB26" s="322" t="s">
        <v>14</v>
      </c>
      <c r="AC26" s="324" t="s">
        <v>15</v>
      </c>
      <c r="AD26" s="262"/>
      <c r="AE26" s="325" t="s">
        <v>14</v>
      </c>
      <c r="AF26" s="320" t="s">
        <v>15</v>
      </c>
      <c r="AG26" s="218" t="s">
        <v>43</v>
      </c>
    </row>
    <row r="27" spans="1:34" ht="15" customHeight="1" x14ac:dyDescent="0.2">
      <c r="A27" s="89" t="s">
        <v>46</v>
      </c>
      <c r="B27" s="65">
        <v>1</v>
      </c>
      <c r="C27" s="188">
        <v>5000</v>
      </c>
      <c r="D27" s="66">
        <v>4</v>
      </c>
      <c r="E27" s="190">
        <v>544384</v>
      </c>
      <c r="F27" s="192">
        <v>2</v>
      </c>
      <c r="G27" s="55">
        <v>0</v>
      </c>
      <c r="H27" s="77">
        <v>4</v>
      </c>
      <c r="I27" s="193">
        <v>94413</v>
      </c>
      <c r="J27" s="192">
        <f>'Dean Arch'!J26+Architecture!J27+Interior!J27+Landscape!J27</f>
        <v>3</v>
      </c>
      <c r="K27" s="256">
        <f>'Dean Arch'!K26+Architecture!K27+Interior!K27+Landscape!K27</f>
        <v>77272</v>
      </c>
      <c r="L27" s="192">
        <f>'Dean Arch'!L26+Architecture!L27+Interior!L27+Landscape!L27</f>
        <v>2</v>
      </c>
      <c r="M27" s="256">
        <f>'Dean Arch'!M26+Architecture!M27+Interior!M27+Landscape!M27</f>
        <v>105781</v>
      </c>
      <c r="N27" s="328">
        <f>'Dean Arch'!N26+Architecture!N27+Interior!N27+Landscape!N27</f>
        <v>5</v>
      </c>
      <c r="O27" s="418">
        <f>'Dean Arch'!O26+Architecture!O27+Interior!O27+Landscape!O27</f>
        <v>135846</v>
      </c>
      <c r="P27" s="328">
        <f>'Dean Arch'!P26+Architecture!P27+Interior!P27+Landscape!P27</f>
        <v>8</v>
      </c>
      <c r="Q27" s="418">
        <f>'Dean Arch'!Q26+Architecture!Q27+Interior!Q27+Landscape!Q27</f>
        <v>286845</v>
      </c>
      <c r="R27" s="328">
        <f>'Dean Arch'!R26+Architecture!R27+Interior!R27+Landscape!R27</f>
        <v>10</v>
      </c>
      <c r="S27" s="418">
        <f>'Dean Arch'!S26+Architecture!S27+Interior!S27+Landscape!S27</f>
        <v>718302</v>
      </c>
      <c r="T27" s="328">
        <f>'Dean Arch'!T26+Architecture!T27+Interior!T27+Landscape!T27</f>
        <v>9</v>
      </c>
      <c r="U27" s="418">
        <f>'Dean Arch'!U26+Architecture!U27+Interior!U27+Landscape!U27</f>
        <v>281829</v>
      </c>
      <c r="V27" s="328">
        <f>'Dean Arch'!V26+Architecture!V27+Interior!V27+Landscape!V27</f>
        <v>13</v>
      </c>
      <c r="W27" s="418">
        <f>'Dean Arch'!W26+Architecture!W27+Interior!W27+Landscape!W27</f>
        <v>531308</v>
      </c>
      <c r="X27" s="328">
        <f>'Dean Arch'!X26+Architecture!X27+Interior!X27+Landscape!X27</f>
        <v>11</v>
      </c>
      <c r="Y27" s="418">
        <f>'Dean Arch'!Y26+Architecture!Y27+Interior!Y27+Landscape!Y27</f>
        <v>426882</v>
      </c>
      <c r="Z27" s="328">
        <f>'Dean Arch'!Z26+Architecture!Z27+Interior!Z27+Landscape!Z27</f>
        <v>14</v>
      </c>
      <c r="AA27" s="418">
        <f>'Dean Arch'!AA26+Architecture!AA27+Interior!AA27+Landscape!AA27</f>
        <v>913387</v>
      </c>
      <c r="AB27" s="419"/>
      <c r="AC27" s="420"/>
      <c r="AD27" s="262"/>
      <c r="AE27" s="219">
        <f>AVERAGE(T27,R27,Z27,X27,V27)</f>
        <v>11.4</v>
      </c>
      <c r="AF27" s="269">
        <f t="shared" ref="AF27:AF28" si="4">AVERAGE(U27,AA27,S27,W27,Y27)</f>
        <v>574341.6</v>
      </c>
      <c r="AG27" s="220">
        <f t="shared" ref="AG27:AG28" si="5">+(AA27-S27)/S27</f>
        <v>0.27159189310345788</v>
      </c>
    </row>
    <row r="28" spans="1:34" ht="15" customHeight="1" thickBot="1" x14ac:dyDescent="0.25">
      <c r="A28" s="93" t="s">
        <v>47</v>
      </c>
      <c r="B28" s="118">
        <v>0</v>
      </c>
      <c r="C28" s="183">
        <v>0</v>
      </c>
      <c r="D28" s="189">
        <v>4</v>
      </c>
      <c r="E28" s="191">
        <v>125596</v>
      </c>
      <c r="F28" s="185">
        <v>2</v>
      </c>
      <c r="G28" s="104">
        <v>183520</v>
      </c>
      <c r="H28" s="131">
        <v>3</v>
      </c>
      <c r="I28" s="186">
        <v>13393</v>
      </c>
      <c r="J28" s="257">
        <f>'Dean Arch'!J27+Architecture!J28+Interior!J28+Landscape!J28</f>
        <v>0</v>
      </c>
      <c r="K28" s="258">
        <f>'Dean Arch'!K27+Architecture!K28+Interior!K28+Landscape!K28</f>
        <v>0</v>
      </c>
      <c r="L28" s="257">
        <f>'Dean Arch'!L27+Architecture!L28+Interior!L28+Landscape!L28</f>
        <v>0</v>
      </c>
      <c r="M28" s="258">
        <f>'Dean Arch'!M27+Architecture!M28+Interior!M28+Landscape!M28</f>
        <v>0</v>
      </c>
      <c r="N28" s="334">
        <f>'Dean Arch'!N27+Architecture!N28+Interior!N28+Landscape!N28</f>
        <v>4</v>
      </c>
      <c r="O28" s="421">
        <f>'Dean Arch'!O27+Architecture!O28+Interior!O28+Landscape!O28</f>
        <v>172343</v>
      </c>
      <c r="P28" s="334">
        <f>'Dean Arch'!P27+Architecture!P28+Interior!P28+Landscape!P28</f>
        <v>3</v>
      </c>
      <c r="Q28" s="421">
        <f>'Dean Arch'!Q27+Architecture!Q28+Interior!Q28+Landscape!Q28</f>
        <v>60008</v>
      </c>
      <c r="R28" s="334">
        <f>'Dean Arch'!R27+Architecture!R28+Interior!R28+Landscape!R28</f>
        <v>6</v>
      </c>
      <c r="S28" s="421">
        <f>'Dean Arch'!S27+Architecture!S28+Interior!S28+Landscape!S28</f>
        <v>295918</v>
      </c>
      <c r="T28" s="334">
        <f>'Dean Arch'!T27+Architecture!T28+Interior!T28+Landscape!T28</f>
        <v>0</v>
      </c>
      <c r="U28" s="421">
        <f>'Dean Arch'!U27+Architecture!U28+Interior!U28+Landscape!U28</f>
        <v>0</v>
      </c>
      <c r="V28" s="334">
        <f>'Dean Arch'!V27+Architecture!V28+Interior!V28+Landscape!V28</f>
        <v>10</v>
      </c>
      <c r="W28" s="421">
        <f>'Dean Arch'!W27+Architecture!W28+Interior!W28+Landscape!W28</f>
        <v>96571</v>
      </c>
      <c r="X28" s="334">
        <f>'Dean Arch'!X27+Architecture!X28+Interior!X28+Landscape!X28</f>
        <v>2</v>
      </c>
      <c r="Y28" s="421">
        <f>'Dean Arch'!Y27+Architecture!Y28+Interior!Y28+Landscape!Y28</f>
        <v>35710</v>
      </c>
      <c r="Z28" s="334">
        <f>'Dean Arch'!Z27+Architecture!Z28+Interior!Z28+Landscape!Z28</f>
        <v>7</v>
      </c>
      <c r="AA28" s="421">
        <f>'Dean Arch'!AA27+Architecture!AA28+Interior!AA28+Landscape!AA28</f>
        <v>35721</v>
      </c>
      <c r="AB28" s="422"/>
      <c r="AC28" s="420"/>
      <c r="AD28" s="262"/>
      <c r="AE28" s="221">
        <f>AVERAGE(T28,R28,Z28,X28,V28)</f>
        <v>5</v>
      </c>
      <c r="AF28" s="338">
        <f t="shared" si="4"/>
        <v>92784</v>
      </c>
      <c r="AG28" s="220">
        <f t="shared" si="5"/>
        <v>-0.87928750532242039</v>
      </c>
    </row>
    <row r="29" spans="1:34" ht="18" customHeight="1" thickTop="1" x14ac:dyDescent="0.2">
      <c r="A29" s="102" t="s">
        <v>11</v>
      </c>
      <c r="B29" s="456"/>
      <c r="C29" s="457"/>
      <c r="D29" s="458"/>
      <c r="E29" s="458"/>
      <c r="F29" s="456"/>
      <c r="G29" s="457"/>
      <c r="H29" s="458"/>
      <c r="I29" s="458"/>
      <c r="J29" s="456"/>
      <c r="K29" s="458"/>
      <c r="L29" s="456"/>
      <c r="M29" s="457"/>
      <c r="N29" s="460"/>
      <c r="O29" s="474"/>
      <c r="P29" s="460"/>
      <c r="Q29" s="474"/>
      <c r="R29" s="460"/>
      <c r="S29" s="474"/>
      <c r="T29" s="460"/>
      <c r="U29" s="474"/>
      <c r="V29" s="460"/>
      <c r="W29" s="474"/>
      <c r="X29" s="460"/>
      <c r="Y29" s="474"/>
      <c r="Z29" s="460"/>
      <c r="AA29" s="474"/>
      <c r="AB29" s="460"/>
      <c r="AC29" s="476"/>
      <c r="AD29" s="356"/>
      <c r="AE29" s="433"/>
      <c r="AF29" s="434"/>
      <c r="AG29" s="164"/>
      <c r="AH29" s="40"/>
    </row>
    <row r="30" spans="1:34" ht="15" customHeight="1" x14ac:dyDescent="0.2">
      <c r="A30" s="92" t="s">
        <v>12</v>
      </c>
      <c r="B30" s="24"/>
      <c r="C30" s="27">
        <v>525693.07999999996</v>
      </c>
      <c r="D30" s="19"/>
      <c r="E30" s="36">
        <v>28701.43</v>
      </c>
      <c r="F30" s="24"/>
      <c r="G30" s="58">
        <v>21330.75</v>
      </c>
      <c r="H30" s="19"/>
      <c r="I30" s="71">
        <v>86576.14</v>
      </c>
      <c r="J30" s="24"/>
      <c r="K30" s="71">
        <f>'Dean Arch'!K29+Architecture!K30+Interior!K30+Landscape!K30</f>
        <v>606388.42999999993</v>
      </c>
      <c r="L30" s="24"/>
      <c r="M30" s="71">
        <f>'Dean Arch'!M29+Architecture!M30+Interior!M30+Landscape!M30</f>
        <v>842777</v>
      </c>
      <c r="N30" s="408"/>
      <c r="O30" s="340">
        <f>'Dean Arch'!O29+Architecture!O30+Interior!O30+Landscape!O30</f>
        <v>434996</v>
      </c>
      <c r="P30" s="408"/>
      <c r="Q30" s="340">
        <f>'Dean Arch'!Q29+Architecture!Q30+Interior!Q30+Landscape!Q30</f>
        <v>401710.42000000004</v>
      </c>
      <c r="R30" s="408"/>
      <c r="S30" s="340">
        <f>'Dean Arch'!S29+Architecture!S30+Interior!S30+Landscape!S30</f>
        <v>411497.63</v>
      </c>
      <c r="T30" s="408"/>
      <c r="U30" s="340">
        <f>'Dean Arch'!U29+Architecture!U30+Interior!U30+Landscape!U30</f>
        <v>553156.25</v>
      </c>
      <c r="V30" s="408"/>
      <c r="W30" s="340">
        <f>'Dean Arch'!W29+Architecture!W30+Interior!W30+Landscape!W30</f>
        <v>1342916.1800000002</v>
      </c>
      <c r="X30" s="408"/>
      <c r="Y30" s="340">
        <f>'Dean Arch'!Y29+Architecture!Y30+Interior!Y30+Landscape!Y30</f>
        <v>1324409.04</v>
      </c>
      <c r="Z30" s="408"/>
      <c r="AA30" s="340">
        <f>'Dean Arch'!AA29+Architecture!AA30+Interior!AA30+Landscape!AA30</f>
        <v>2847922</v>
      </c>
      <c r="AB30" s="423"/>
      <c r="AC30" s="424">
        <f>'Dean Arch'!AC29+Architecture!AC30+Interior!AC30+Landscape!AC30</f>
        <v>0</v>
      </c>
      <c r="AD30" s="356"/>
      <c r="AE30" s="278"/>
      <c r="AF30" s="269">
        <f t="shared" ref="AF30:AF31" si="6">AVERAGE(U30,AA30,S30,W30,Y30)</f>
        <v>1295980.2200000002</v>
      </c>
      <c r="AG30" s="220">
        <f t="shared" ref="AG30:AG31" si="7">+(AA30-S30)/S30</f>
        <v>5.9208709658911038</v>
      </c>
      <c r="AH30" s="3"/>
    </row>
    <row r="31" spans="1:34" ht="15" customHeight="1" thickBot="1" x14ac:dyDescent="0.25">
      <c r="A31" s="93" t="s">
        <v>13</v>
      </c>
      <c r="B31" s="26"/>
      <c r="C31" s="28">
        <v>974195.34</v>
      </c>
      <c r="D31" s="9"/>
      <c r="E31" s="57">
        <v>1134927.99</v>
      </c>
      <c r="F31" s="26"/>
      <c r="G31" s="57">
        <v>1232213.99</v>
      </c>
      <c r="H31" s="9"/>
      <c r="I31" s="67">
        <v>1422094.21</v>
      </c>
      <c r="J31" s="26"/>
      <c r="K31" s="255">
        <f>'Dean Arch'!K30+Architecture!K31+Interior!K31+Landscape!K31</f>
        <v>2318909.3200000003</v>
      </c>
      <c r="L31" s="26"/>
      <c r="M31" s="255">
        <f>'Dean Arch'!M30+Architecture!M31+Interior!M31+Landscape!M31</f>
        <v>1838359.61</v>
      </c>
      <c r="N31" s="425"/>
      <c r="O31" s="426">
        <f>'Dean Arch'!O30+Architecture!O31+Interior!O31+Landscape!O31</f>
        <v>1993888</v>
      </c>
      <c r="P31" s="425"/>
      <c r="Q31" s="426">
        <f>'Dean Arch'!Q30+Architecture!Q31+Interior!Q31+Landscape!Q31</f>
        <v>2263531.54</v>
      </c>
      <c r="R31" s="425"/>
      <c r="S31" s="426">
        <f>'Dean Arch'!S30+Architecture!S31+Interior!S31+Landscape!S31</f>
        <v>2221225.73</v>
      </c>
      <c r="T31" s="425"/>
      <c r="U31" s="426">
        <f>'Dean Arch'!U30+Architecture!U31+Interior!U31+Landscape!U31</f>
        <v>2421179.33</v>
      </c>
      <c r="V31" s="425"/>
      <c r="W31" s="426">
        <f>'Dean Arch'!W30+Architecture!W31+Interior!W31+Landscape!W31</f>
        <v>2776417.61</v>
      </c>
      <c r="X31" s="425"/>
      <c r="Y31" s="426">
        <f>'Dean Arch'!Y30+Architecture!Y31+Interior!Y31+Landscape!Y31</f>
        <v>2690503.5</v>
      </c>
      <c r="Z31" s="425"/>
      <c r="AA31" s="426">
        <f>'Dean Arch'!AA30+Architecture!AA31+Interior!AA31+Landscape!AA31</f>
        <v>2623098</v>
      </c>
      <c r="AB31" s="427"/>
      <c r="AC31" s="428">
        <f>'Dean Arch'!AC30+Architecture!AC31+Interior!AC31+Landscape!AC31</f>
        <v>0</v>
      </c>
      <c r="AD31" s="356"/>
      <c r="AE31" s="319"/>
      <c r="AF31" s="338">
        <f t="shared" si="6"/>
        <v>2546484.8339999998</v>
      </c>
      <c r="AG31" s="222">
        <f t="shared" si="7"/>
        <v>0.18092365155521586</v>
      </c>
      <c r="AH31" s="3"/>
    </row>
    <row r="32" spans="1:34" ht="14.25" customHeight="1" thickTop="1" x14ac:dyDescent="0.2">
      <c r="A32" s="5"/>
      <c r="B32" s="12"/>
      <c r="C32" s="14"/>
      <c r="D32" s="12"/>
      <c r="E32" s="6"/>
      <c r="F32" s="12"/>
      <c r="G32" s="6"/>
      <c r="H32" s="12"/>
      <c r="I32" s="6"/>
      <c r="J32" s="12"/>
      <c r="K32" s="6"/>
      <c r="L32" s="12"/>
      <c r="M32" s="6"/>
      <c r="N32" s="262"/>
      <c r="O32" s="352"/>
      <c r="P32" s="262"/>
      <c r="Q32" s="352"/>
      <c r="R32" s="262"/>
      <c r="S32" s="352"/>
      <c r="T32" s="262"/>
      <c r="U32" s="352"/>
      <c r="V32" s="262"/>
      <c r="W32" s="352"/>
      <c r="X32" s="262"/>
      <c r="Y32" s="352"/>
      <c r="Z32" s="262"/>
      <c r="AA32" s="352"/>
      <c r="AB32" s="262"/>
      <c r="AC32" s="352"/>
      <c r="AD32" s="262"/>
      <c r="AE32" s="262"/>
      <c r="AF32" s="407"/>
      <c r="AH32" s="13"/>
    </row>
    <row r="33" spans="1:35" x14ac:dyDescent="0.2">
      <c r="A33" s="94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</row>
    <row r="34" spans="1:35" x14ac:dyDescent="0.2"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</row>
    <row r="35" spans="1:35" x14ac:dyDescent="0.2"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 t="s">
        <v>1</v>
      </c>
      <c r="AD35" s="260"/>
      <c r="AE35" s="260"/>
      <c r="AF35" s="260"/>
    </row>
    <row r="36" spans="1:35" x14ac:dyDescent="0.2"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</row>
    <row r="37" spans="1:35" x14ac:dyDescent="0.2"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</row>
    <row r="38" spans="1:35" x14ac:dyDescent="0.2"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</row>
    <row r="39" spans="1:35" x14ac:dyDescent="0.2"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</row>
    <row r="40" spans="1:35" x14ac:dyDescent="0.2"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</row>
    <row r="41" spans="1:35" x14ac:dyDescent="0.2"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</row>
    <row r="42" spans="1:35" x14ac:dyDescent="0.2"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</row>
    <row r="43" spans="1:35" ht="13.5" customHeight="1" x14ac:dyDescent="0.2"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</row>
    <row r="44" spans="1:35" x14ac:dyDescent="0.2"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</row>
    <row r="45" spans="1:35" x14ac:dyDescent="0.2"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</row>
    <row r="46" spans="1:35" ht="4.5" customHeight="1" x14ac:dyDescent="0.2"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I46" s="4"/>
    </row>
    <row r="47" spans="1:35" x14ac:dyDescent="0.2"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I47" s="4"/>
    </row>
    <row r="48" spans="1:35" x14ac:dyDescent="0.2"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I48" s="4"/>
    </row>
    <row r="49" spans="14:41" x14ac:dyDescent="0.2"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</row>
    <row r="50" spans="14:41" x14ac:dyDescent="0.2"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I50" s="3"/>
    </row>
    <row r="51" spans="14:41" x14ac:dyDescent="0.2"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</row>
    <row r="52" spans="14:41" x14ac:dyDescent="0.2"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</row>
    <row r="53" spans="14:41" x14ac:dyDescent="0.2"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</row>
    <row r="54" spans="14:41" x14ac:dyDescent="0.2"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I54" s="1" t="s">
        <v>1</v>
      </c>
    </row>
    <row r="55" spans="14:41" x14ac:dyDescent="0.2"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</row>
    <row r="56" spans="14:41" x14ac:dyDescent="0.2"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</row>
    <row r="57" spans="14:41" x14ac:dyDescent="0.2"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J57" s="3"/>
      <c r="AK57" s="3"/>
      <c r="AL57" s="3"/>
      <c r="AM57" s="3"/>
      <c r="AN57" s="3"/>
      <c r="AO57" s="3"/>
    </row>
    <row r="58" spans="14:41" x14ac:dyDescent="0.2"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J58" s="3"/>
      <c r="AK58" s="3"/>
      <c r="AL58" s="3"/>
      <c r="AM58" s="3"/>
      <c r="AN58" s="3"/>
      <c r="AO58" s="3"/>
    </row>
    <row r="59" spans="14:41" x14ac:dyDescent="0.2"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J59" s="3"/>
      <c r="AK59" s="3"/>
      <c r="AL59" s="3"/>
      <c r="AM59" s="51"/>
      <c r="AN59" s="51"/>
      <c r="AO59" s="51"/>
    </row>
    <row r="60" spans="14:41" x14ac:dyDescent="0.2"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J60" s="15"/>
      <c r="AK60" s="15"/>
      <c r="AL60" s="15"/>
      <c r="AM60" s="41"/>
      <c r="AN60" s="41"/>
      <c r="AO60" s="51"/>
    </row>
    <row r="61" spans="14:41" x14ac:dyDescent="0.2"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J61" s="42"/>
      <c r="AK61" s="44"/>
      <c r="AL61" s="39"/>
      <c r="AM61" s="45"/>
      <c r="AN61" s="45"/>
      <c r="AO61" s="51"/>
    </row>
    <row r="62" spans="14:41" x14ac:dyDescent="0.2"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</row>
    <row r="63" spans="14:41" ht="11.45" customHeight="1" x14ac:dyDescent="0.2"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</row>
    <row r="64" spans="14:41" ht="11.45" customHeight="1" x14ac:dyDescent="0.2"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I64" s="3"/>
    </row>
    <row r="65" spans="14:41" x14ac:dyDescent="0.2"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I65" s="4"/>
    </row>
    <row r="66" spans="14:41" x14ac:dyDescent="0.2"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I66" s="4"/>
      <c r="AJ66" s="40"/>
      <c r="AK66" s="44"/>
      <c r="AL66" s="38"/>
      <c r="AM66" s="45"/>
      <c r="AN66" s="45"/>
      <c r="AO66" s="51"/>
    </row>
    <row r="67" spans="14:41" x14ac:dyDescent="0.2">
      <c r="AI67" s="4"/>
      <c r="AJ67" s="43"/>
      <c r="AK67" s="49"/>
      <c r="AL67" s="50"/>
      <c r="AM67" s="48"/>
      <c r="AN67" s="48"/>
      <c r="AO67" s="51"/>
    </row>
    <row r="68" spans="14:41" x14ac:dyDescent="0.2">
      <c r="AI68" s="4"/>
      <c r="AJ68" s="43"/>
      <c r="AK68" s="43"/>
      <c r="AL68" s="43"/>
      <c r="AM68" s="48"/>
      <c r="AN68" s="48"/>
      <c r="AO68" s="51"/>
    </row>
    <row r="69" spans="14:41" ht="6.75" customHeight="1" x14ac:dyDescent="0.2">
      <c r="AJ69" s="13"/>
      <c r="AK69" s="12"/>
      <c r="AL69" s="13"/>
      <c r="AM69" s="46"/>
      <c r="AN69" s="52"/>
      <c r="AO69" s="51"/>
    </row>
    <row r="70" spans="14:41" x14ac:dyDescent="0.2">
      <c r="AJ70" s="13"/>
      <c r="AK70" s="12"/>
      <c r="AL70" s="13"/>
      <c r="AM70" s="46"/>
      <c r="AN70" s="52"/>
      <c r="AO70" s="51"/>
    </row>
    <row r="71" spans="14:41" x14ac:dyDescent="0.2">
      <c r="AM71" s="35"/>
      <c r="AN71" s="35"/>
      <c r="AO71" s="35"/>
    </row>
    <row r="72" spans="14:41" x14ac:dyDescent="0.2">
      <c r="AM72" s="35"/>
      <c r="AN72" s="35"/>
      <c r="AO72" s="35"/>
    </row>
  </sheetData>
  <mergeCells count="45">
    <mergeCell ref="B9:C9"/>
    <mergeCell ref="D9:E9"/>
    <mergeCell ref="F9:G9"/>
    <mergeCell ref="H9:I9"/>
    <mergeCell ref="J9:K9"/>
    <mergeCell ref="L9:M9"/>
    <mergeCell ref="Z22:AA22"/>
    <mergeCell ref="AE22:AF22"/>
    <mergeCell ref="Z9:AA9"/>
    <mergeCell ref="AE9:AF9"/>
    <mergeCell ref="L22:M22"/>
    <mergeCell ref="N22:O22"/>
    <mergeCell ref="P22:Q22"/>
    <mergeCell ref="N9:O9"/>
    <mergeCell ref="P9:Q9"/>
    <mergeCell ref="R9:S9"/>
    <mergeCell ref="T9:U9"/>
    <mergeCell ref="AB9:AC9"/>
    <mergeCell ref="AB22:AC22"/>
    <mergeCell ref="V9:W9"/>
    <mergeCell ref="X9:Y9"/>
    <mergeCell ref="B22:C22"/>
    <mergeCell ref="D22:E22"/>
    <mergeCell ref="F22:G22"/>
    <mergeCell ref="H22:I22"/>
    <mergeCell ref="J22:K22"/>
    <mergeCell ref="L29:M29"/>
    <mergeCell ref="R22:S22"/>
    <mergeCell ref="T22:U22"/>
    <mergeCell ref="V22:W22"/>
    <mergeCell ref="X22:Y22"/>
    <mergeCell ref="B29:C29"/>
    <mergeCell ref="D29:E29"/>
    <mergeCell ref="F29:G29"/>
    <mergeCell ref="H29:I29"/>
    <mergeCell ref="J29:K29"/>
    <mergeCell ref="AE29:AF29"/>
    <mergeCell ref="N29:O29"/>
    <mergeCell ref="P29:Q29"/>
    <mergeCell ref="R29:S29"/>
    <mergeCell ref="T29:U29"/>
    <mergeCell ref="V29:W29"/>
    <mergeCell ref="X29:Y29"/>
    <mergeCell ref="AB29:AC29"/>
    <mergeCell ref="Z29:AA29"/>
  </mergeCells>
  <printOptions horizontalCentered="1" verticalCentered="1"/>
  <pageMargins left="0.5" right="0.5" top="0.3" bottom="0.5" header="0.25" footer="0.25"/>
  <pageSetup scale="75" orientation="landscape" horizontalDpi="4294967292" verticalDpi="4294967292" r:id="rId1"/>
  <headerFooter alignWithMargins="0">
    <oddFooter>&amp;L&amp;9Prepared by Planning and Analysis&amp;C&amp;9&amp;P of &amp;N&amp;R&amp;9Updated &amp;D</oddFooter>
  </headerFooter>
  <colBreaks count="1" manualBreakCount="1">
    <brk id="2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Dean Arch</vt:lpstr>
      <vt:lpstr>Architecture</vt:lpstr>
      <vt:lpstr>Interior</vt:lpstr>
      <vt:lpstr>Landscape</vt:lpstr>
      <vt:lpstr>Summary</vt:lpstr>
      <vt:lpstr>Architecture!Print_Area</vt:lpstr>
      <vt:lpstr>'Dean Arch'!Print_Area</vt:lpstr>
      <vt:lpstr>Interior!Print_Area</vt:lpstr>
      <vt:lpstr>Landscape!Print_Area</vt:lpstr>
      <vt:lpstr>Summary!Print_Area</vt:lpstr>
      <vt:lpstr>Architecture!Print_Titles</vt:lpstr>
      <vt:lpstr>'Dean Arch'!Print_Titles</vt:lpstr>
      <vt:lpstr>Interior!Print_Titles</vt:lpstr>
      <vt:lpstr>Landscape!Print_Titles</vt:lpstr>
      <vt:lpstr>Summary!Print_Titles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 Baker</cp:lastModifiedBy>
  <cp:lastPrinted>2016-11-09T19:29:44Z</cp:lastPrinted>
  <dcterms:created xsi:type="dcterms:W3CDTF">1998-07-17T16:57:13Z</dcterms:created>
  <dcterms:modified xsi:type="dcterms:W3CDTF">2016-11-09T19:29:54Z</dcterms:modified>
</cp:coreProperties>
</file>