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jbaker\Documents\PA\deptprofiles\"/>
    </mc:Choice>
  </mc:AlternateContent>
  <bookViews>
    <workbookView xWindow="0" yWindow="0" windowWidth="19200" windowHeight="11580" tabRatio="952" firstSheet="9" activeTab="9"/>
  </bookViews>
  <sheets>
    <sheet name="Dean_Ag" sheetId="3" state="hidden" r:id="rId1"/>
    <sheet name="Ag_Econ" sheetId="1" state="hidden" r:id="rId2"/>
    <sheet name="Agronomy" sheetId="2" state="hidden" r:id="rId3"/>
    <sheet name="Animal_Sci" sheetId="4" state="hidden" r:id="rId4"/>
    <sheet name="CommAgEd" sheetId="5" state="hidden" r:id="rId5"/>
    <sheet name="Entomology" sheetId="6" state="hidden" r:id="rId6"/>
    <sheet name="Grain_Sci" sheetId="7" state="hidden" r:id="rId7"/>
    <sheet name="Horticulture" sheetId="8" state="hidden" r:id="rId8"/>
    <sheet name="Plant_Path" sheetId="9" state="hidden" r:id="rId9"/>
    <sheet name="ag sum" sheetId="10" r:id="rId10"/>
  </sheets>
  <definedNames>
    <definedName name="_xlnm.Print_Area" localSheetId="9">'ag sum'!$A$1:$Z$126</definedName>
    <definedName name="_xlnm.Print_Area" localSheetId="1">Ag_Econ!$A$1:$AD$117</definedName>
    <definedName name="_xlnm.Print_Area" localSheetId="3">Animal_Sci!$A$1:$AD$124</definedName>
    <definedName name="_xlnm.Print_Area" localSheetId="0">Dean_Ag!$A$1:$AC$137</definedName>
    <definedName name="_xlnm.Print_Area" localSheetId="5">Entomology!$A$1:$AD$113</definedName>
    <definedName name="_xlnm.Print_Area" localSheetId="6">Grain_Sci!$A$1:$AD$124</definedName>
    <definedName name="_xlnm.Print_Area" localSheetId="7">Horticulture!$A$1:$AD$119</definedName>
    <definedName name="_xlnm.Print_Area" localSheetId="8">Plant_Path!$A$1:$AC$113</definedName>
    <definedName name="_xlnm.Print_Titles" localSheetId="9">'ag sum'!$1:$2</definedName>
    <definedName name="_xlnm.Print_Titles" localSheetId="1">Ag_Econ!$1:$4</definedName>
    <definedName name="_xlnm.Print_Titles" localSheetId="2">Agronomy!$1:$4</definedName>
    <definedName name="_xlnm.Print_Titles" localSheetId="3">Animal_Sci!$1:$3</definedName>
    <definedName name="_xlnm.Print_Titles" localSheetId="4">CommAgEd!$1:$4</definedName>
    <definedName name="_xlnm.Print_Titles" localSheetId="0">Dean_Ag!$1:$4</definedName>
    <definedName name="_xlnm.Print_Titles" localSheetId="5">Entomology!$1:$4</definedName>
    <definedName name="_xlnm.Print_Titles" localSheetId="6">Grain_Sci!$1:$3</definedName>
    <definedName name="_xlnm.Print_Titles" localSheetId="7">Horticulture!$1:$3</definedName>
    <definedName name="_xlnm.Print_Titles" localSheetId="8">Plant_Path!$1:$4</definedName>
  </definedNames>
  <calcPr calcId="152511"/>
</workbook>
</file>

<file path=xl/calcChain.xml><?xml version="1.0" encoding="utf-8"?>
<calcChain xmlns="http://schemas.openxmlformats.org/spreadsheetml/2006/main">
  <c r="AC76" i="10" l="1"/>
  <c r="AC13" i="8"/>
  <c r="AC103" i="4"/>
  <c r="AC95" i="2"/>
  <c r="AB73" i="2"/>
  <c r="AC67" i="1"/>
  <c r="AC87" i="3"/>
  <c r="Y36" i="3" l="1"/>
  <c r="X55" i="10" l="1"/>
  <c r="X54" i="10"/>
  <c r="X55" i="8"/>
  <c r="X71" i="3"/>
  <c r="X68" i="10" l="1"/>
  <c r="AC68" i="10" s="1"/>
  <c r="X69" i="10"/>
  <c r="AC69" i="10" s="1"/>
  <c r="AC55" i="10"/>
  <c r="AC54" i="10"/>
  <c r="AC51" i="10"/>
  <c r="AC56" i="9"/>
  <c r="AC55" i="9"/>
  <c r="AC47" i="9"/>
  <c r="AC46" i="9"/>
  <c r="AC63" i="8"/>
  <c r="AC62" i="8"/>
  <c r="AC55" i="8"/>
  <c r="AC54" i="8"/>
  <c r="AC67" i="7"/>
  <c r="AC66" i="7"/>
  <c r="AC58" i="7"/>
  <c r="AC57" i="7"/>
  <c r="AC56" i="6"/>
  <c r="AC55" i="6"/>
  <c r="AC47" i="6"/>
  <c r="AC46" i="6"/>
  <c r="AC57" i="5"/>
  <c r="AC56" i="5"/>
  <c r="AC48" i="5"/>
  <c r="AC47" i="5"/>
  <c r="X67" i="4"/>
  <c r="AC67" i="4" s="1"/>
  <c r="X66" i="4"/>
  <c r="AC66" i="4"/>
  <c r="AC58" i="4"/>
  <c r="AC57" i="4"/>
  <c r="AC59" i="2"/>
  <c r="AC58" i="2"/>
  <c r="AC50" i="2"/>
  <c r="AC49" i="2"/>
  <c r="AC60" i="1"/>
  <c r="AC59" i="1"/>
  <c r="AC51" i="1"/>
  <c r="AC50" i="1"/>
  <c r="X80" i="3"/>
  <c r="AC80" i="3" s="1"/>
  <c r="X79" i="3"/>
  <c r="AC79" i="3"/>
  <c r="AC71" i="3"/>
  <c r="AC70" i="3"/>
  <c r="X53" i="10" l="1"/>
  <c r="X51" i="10"/>
  <c r="X52" i="10" l="1"/>
  <c r="AC53" i="10"/>
  <c r="Y14" i="10"/>
  <c r="X56" i="10" l="1"/>
  <c r="AC56" i="10" s="1"/>
  <c r="AC52" i="10"/>
  <c r="AC34" i="3"/>
  <c r="AC31" i="3"/>
  <c r="AC29" i="3"/>
  <c r="AC28" i="3"/>
  <c r="AC27" i="3"/>
  <c r="AC25" i="3"/>
  <c r="AC24" i="3"/>
  <c r="AC22" i="3"/>
  <c r="AC21" i="3"/>
  <c r="AC19" i="3"/>
  <c r="AC18" i="3"/>
  <c r="AC16" i="3"/>
  <c r="AC15" i="3"/>
  <c r="AC14" i="3"/>
  <c r="AC12" i="3"/>
  <c r="Y37" i="8" l="1"/>
  <c r="Y41" i="3"/>
  <c r="Y10" i="10" l="1"/>
  <c r="Y16" i="10"/>
  <c r="Y12" i="10"/>
  <c r="X63" i="10"/>
  <c r="X65" i="10" s="1"/>
  <c r="W63" i="10"/>
  <c r="W65" i="10" s="1"/>
  <c r="X59" i="10"/>
  <c r="X61" i="10" s="1"/>
  <c r="W59" i="10"/>
  <c r="W61" i="10" s="1"/>
  <c r="AB56" i="1"/>
  <c r="AB54" i="1"/>
  <c r="AC56" i="1"/>
  <c r="AC54" i="1"/>
  <c r="AC29" i="1"/>
  <c r="AC28" i="1"/>
  <c r="AC27" i="1"/>
  <c r="AC26" i="1"/>
  <c r="AC25" i="1"/>
  <c r="AC19" i="1"/>
  <c r="AC18" i="1"/>
  <c r="AC17" i="1"/>
  <c r="AC15" i="1"/>
  <c r="AC14" i="1"/>
  <c r="AC13" i="1"/>
  <c r="AC12" i="1"/>
  <c r="AC58" i="8" l="1"/>
  <c r="AC29" i="8"/>
  <c r="AB60" i="8"/>
  <c r="AB58" i="8"/>
  <c r="AC60" i="8"/>
  <c r="AC52" i="8"/>
  <c r="AC51" i="8"/>
  <c r="AC50" i="8"/>
  <c r="AC48" i="8"/>
  <c r="AC46" i="8"/>
  <c r="AC45" i="8"/>
  <c r="AC43" i="8"/>
  <c r="AC32" i="8"/>
  <c r="AC31" i="8"/>
  <c r="AC30" i="8"/>
  <c r="AC22" i="8"/>
  <c r="AC20" i="8"/>
  <c r="AC18" i="8"/>
  <c r="AC17" i="8"/>
  <c r="AC15" i="8"/>
  <c r="AC14" i="8"/>
  <c r="AC12" i="8"/>
  <c r="AC11" i="8"/>
  <c r="AB76" i="3"/>
  <c r="AB74" i="3"/>
  <c r="AC76" i="3"/>
  <c r="AC74" i="3"/>
  <c r="N26" i="5" l="1"/>
  <c r="X14" i="10" l="1"/>
  <c r="X16" i="10" l="1"/>
  <c r="X10" i="10"/>
  <c r="X12" i="10"/>
  <c r="X15" i="10"/>
  <c r="X13" i="10"/>
  <c r="AC30" i="10" l="1"/>
  <c r="AC64" i="10"/>
  <c r="AB64" i="10"/>
  <c r="AC60" i="10"/>
  <c r="AB60" i="10"/>
  <c r="AC29" i="10"/>
  <c r="AC28" i="10"/>
  <c r="AC29" i="9"/>
  <c r="AC94" i="9"/>
  <c r="AB94" i="9"/>
  <c r="AC93" i="9"/>
  <c r="AB93" i="9"/>
  <c r="AC92" i="9"/>
  <c r="AB92" i="9"/>
  <c r="AB89" i="9"/>
  <c r="AC67" i="9"/>
  <c r="AC66" i="9"/>
  <c r="AC64" i="9"/>
  <c r="AC63" i="9"/>
  <c r="AC52" i="9"/>
  <c r="AB52" i="9"/>
  <c r="AC50" i="9"/>
  <c r="AB50" i="9"/>
  <c r="AC42" i="9"/>
  <c r="AC41" i="9"/>
  <c r="AC40" i="9"/>
  <c r="AC37" i="9"/>
  <c r="AC35" i="9"/>
  <c r="AC28" i="9"/>
  <c r="AC27" i="9"/>
  <c r="AC24" i="9"/>
  <c r="AC23" i="9"/>
  <c r="AC22" i="9"/>
  <c r="AC14" i="9"/>
  <c r="AB14" i="9"/>
  <c r="AB13" i="9"/>
  <c r="AC13" i="9"/>
  <c r="AC12" i="9"/>
  <c r="AB12" i="9"/>
  <c r="AC101" i="8"/>
  <c r="AB101" i="8"/>
  <c r="AC100" i="8"/>
  <c r="AB100" i="8"/>
  <c r="AC99" i="8"/>
  <c r="AB99" i="8"/>
  <c r="AB96" i="8"/>
  <c r="AB95" i="8"/>
  <c r="AB94" i="8"/>
  <c r="AB93" i="8"/>
  <c r="AB91" i="8"/>
  <c r="AB90" i="8"/>
  <c r="AB89" i="8"/>
  <c r="AB87" i="8"/>
  <c r="AB86" i="8"/>
  <c r="AB84" i="8"/>
  <c r="AB83" i="8"/>
  <c r="AB82" i="8"/>
  <c r="AB81" i="8"/>
  <c r="AB80" i="8"/>
  <c r="AB79" i="8"/>
  <c r="AB78" i="8"/>
  <c r="AB77" i="8"/>
  <c r="AC74" i="8"/>
  <c r="AC73" i="8"/>
  <c r="AC71" i="8"/>
  <c r="AC70" i="8"/>
  <c r="AB22" i="8"/>
  <c r="AB20" i="8"/>
  <c r="AB18" i="8"/>
  <c r="AB14" i="8"/>
  <c r="AB13" i="8"/>
  <c r="AB12" i="8"/>
  <c r="AB11" i="8"/>
  <c r="AC105" i="7"/>
  <c r="AB105" i="7"/>
  <c r="AC104" i="7"/>
  <c r="AB104" i="7"/>
  <c r="AC103" i="7"/>
  <c r="AB103" i="7"/>
  <c r="AB100" i="7"/>
  <c r="AB99" i="7"/>
  <c r="AB98" i="7"/>
  <c r="AB97" i="7"/>
  <c r="AB95" i="7"/>
  <c r="AB94" i="7"/>
  <c r="AB93" i="7"/>
  <c r="AB91" i="7"/>
  <c r="AB90" i="7"/>
  <c r="AB88" i="7"/>
  <c r="AB87" i="7"/>
  <c r="AB86" i="7"/>
  <c r="AB85" i="7"/>
  <c r="AB84" i="7"/>
  <c r="AB83" i="7"/>
  <c r="AB82" i="7"/>
  <c r="AB81" i="7"/>
  <c r="AC78" i="7"/>
  <c r="AC77" i="7"/>
  <c r="AC75" i="7"/>
  <c r="AC74" i="7"/>
  <c r="AC63" i="7"/>
  <c r="AB63" i="7"/>
  <c r="AC61" i="7"/>
  <c r="AB61" i="7"/>
  <c r="AC54" i="7"/>
  <c r="AC53" i="7"/>
  <c r="AC52" i="7"/>
  <c r="AC51" i="7"/>
  <c r="AC48" i="7"/>
  <c r="AC46" i="7"/>
  <c r="AC40" i="7"/>
  <c r="AC39" i="7"/>
  <c r="AC38" i="7"/>
  <c r="AC35" i="7"/>
  <c r="AC34" i="7"/>
  <c r="AC33" i="7"/>
  <c r="AC32" i="7"/>
  <c r="AC22" i="7"/>
  <c r="AB22" i="7"/>
  <c r="AC20" i="7"/>
  <c r="AB20" i="7"/>
  <c r="AC18" i="7"/>
  <c r="AB18" i="7"/>
  <c r="AC17" i="7"/>
  <c r="AB17" i="7"/>
  <c r="AC15" i="7"/>
  <c r="AB15" i="7"/>
  <c r="AC14" i="7"/>
  <c r="AB14" i="7"/>
  <c r="AB12" i="7"/>
  <c r="AC12" i="7"/>
  <c r="AC11" i="7"/>
  <c r="AB11" i="7"/>
  <c r="AC94" i="6"/>
  <c r="AB94" i="6"/>
  <c r="AC93" i="6"/>
  <c r="AB93" i="6"/>
  <c r="AC92" i="6"/>
  <c r="AB92" i="6"/>
  <c r="AB89" i="6"/>
  <c r="AB88" i="6"/>
  <c r="AB87" i="6"/>
  <c r="AB86" i="6"/>
  <c r="AB84" i="6"/>
  <c r="AB83" i="6"/>
  <c r="AB82" i="6"/>
  <c r="AB80" i="6"/>
  <c r="AB79" i="6"/>
  <c r="AB77" i="6"/>
  <c r="AB76" i="6"/>
  <c r="AB75" i="6"/>
  <c r="AB74" i="6"/>
  <c r="AB73" i="6"/>
  <c r="AB72" i="6"/>
  <c r="AB71" i="6"/>
  <c r="AB70" i="6"/>
  <c r="AC67" i="6"/>
  <c r="AC66" i="6"/>
  <c r="AC64" i="6"/>
  <c r="AC63" i="6"/>
  <c r="AC52" i="6"/>
  <c r="AB52" i="6"/>
  <c r="AC50" i="6"/>
  <c r="AB50" i="6"/>
  <c r="AC42" i="6"/>
  <c r="AC41" i="6"/>
  <c r="AC40" i="6"/>
  <c r="AC35" i="6"/>
  <c r="AC29" i="6"/>
  <c r="AC28" i="6"/>
  <c r="AC27" i="6"/>
  <c r="AC24" i="6"/>
  <c r="AC23" i="6"/>
  <c r="AC22" i="6"/>
  <c r="AC21" i="6"/>
  <c r="AB15" i="6"/>
  <c r="AB14" i="6"/>
  <c r="AB13" i="6"/>
  <c r="AC15" i="6"/>
  <c r="AC14" i="6"/>
  <c r="AC13" i="6"/>
  <c r="AC12" i="6"/>
  <c r="AB12" i="6"/>
  <c r="AC95" i="5"/>
  <c r="AB95" i="5"/>
  <c r="AC94" i="5"/>
  <c r="AB94" i="5"/>
  <c r="AC93" i="5"/>
  <c r="AB93" i="5"/>
  <c r="AB90" i="5"/>
  <c r="AB89" i="5"/>
  <c r="AB88" i="5"/>
  <c r="AB87" i="5"/>
  <c r="AB85" i="5"/>
  <c r="AB84" i="5"/>
  <c r="AB83" i="5"/>
  <c r="AB81" i="5"/>
  <c r="AB80" i="5"/>
  <c r="AB78" i="5"/>
  <c r="AB77" i="5"/>
  <c r="AB76" i="5"/>
  <c r="AB75" i="5"/>
  <c r="AB74" i="5"/>
  <c r="AB73" i="5"/>
  <c r="AB72" i="5"/>
  <c r="AB71" i="5"/>
  <c r="AC68" i="5"/>
  <c r="AC67" i="5"/>
  <c r="AC65" i="5"/>
  <c r="AC64" i="5"/>
  <c r="AC53" i="5"/>
  <c r="AB53" i="5"/>
  <c r="AC51" i="5"/>
  <c r="AB51" i="5"/>
  <c r="AC43" i="5"/>
  <c r="AC41" i="5"/>
  <c r="AC36" i="5"/>
  <c r="AC30" i="5"/>
  <c r="AB30" i="5"/>
  <c r="AC29" i="5"/>
  <c r="AC28" i="5"/>
  <c r="AC25" i="5"/>
  <c r="AC24" i="5"/>
  <c r="AC23" i="5"/>
  <c r="AC22" i="5"/>
  <c r="AC14" i="5"/>
  <c r="AB14" i="5"/>
  <c r="AC12" i="5"/>
  <c r="AB12" i="5"/>
  <c r="AC105" i="4"/>
  <c r="AB105" i="4"/>
  <c r="AC104" i="4"/>
  <c r="AB104" i="4"/>
  <c r="AB103" i="4"/>
  <c r="AB100" i="4"/>
  <c r="AB99" i="4"/>
  <c r="AB98" i="4"/>
  <c r="AB97" i="4"/>
  <c r="AB95" i="4"/>
  <c r="AB94" i="4"/>
  <c r="AB93" i="4"/>
  <c r="AB91" i="4"/>
  <c r="AB90" i="4"/>
  <c r="AB88" i="4"/>
  <c r="AB87" i="4"/>
  <c r="AB86" i="4"/>
  <c r="AB85" i="4"/>
  <c r="AB84" i="4"/>
  <c r="AB83" i="4"/>
  <c r="AC82" i="4"/>
  <c r="AB82" i="4"/>
  <c r="AB81" i="4"/>
  <c r="AC78" i="4"/>
  <c r="AC77" i="4"/>
  <c r="AC75" i="4"/>
  <c r="AC74" i="4"/>
  <c r="AC63" i="4"/>
  <c r="AB63" i="4"/>
  <c r="AC61" i="4"/>
  <c r="AB61" i="4"/>
  <c r="AC53" i="4"/>
  <c r="AC52" i="4"/>
  <c r="AC51" i="4"/>
  <c r="AC48" i="4"/>
  <c r="AC46" i="4"/>
  <c r="AC39" i="4"/>
  <c r="AC38" i="4"/>
  <c r="AC35" i="4"/>
  <c r="AC34" i="4"/>
  <c r="AC33" i="4"/>
  <c r="AC32" i="4"/>
  <c r="AC25" i="4"/>
  <c r="AB25" i="4"/>
  <c r="AC23" i="4"/>
  <c r="AB23" i="4"/>
  <c r="AC22" i="4"/>
  <c r="AB22" i="4"/>
  <c r="AC20" i="4"/>
  <c r="AB20" i="4"/>
  <c r="AC19" i="4"/>
  <c r="AB19" i="4"/>
  <c r="AC18" i="4"/>
  <c r="AB18" i="4"/>
  <c r="AC17" i="4"/>
  <c r="AB17" i="4"/>
  <c r="AC16" i="4"/>
  <c r="AB16" i="4"/>
  <c r="AC15" i="4"/>
  <c r="AB15" i="4"/>
  <c r="AC14" i="4"/>
  <c r="AB14" i="4"/>
  <c r="AB12" i="4"/>
  <c r="AC12" i="4"/>
  <c r="AC11" i="4"/>
  <c r="AB11" i="4"/>
  <c r="AC97" i="2"/>
  <c r="AB97" i="2"/>
  <c r="AC96" i="2"/>
  <c r="AB96" i="2"/>
  <c r="AB95" i="2"/>
  <c r="AB92" i="2"/>
  <c r="AB91" i="2"/>
  <c r="AB90" i="2"/>
  <c r="AB89" i="2"/>
  <c r="AB87" i="2"/>
  <c r="AB86" i="2"/>
  <c r="AB85" i="2"/>
  <c r="AB83" i="2"/>
  <c r="AB82" i="2"/>
  <c r="AB80" i="2"/>
  <c r="AB79" i="2"/>
  <c r="AB78" i="2"/>
  <c r="AB77" i="2"/>
  <c r="AB76" i="2"/>
  <c r="AB75" i="2"/>
  <c r="AB74" i="2"/>
  <c r="AC70" i="2"/>
  <c r="AC69" i="2"/>
  <c r="AC67" i="2"/>
  <c r="AC66" i="2"/>
  <c r="AC55" i="2"/>
  <c r="AB55" i="2"/>
  <c r="AC53" i="2"/>
  <c r="AB53" i="2"/>
  <c r="AC45" i="2"/>
  <c r="AC44" i="2"/>
  <c r="AC43" i="2"/>
  <c r="AC40" i="2"/>
  <c r="AC38" i="2"/>
  <c r="AC31" i="2"/>
  <c r="AC30" i="2"/>
  <c r="AC27" i="2"/>
  <c r="AC26" i="2"/>
  <c r="AC25" i="2"/>
  <c r="AC24" i="2"/>
  <c r="AB15" i="2"/>
  <c r="AB14" i="2"/>
  <c r="AB13" i="2"/>
  <c r="AC15" i="2"/>
  <c r="AC14" i="2"/>
  <c r="AC13" i="2"/>
  <c r="AC12" i="2"/>
  <c r="AB12" i="2"/>
  <c r="AC98" i="1"/>
  <c r="AB98" i="1"/>
  <c r="AC97" i="1"/>
  <c r="AB97" i="1"/>
  <c r="AC96" i="1"/>
  <c r="AB96" i="1"/>
  <c r="AB93" i="1"/>
  <c r="AB92" i="1"/>
  <c r="AB91" i="1"/>
  <c r="AB90" i="1"/>
  <c r="AB88" i="1"/>
  <c r="AB87" i="1"/>
  <c r="AB86" i="1"/>
  <c r="AB84" i="1"/>
  <c r="AB83" i="1"/>
  <c r="AB81" i="1"/>
  <c r="AB80" i="1"/>
  <c r="AB79" i="1"/>
  <c r="AB78" i="1"/>
  <c r="AB77" i="1"/>
  <c r="AB76" i="1"/>
  <c r="AB75" i="1"/>
  <c r="AB74" i="1"/>
  <c r="AC71" i="1"/>
  <c r="AC70" i="1"/>
  <c r="AC68" i="1"/>
  <c r="AC47" i="1"/>
  <c r="AC46" i="1"/>
  <c r="AC44" i="1"/>
  <c r="AC42" i="1"/>
  <c r="AC41" i="1"/>
  <c r="AC39" i="1"/>
  <c r="AB19" i="1"/>
  <c r="AB18" i="1"/>
  <c r="AB17" i="1"/>
  <c r="AB15" i="1"/>
  <c r="AB14" i="1"/>
  <c r="AB13" i="1"/>
  <c r="AB12" i="1"/>
  <c r="AC118" i="3"/>
  <c r="AB118" i="3"/>
  <c r="AC117" i="3"/>
  <c r="AB117" i="3"/>
  <c r="AC116" i="3"/>
  <c r="AB116" i="3"/>
  <c r="AB113" i="3"/>
  <c r="AB112" i="3"/>
  <c r="AB111" i="3"/>
  <c r="AB110" i="3"/>
  <c r="AB108" i="3"/>
  <c r="AB107" i="3"/>
  <c r="AB106" i="3"/>
  <c r="AB104" i="3"/>
  <c r="AB103" i="3"/>
  <c r="AB101" i="3"/>
  <c r="AB100" i="3"/>
  <c r="AB99" i="3"/>
  <c r="AB98" i="3"/>
  <c r="AB97" i="3"/>
  <c r="AB96" i="3"/>
  <c r="AB95" i="3"/>
  <c r="AB94" i="3"/>
  <c r="AC91" i="3"/>
  <c r="AC90" i="3"/>
  <c r="AC88" i="3"/>
  <c r="AC66" i="3"/>
  <c r="AC65" i="3"/>
  <c r="AC64" i="3"/>
  <c r="AC62" i="3"/>
  <c r="AC61" i="3"/>
  <c r="AC59" i="3"/>
  <c r="AC52" i="3"/>
  <c r="AC51" i="3"/>
  <c r="AC50" i="3"/>
  <c r="AC49" i="3"/>
  <c r="AC41" i="3"/>
  <c r="AB41" i="3"/>
  <c r="AC40" i="3"/>
  <c r="AC39" i="3"/>
  <c r="AB37" i="3"/>
  <c r="AB36" i="3"/>
  <c r="AB34" i="3"/>
  <c r="AB31" i="3"/>
  <c r="AB27" i="3"/>
  <c r="AB25" i="3"/>
  <c r="AB24" i="3"/>
  <c r="AB22" i="3"/>
  <c r="AB21" i="3"/>
  <c r="AB19" i="3"/>
  <c r="AB18" i="3"/>
  <c r="AB16" i="3"/>
  <c r="AB15" i="3"/>
  <c r="AB14" i="3"/>
  <c r="AB12" i="3"/>
  <c r="Z29" i="1"/>
  <c r="Z33" i="1"/>
  <c r="Z42" i="1"/>
  <c r="Z47" i="1"/>
  <c r="Z72" i="1"/>
  <c r="Z75" i="1" s="1"/>
  <c r="AC75" i="1" s="1"/>
  <c r="Z28" i="2"/>
  <c r="Y32" i="2"/>
  <c r="Z41" i="2"/>
  <c r="AC41" i="2" s="1"/>
  <c r="Z46" i="2"/>
  <c r="AC46" i="2" s="1"/>
  <c r="Z71" i="2"/>
  <c r="Z74" i="2" s="1"/>
  <c r="AC74" i="2" s="1"/>
  <c r="Z36" i="4"/>
  <c r="Y40" i="4"/>
  <c r="Z49" i="4"/>
  <c r="Z54" i="4"/>
  <c r="AC54" i="4" s="1"/>
  <c r="Z79" i="4"/>
  <c r="Z82" i="4" s="1"/>
  <c r="Z99" i="4"/>
  <c r="AC99" i="4" s="1"/>
  <c r="Z26" i="5"/>
  <c r="Y30" i="5"/>
  <c r="Z39" i="5"/>
  <c r="AC39" i="5" s="1"/>
  <c r="Z44" i="5"/>
  <c r="Z45" i="5" s="1"/>
  <c r="AC45" i="5" s="1"/>
  <c r="Z69" i="5"/>
  <c r="Z71" i="5" s="1"/>
  <c r="AC71" i="5" s="1"/>
  <c r="Z25" i="6"/>
  <c r="Y29" i="6"/>
  <c r="AB29" i="6" s="1"/>
  <c r="Z38" i="6"/>
  <c r="AC38" i="6" s="1"/>
  <c r="Z43" i="6"/>
  <c r="AC43" i="6" s="1"/>
  <c r="Z68" i="6"/>
  <c r="Z70" i="6" s="1"/>
  <c r="AC70" i="6" s="1"/>
  <c r="Z36" i="7"/>
  <c r="Y40" i="7"/>
  <c r="AB40" i="7" s="1"/>
  <c r="Z49" i="7"/>
  <c r="AC49" i="7" s="1"/>
  <c r="Z54" i="7"/>
  <c r="Z55" i="7"/>
  <c r="AC55" i="7" s="1"/>
  <c r="Z79" i="7"/>
  <c r="Z82" i="7" s="1"/>
  <c r="AC82" i="7" s="1"/>
  <c r="Z33" i="8"/>
  <c r="Z46" i="8"/>
  <c r="Z51" i="8"/>
  <c r="Z52" i="8" s="1"/>
  <c r="Z75" i="8"/>
  <c r="Z77" i="8" s="1"/>
  <c r="AC77" i="8" s="1"/>
  <c r="Z93" i="8"/>
  <c r="AC93" i="8" s="1"/>
  <c r="Z95" i="8"/>
  <c r="AC95" i="8" s="1"/>
  <c r="Z25" i="9"/>
  <c r="Y29" i="9"/>
  <c r="Z38" i="9"/>
  <c r="Z43" i="9"/>
  <c r="Z68" i="9"/>
  <c r="Z70" i="9" s="1"/>
  <c r="Y11" i="10"/>
  <c r="Y13" i="10"/>
  <c r="Y15" i="10"/>
  <c r="Y30" i="10"/>
  <c r="AB30" i="10" s="1"/>
  <c r="Z36" i="10"/>
  <c r="Z37" i="10"/>
  <c r="Z38" i="10"/>
  <c r="Z40" i="10"/>
  <c r="Z41" i="10"/>
  <c r="Z42" i="10"/>
  <c r="Z43" i="10"/>
  <c r="Z76" i="10"/>
  <c r="Z77" i="10"/>
  <c r="Z79" i="10"/>
  <c r="Z80" i="10"/>
  <c r="Y84" i="10"/>
  <c r="Y85" i="10"/>
  <c r="Y86" i="10"/>
  <c r="Y87" i="10"/>
  <c r="Y88" i="10"/>
  <c r="Y89" i="10"/>
  <c r="Y90" i="10"/>
  <c r="Y101" i="10"/>
  <c r="Y102" i="10"/>
  <c r="Y105" i="10"/>
  <c r="Z105" i="10"/>
  <c r="Y106" i="10"/>
  <c r="Z106" i="10"/>
  <c r="Y107" i="10"/>
  <c r="Z107" i="10"/>
  <c r="Z53" i="3"/>
  <c r="Z62" i="3"/>
  <c r="Z67" i="3"/>
  <c r="AC67" i="3" s="1"/>
  <c r="Z92" i="3"/>
  <c r="AC92" i="3" s="1"/>
  <c r="Y83" i="10"/>
  <c r="Z86" i="9" l="1"/>
  <c r="Z77" i="9"/>
  <c r="Z87" i="8"/>
  <c r="AC87" i="8" s="1"/>
  <c r="Z82" i="8"/>
  <c r="AC82" i="8" s="1"/>
  <c r="Z90" i="8"/>
  <c r="AC90" i="8" s="1"/>
  <c r="Z84" i="8"/>
  <c r="AC84" i="8" s="1"/>
  <c r="Z80" i="8"/>
  <c r="AC80" i="8" s="1"/>
  <c r="Z78" i="8"/>
  <c r="AC78" i="8" s="1"/>
  <c r="Z95" i="7"/>
  <c r="AC95" i="7" s="1"/>
  <c r="Z85" i="7"/>
  <c r="AC85" i="7" s="1"/>
  <c r="Z100" i="7"/>
  <c r="AC100" i="7" s="1"/>
  <c r="Z90" i="7"/>
  <c r="AC90" i="7" s="1"/>
  <c r="Z81" i="7"/>
  <c r="AC81" i="7" s="1"/>
  <c r="Z87" i="7"/>
  <c r="AC87" i="7" s="1"/>
  <c r="Z97" i="7"/>
  <c r="AC97" i="7" s="1"/>
  <c r="Z94" i="7"/>
  <c r="AC94" i="7" s="1"/>
  <c r="Z84" i="7"/>
  <c r="AC84" i="7" s="1"/>
  <c r="Z88" i="7"/>
  <c r="AC88" i="7" s="1"/>
  <c r="Z98" i="7"/>
  <c r="AC98" i="7" s="1"/>
  <c r="Z93" i="7"/>
  <c r="AC93" i="7" s="1"/>
  <c r="Z83" i="7"/>
  <c r="AC83" i="7" s="1"/>
  <c r="AC79" i="7"/>
  <c r="Z99" i="7"/>
  <c r="AC99" i="7" s="1"/>
  <c r="Z86" i="7"/>
  <c r="AC86" i="7" s="1"/>
  <c r="Z91" i="7"/>
  <c r="AC91" i="7" s="1"/>
  <c r="Z73" i="6"/>
  <c r="AC73" i="6" s="1"/>
  <c r="AC68" i="6"/>
  <c r="Z83" i="6"/>
  <c r="AC83" i="6" s="1"/>
  <c r="Z88" i="6"/>
  <c r="AC88" i="6" s="1"/>
  <c r="Z77" i="6"/>
  <c r="AC77" i="6" s="1"/>
  <c r="Z87" i="5"/>
  <c r="AC87" i="5" s="1"/>
  <c r="Z84" i="5"/>
  <c r="AC84" i="5" s="1"/>
  <c r="Z81" i="5"/>
  <c r="AC81" i="5" s="1"/>
  <c r="Z78" i="5"/>
  <c r="AC78" i="5" s="1"/>
  <c r="Z89" i="5"/>
  <c r="AC89" i="5" s="1"/>
  <c r="AC69" i="5"/>
  <c r="Z76" i="5"/>
  <c r="AC76" i="5" s="1"/>
  <c r="Z74" i="5"/>
  <c r="AC74" i="5" s="1"/>
  <c r="Z72" i="5"/>
  <c r="AC72" i="5" s="1"/>
  <c r="Z90" i="4"/>
  <c r="AC90" i="4" s="1"/>
  <c r="Z87" i="4"/>
  <c r="AC87" i="4" s="1"/>
  <c r="Z85" i="4"/>
  <c r="AC85" i="4" s="1"/>
  <c r="Z91" i="4"/>
  <c r="AC91" i="4" s="1"/>
  <c r="Z97" i="4"/>
  <c r="AC97" i="4" s="1"/>
  <c r="AC79" i="4"/>
  <c r="Z83" i="4"/>
  <c r="AC83" i="4" s="1"/>
  <c r="Z95" i="4"/>
  <c r="AC95" i="4" s="1"/>
  <c r="Z81" i="4"/>
  <c r="AC81" i="4" s="1"/>
  <c r="Z94" i="4"/>
  <c r="AC94" i="4" s="1"/>
  <c r="Z93" i="4"/>
  <c r="AC93" i="4" s="1"/>
  <c r="Z85" i="2"/>
  <c r="AC85" i="2" s="1"/>
  <c r="Z83" i="2"/>
  <c r="AC83" i="2" s="1"/>
  <c r="AC71" i="2"/>
  <c r="Z82" i="2"/>
  <c r="AC82" i="2" s="1"/>
  <c r="Z77" i="2"/>
  <c r="AC77" i="2" s="1"/>
  <c r="Z87" i="2"/>
  <c r="AC87" i="2" s="1"/>
  <c r="Z79" i="2"/>
  <c r="AC79" i="2" s="1"/>
  <c r="Z91" i="2"/>
  <c r="AC91" i="2" s="1"/>
  <c r="Z75" i="2"/>
  <c r="AC75" i="2" s="1"/>
  <c r="Z89" i="2"/>
  <c r="AC89" i="2" s="1"/>
  <c r="Z73" i="2"/>
  <c r="AC73" i="2" s="1"/>
  <c r="Z76" i="1"/>
  <c r="AC76" i="1" s="1"/>
  <c r="Z88" i="1"/>
  <c r="AC88" i="1" s="1"/>
  <c r="AC72" i="1"/>
  <c r="Z91" i="1"/>
  <c r="AC91" i="1" s="1"/>
  <c r="Z84" i="1"/>
  <c r="AC84" i="1" s="1"/>
  <c r="Z80" i="1"/>
  <c r="AC80" i="1" s="1"/>
  <c r="Z89" i="9"/>
  <c r="Z82" i="9"/>
  <c r="Z73" i="9"/>
  <c r="AC44" i="5"/>
  <c r="Z55" i="4"/>
  <c r="AC55" i="4" s="1"/>
  <c r="AC49" i="4"/>
  <c r="Z47" i="2"/>
  <c r="AC47" i="2" s="1"/>
  <c r="Z68" i="3"/>
  <c r="AC68" i="3" s="1"/>
  <c r="Z87" i="9"/>
  <c r="Z83" i="9"/>
  <c r="Z79" i="9"/>
  <c r="Z75" i="9"/>
  <c r="Z71" i="9"/>
  <c r="Z44" i="9"/>
  <c r="AC75" i="8"/>
  <c r="Z96" i="8"/>
  <c r="AC96" i="8" s="1"/>
  <c r="Z94" i="8"/>
  <c r="AC94" i="8" s="1"/>
  <c r="Z91" i="8"/>
  <c r="AC91" i="8" s="1"/>
  <c r="Z89" i="8"/>
  <c r="AC89" i="8" s="1"/>
  <c r="Z86" i="8"/>
  <c r="AC86" i="8" s="1"/>
  <c r="Z83" i="8"/>
  <c r="AC83" i="8" s="1"/>
  <c r="Z81" i="8"/>
  <c r="AC81" i="8" s="1"/>
  <c r="Z79" i="8"/>
  <c r="AC79" i="8" s="1"/>
  <c r="Z86" i="6"/>
  <c r="AC86" i="6" s="1"/>
  <c r="Z80" i="6"/>
  <c r="AC80" i="6" s="1"/>
  <c r="Z75" i="6"/>
  <c r="AC75" i="6" s="1"/>
  <c r="Z71" i="6"/>
  <c r="AC71" i="6" s="1"/>
  <c r="Z44" i="6"/>
  <c r="AC44" i="6" s="1"/>
  <c r="Z44" i="10"/>
  <c r="Z90" i="5"/>
  <c r="AC90" i="5" s="1"/>
  <c r="Z88" i="5"/>
  <c r="AC88" i="5" s="1"/>
  <c r="Z85" i="5"/>
  <c r="AC85" i="5" s="1"/>
  <c r="Z83" i="5"/>
  <c r="AC83" i="5" s="1"/>
  <c r="Z80" i="5"/>
  <c r="AC80" i="5" s="1"/>
  <c r="Z77" i="5"/>
  <c r="AC77" i="5" s="1"/>
  <c r="Z75" i="5"/>
  <c r="AC75" i="5" s="1"/>
  <c r="Z73" i="5"/>
  <c r="AC73" i="5" s="1"/>
  <c r="Z39" i="10"/>
  <c r="Z93" i="1"/>
  <c r="AC93" i="1" s="1"/>
  <c r="Z90" i="1"/>
  <c r="AC90" i="1" s="1"/>
  <c r="Z86" i="1"/>
  <c r="AC86" i="1" s="1"/>
  <c r="Z83" i="1"/>
  <c r="AC83" i="1" s="1"/>
  <c r="Z78" i="1"/>
  <c r="AC78" i="1" s="1"/>
  <c r="Z74" i="1"/>
  <c r="AC74" i="1" s="1"/>
  <c r="Z48" i="1"/>
  <c r="AC48" i="1" s="1"/>
  <c r="Y97" i="10"/>
  <c r="Z108" i="3"/>
  <c r="AC108" i="3" s="1"/>
  <c r="Y92" i="10"/>
  <c r="Z103" i="3"/>
  <c r="AC103" i="3" s="1"/>
  <c r="Z95" i="3"/>
  <c r="AC95" i="3" s="1"/>
  <c r="Z97" i="3"/>
  <c r="AC97" i="3" s="1"/>
  <c r="Z99" i="3"/>
  <c r="AC99" i="3" s="1"/>
  <c r="Z101" i="3"/>
  <c r="AC101" i="3" s="1"/>
  <c r="Z113" i="3"/>
  <c r="AC113" i="3" s="1"/>
  <c r="Z81" i="10"/>
  <c r="Z83" i="10" s="1"/>
  <c r="Z112" i="3"/>
  <c r="AC112" i="3" s="1"/>
  <c r="Y99" i="10"/>
  <c r="Z110" i="3"/>
  <c r="AC110" i="3" s="1"/>
  <c r="Y96" i="10"/>
  <c r="Z107" i="3"/>
  <c r="AC107" i="3" s="1"/>
  <c r="Y93" i="10"/>
  <c r="Z104" i="3"/>
  <c r="AC104" i="3" s="1"/>
  <c r="Z100" i="3"/>
  <c r="AC100" i="3" s="1"/>
  <c r="Z96" i="3"/>
  <c r="AC96" i="3" s="1"/>
  <c r="Y100" i="10"/>
  <c r="Z111" i="3"/>
  <c r="AC111" i="3" s="1"/>
  <c r="Y95" i="10"/>
  <c r="Z106" i="3"/>
  <c r="AC106" i="3" s="1"/>
  <c r="Z98" i="3"/>
  <c r="AC98" i="3" s="1"/>
  <c r="Z94" i="3"/>
  <c r="AC94" i="3" s="1"/>
  <c r="Z88" i="9"/>
  <c r="Z84" i="9"/>
  <c r="Z80" i="9"/>
  <c r="Z76" i="9"/>
  <c r="Z74" i="9"/>
  <c r="Z72" i="9"/>
  <c r="Z89" i="6"/>
  <c r="AC89" i="6" s="1"/>
  <c r="Z87" i="6"/>
  <c r="AC87" i="6" s="1"/>
  <c r="Z84" i="6"/>
  <c r="AC84" i="6" s="1"/>
  <c r="Z82" i="6"/>
  <c r="AC82" i="6" s="1"/>
  <c r="Z79" i="6"/>
  <c r="AC79" i="6" s="1"/>
  <c r="Z76" i="6"/>
  <c r="AC76" i="6" s="1"/>
  <c r="Z74" i="6"/>
  <c r="AC74" i="6" s="1"/>
  <c r="Z72" i="6"/>
  <c r="AC72" i="6" s="1"/>
  <c r="Z100" i="4"/>
  <c r="AC100" i="4" s="1"/>
  <c r="Z98" i="4"/>
  <c r="AC98" i="4" s="1"/>
  <c r="Z88" i="4"/>
  <c r="AC88" i="4" s="1"/>
  <c r="Z86" i="4"/>
  <c r="AC86" i="4" s="1"/>
  <c r="Z84" i="4"/>
  <c r="AC84" i="4" s="1"/>
  <c r="Z92" i="2"/>
  <c r="AC92" i="2" s="1"/>
  <c r="Z90" i="2"/>
  <c r="AC90" i="2" s="1"/>
  <c r="Z86" i="2"/>
  <c r="AC86" i="2" s="1"/>
  <c r="Z80" i="2"/>
  <c r="AC80" i="2" s="1"/>
  <c r="Z78" i="2"/>
  <c r="AC78" i="2" s="1"/>
  <c r="Z76" i="2"/>
  <c r="AC76" i="2" s="1"/>
  <c r="Z92" i="1"/>
  <c r="AC92" i="1" s="1"/>
  <c r="Z87" i="1"/>
  <c r="AC87" i="1" s="1"/>
  <c r="Z81" i="1"/>
  <c r="AC81" i="1" s="1"/>
  <c r="Z79" i="1"/>
  <c r="AC79" i="1" s="1"/>
  <c r="Z77" i="1"/>
  <c r="AC77" i="1" s="1"/>
  <c r="Z99" i="10" l="1"/>
  <c r="Z93" i="10"/>
  <c r="Z96" i="10"/>
  <c r="Z45" i="10"/>
  <c r="Z47" i="10" s="1"/>
  <c r="Z48" i="10" s="1"/>
  <c r="Z95" i="10"/>
  <c r="Z100" i="10"/>
  <c r="Z92" i="10"/>
  <c r="Z84" i="10"/>
  <c r="Z85" i="10"/>
  <c r="Z86" i="10"/>
  <c r="Z87" i="10"/>
  <c r="Z88" i="10"/>
  <c r="Z89" i="10"/>
  <c r="Z90" i="10"/>
  <c r="Z101" i="10"/>
  <c r="Z102" i="10"/>
  <c r="Z97" i="10"/>
  <c r="W107" i="10"/>
  <c r="W106" i="10"/>
  <c r="W111" i="3" l="1"/>
  <c r="W110" i="3"/>
  <c r="W108" i="3"/>
  <c r="W107" i="3"/>
  <c r="W106" i="3"/>
  <c r="W104" i="3"/>
  <c r="W103" i="3"/>
  <c r="W94" i="3"/>
  <c r="X90" i="3"/>
  <c r="W97" i="4"/>
  <c r="W95" i="4"/>
  <c r="W93" i="4"/>
  <c r="W81" i="4"/>
  <c r="W91" i="4"/>
  <c r="W90" i="4"/>
  <c r="X74" i="4"/>
  <c r="W86" i="9"/>
  <c r="W82" i="9"/>
  <c r="W79" i="9"/>
  <c r="W97" i="7"/>
  <c r="W95" i="7"/>
  <c r="W93" i="7"/>
  <c r="W90" i="7"/>
  <c r="W81" i="7"/>
  <c r="W89" i="2"/>
  <c r="W85" i="2"/>
  <c r="W82" i="2"/>
  <c r="W73" i="2"/>
  <c r="W90" i="1"/>
  <c r="W88" i="1"/>
  <c r="W86" i="1"/>
  <c r="W83" i="1"/>
  <c r="W74" i="1"/>
  <c r="V80" i="3" l="1"/>
  <c r="V69" i="10"/>
  <c r="V66" i="4"/>
  <c r="V68" i="10" s="1"/>
  <c r="T71" i="3" l="1"/>
  <c r="V71" i="3" l="1"/>
  <c r="V53" i="10" l="1"/>
  <c r="V70" i="3"/>
  <c r="V51" i="10" s="1"/>
  <c r="V52" i="10" l="1"/>
  <c r="V56" i="10" s="1"/>
  <c r="V64" i="10" l="1"/>
  <c r="U64" i="10"/>
  <c r="V60" i="10"/>
  <c r="U60" i="10"/>
  <c r="V76" i="3"/>
  <c r="U76" i="3"/>
  <c r="V74" i="3"/>
  <c r="U74" i="3"/>
  <c r="S60" i="10"/>
  <c r="T60" i="10"/>
  <c r="U63" i="4"/>
  <c r="U61" i="4"/>
  <c r="U63" i="10" l="1"/>
  <c r="V63" i="10"/>
  <c r="V59" i="10"/>
  <c r="U59" i="10"/>
  <c r="V65" i="10" l="1"/>
  <c r="U61" i="10"/>
  <c r="V61" i="10"/>
  <c r="U65" i="10"/>
  <c r="W36" i="3"/>
  <c r="W16" i="10"/>
  <c r="W12" i="10"/>
  <c r="V123" i="10" l="1"/>
  <c r="V122" i="10"/>
  <c r="V119" i="10"/>
  <c r="V120" i="10" s="1"/>
  <c r="V114" i="10"/>
  <c r="V115" i="10" s="1"/>
  <c r="V111" i="9"/>
  <c r="V109" i="9"/>
  <c r="V107" i="9"/>
  <c r="V102" i="9"/>
  <c r="V116" i="8"/>
  <c r="V114" i="8"/>
  <c r="V119" i="8" s="1"/>
  <c r="V109" i="8"/>
  <c r="V122" i="7"/>
  <c r="V120" i="7"/>
  <c r="V118" i="7"/>
  <c r="V117" i="7"/>
  <c r="V113" i="7"/>
  <c r="V112" i="7"/>
  <c r="V109" i="6"/>
  <c r="V107" i="6"/>
  <c r="V102" i="6"/>
  <c r="V110" i="5"/>
  <c r="V107" i="5"/>
  <c r="V112" i="5" s="1"/>
  <c r="V103" i="5"/>
  <c r="V121" i="4"/>
  <c r="V120" i="4"/>
  <c r="V117" i="4"/>
  <c r="V118" i="4"/>
  <c r="V112" i="4"/>
  <c r="V113" i="4" s="1"/>
  <c r="V114" i="2"/>
  <c r="V113" i="2"/>
  <c r="V112" i="2"/>
  <c r="V110" i="2"/>
  <c r="V115" i="2" s="1"/>
  <c r="V105" i="2"/>
  <c r="V113" i="1"/>
  <c r="V110" i="1"/>
  <c r="V115" i="1" s="1"/>
  <c r="V109" i="1"/>
  <c r="V114" i="1" s="1"/>
  <c r="V105" i="1"/>
  <c r="V106" i="1" s="1"/>
  <c r="V125" i="3"/>
  <c r="V111" i="1" l="1"/>
  <c r="V123" i="4"/>
  <c r="V122" i="4"/>
  <c r="V123" i="7"/>
  <c r="V108" i="5"/>
  <c r="V113" i="5" s="1"/>
  <c r="V112" i="6"/>
  <c r="V124" i="10"/>
  <c r="V125" i="10"/>
  <c r="V112" i="9"/>
  <c r="V116" i="1"/>
  <c r="V135" i="3"/>
  <c r="V128" i="3"/>
  <c r="V133" i="3" s="1"/>
  <c r="V126" i="3"/>
  <c r="V136" i="3" l="1"/>
  <c r="V131" i="3"/>
  <c r="V13" i="10"/>
  <c r="V12" i="10"/>
  <c r="V16" i="10" l="1"/>
  <c r="V15" i="10"/>
  <c r="V14" i="10"/>
  <c r="V10" i="10"/>
  <c r="W10" i="10"/>
  <c r="W11" i="10"/>
  <c r="W13" i="10"/>
  <c r="W14" i="10"/>
  <c r="W15" i="10"/>
  <c r="X22" i="10"/>
  <c r="X23" i="10"/>
  <c r="X24" i="10"/>
  <c r="X25" i="10"/>
  <c r="W30" i="10"/>
  <c r="X36" i="10"/>
  <c r="X37" i="10"/>
  <c r="X38" i="10"/>
  <c r="X40" i="10"/>
  <c r="X41" i="10"/>
  <c r="X42" i="10"/>
  <c r="X43" i="10"/>
  <c r="X76" i="10"/>
  <c r="X77" i="10"/>
  <c r="X79" i="10"/>
  <c r="X80" i="10"/>
  <c r="W83" i="10"/>
  <c r="W84" i="10"/>
  <c r="W85" i="10"/>
  <c r="W86" i="10"/>
  <c r="W87" i="10"/>
  <c r="W88" i="10"/>
  <c r="W89" i="10"/>
  <c r="W90" i="10"/>
  <c r="W92" i="10"/>
  <c r="W93" i="10"/>
  <c r="W95" i="10"/>
  <c r="W96" i="10"/>
  <c r="W97" i="10"/>
  <c r="W99" i="10"/>
  <c r="W100" i="10"/>
  <c r="W101" i="10"/>
  <c r="W102" i="10"/>
  <c r="W105" i="10"/>
  <c r="X105" i="10"/>
  <c r="X106" i="10"/>
  <c r="X107" i="10"/>
  <c r="X25" i="9"/>
  <c r="W29" i="9"/>
  <c r="X38" i="9"/>
  <c r="X43" i="9"/>
  <c r="X68" i="9"/>
  <c r="X84" i="9" s="1"/>
  <c r="X33" i="8"/>
  <c r="AC33" i="8" s="1"/>
  <c r="W37" i="8"/>
  <c r="X46" i="8"/>
  <c r="X51" i="8"/>
  <c r="X75" i="8"/>
  <c r="X36" i="7"/>
  <c r="AC36" i="7" s="1"/>
  <c r="W40" i="7"/>
  <c r="X49" i="7"/>
  <c r="X54" i="7"/>
  <c r="X79" i="7"/>
  <c r="X95" i="7"/>
  <c r="X25" i="6"/>
  <c r="AC25" i="6" s="1"/>
  <c r="W29" i="6"/>
  <c r="X38" i="6"/>
  <c r="X43" i="6"/>
  <c r="X68" i="6"/>
  <c r="X84" i="6"/>
  <c r="X26" i="5"/>
  <c r="AC26" i="5" s="1"/>
  <c r="W30" i="5"/>
  <c r="X39" i="5"/>
  <c r="X44" i="5"/>
  <c r="X69" i="5"/>
  <c r="X36" i="4"/>
  <c r="AC36" i="4" s="1"/>
  <c r="W40" i="4"/>
  <c r="X49" i="4"/>
  <c r="X54" i="4"/>
  <c r="X79" i="4"/>
  <c r="X95" i="4" s="1"/>
  <c r="X28" i="2"/>
  <c r="AC28" i="2" s="1"/>
  <c r="W32" i="2"/>
  <c r="X41" i="2"/>
  <c r="X46" i="2"/>
  <c r="X71" i="2"/>
  <c r="X75" i="2" s="1"/>
  <c r="AB29" i="3"/>
  <c r="AB28" i="3"/>
  <c r="X29" i="1"/>
  <c r="X33" i="1"/>
  <c r="X42" i="1"/>
  <c r="X47" i="1"/>
  <c r="X72" i="1"/>
  <c r="W41" i="3"/>
  <c r="X53" i="3"/>
  <c r="AC53" i="3" s="1"/>
  <c r="X62" i="3"/>
  <c r="X67" i="3"/>
  <c r="X92" i="3"/>
  <c r="V25" i="10"/>
  <c r="V24" i="10"/>
  <c r="V23" i="10"/>
  <c r="V22" i="10"/>
  <c r="V25" i="9"/>
  <c r="V33" i="8"/>
  <c r="V36" i="7"/>
  <c r="V25" i="6"/>
  <c r="V26" i="5"/>
  <c r="V36" i="4"/>
  <c r="V28" i="2"/>
  <c r="V29" i="1"/>
  <c r="V53" i="3"/>
  <c r="T55" i="10"/>
  <c r="T54" i="10"/>
  <c r="T70" i="3"/>
  <c r="T51" i="10" s="1"/>
  <c r="V107" i="10"/>
  <c r="U107" i="10"/>
  <c r="V106" i="10"/>
  <c r="U106" i="10"/>
  <c r="V105" i="10"/>
  <c r="U105" i="10"/>
  <c r="U102" i="10"/>
  <c r="U101" i="10"/>
  <c r="U100" i="10"/>
  <c r="U99" i="10"/>
  <c r="U97" i="10"/>
  <c r="U96" i="10"/>
  <c r="U95" i="10"/>
  <c r="U93" i="10"/>
  <c r="U92" i="10"/>
  <c r="U90" i="10"/>
  <c r="U89" i="10"/>
  <c r="U88" i="10"/>
  <c r="U87" i="10"/>
  <c r="U86" i="10"/>
  <c r="U85" i="10"/>
  <c r="U84" i="10"/>
  <c r="U83" i="10"/>
  <c r="V80" i="10"/>
  <c r="V79" i="10"/>
  <c r="V77" i="10"/>
  <c r="V76" i="10"/>
  <c r="T47" i="9"/>
  <c r="T55" i="8"/>
  <c r="T58" i="7"/>
  <c r="T47" i="6"/>
  <c r="T48" i="5"/>
  <c r="T58" i="4"/>
  <c r="T50" i="2"/>
  <c r="T51" i="1"/>
  <c r="T64" i="10"/>
  <c r="S64" i="10"/>
  <c r="S76" i="3"/>
  <c r="T76" i="3"/>
  <c r="T59" i="10"/>
  <c r="S59" i="10"/>
  <c r="T66" i="4"/>
  <c r="U14" i="10"/>
  <c r="U10" i="10"/>
  <c r="U11" i="10"/>
  <c r="U12" i="10"/>
  <c r="U13" i="10"/>
  <c r="U15" i="10"/>
  <c r="U16" i="10"/>
  <c r="AB16" i="10" s="1"/>
  <c r="V37" i="10"/>
  <c r="V38" i="10"/>
  <c r="V40" i="10"/>
  <c r="V41" i="10"/>
  <c r="V42" i="10"/>
  <c r="V43" i="10"/>
  <c r="V36" i="10"/>
  <c r="V33" i="1"/>
  <c r="V42" i="1"/>
  <c r="V47" i="1"/>
  <c r="V48" i="1"/>
  <c r="V72" i="1"/>
  <c r="V75" i="1"/>
  <c r="V86" i="1"/>
  <c r="V87" i="1"/>
  <c r="V88" i="1"/>
  <c r="V90" i="1"/>
  <c r="V91" i="1"/>
  <c r="V92" i="1"/>
  <c r="V93" i="1"/>
  <c r="U32" i="2"/>
  <c r="V41" i="2"/>
  <c r="V46" i="2"/>
  <c r="V47" i="2" s="1"/>
  <c r="V71" i="2"/>
  <c r="V87" i="2"/>
  <c r="V92" i="2"/>
  <c r="U40" i="4"/>
  <c r="V49" i="4"/>
  <c r="V54" i="4"/>
  <c r="V55" i="4" s="1"/>
  <c r="V79" i="4"/>
  <c r="V94" i="4"/>
  <c r="V99" i="4"/>
  <c r="U30" i="5"/>
  <c r="V39" i="5"/>
  <c r="V44" i="5"/>
  <c r="V45" i="5"/>
  <c r="V69" i="5"/>
  <c r="V77" i="5"/>
  <c r="V83" i="5"/>
  <c r="V88" i="5"/>
  <c r="U29" i="6"/>
  <c r="V38" i="6"/>
  <c r="V43" i="6"/>
  <c r="V44" i="6"/>
  <c r="V68" i="6"/>
  <c r="V75" i="6"/>
  <c r="V77" i="6"/>
  <c r="V80" i="6"/>
  <c r="V82" i="6"/>
  <c r="V83" i="6"/>
  <c r="V84" i="6"/>
  <c r="V86" i="6"/>
  <c r="V87" i="6"/>
  <c r="V88" i="6"/>
  <c r="V89" i="6"/>
  <c r="U40" i="7"/>
  <c r="V49" i="7"/>
  <c r="V54" i="7"/>
  <c r="V55" i="7" s="1"/>
  <c r="V79" i="7"/>
  <c r="V98" i="7"/>
  <c r="U37" i="8"/>
  <c r="V46" i="8"/>
  <c r="V51" i="8"/>
  <c r="V75" i="8"/>
  <c r="V77" i="8" s="1"/>
  <c r="U29" i="9"/>
  <c r="V38" i="9"/>
  <c r="V43" i="9"/>
  <c r="V44" i="9" s="1"/>
  <c r="V68" i="9"/>
  <c r="V73" i="9" s="1"/>
  <c r="V74" i="9"/>
  <c r="V76" i="9"/>
  <c r="V79" i="9"/>
  <c r="V82" i="9"/>
  <c r="V84" i="9"/>
  <c r="V87" i="9"/>
  <c r="U41" i="3"/>
  <c r="V62" i="3"/>
  <c r="V67" i="3"/>
  <c r="V68" i="3"/>
  <c r="V92" i="3"/>
  <c r="V94" i="3"/>
  <c r="V104" i="3"/>
  <c r="V106" i="3"/>
  <c r="V107" i="3"/>
  <c r="V108" i="3"/>
  <c r="V110" i="3"/>
  <c r="V111" i="3"/>
  <c r="V112" i="3"/>
  <c r="V113" i="3"/>
  <c r="U30" i="10"/>
  <c r="R33" i="1"/>
  <c r="P33" i="1"/>
  <c r="N33" i="1"/>
  <c r="L33" i="1"/>
  <c r="T33" i="1"/>
  <c r="R16" i="10"/>
  <c r="T68" i="6"/>
  <c r="S86" i="9"/>
  <c r="AB86" i="9" s="1"/>
  <c r="S84" i="9"/>
  <c r="AB84" i="9" s="1"/>
  <c r="S83" i="9"/>
  <c r="AB83" i="9" s="1"/>
  <c r="S82" i="9"/>
  <c r="AB82" i="9" s="1"/>
  <c r="S80" i="9"/>
  <c r="AB80" i="9" s="1"/>
  <c r="S79" i="9"/>
  <c r="AB79" i="9" s="1"/>
  <c r="S75" i="9"/>
  <c r="AB75" i="9" s="1"/>
  <c r="S74" i="9"/>
  <c r="AB74" i="9" s="1"/>
  <c r="S70" i="9"/>
  <c r="AB70" i="9" s="1"/>
  <c r="S88" i="9"/>
  <c r="AB88" i="9" s="1"/>
  <c r="S87" i="9"/>
  <c r="AB87" i="9" s="1"/>
  <c r="S77" i="9"/>
  <c r="AB77" i="9" s="1"/>
  <c r="S76" i="9"/>
  <c r="AB76" i="9" s="1"/>
  <c r="S73" i="9"/>
  <c r="AB73" i="9" s="1"/>
  <c r="S72" i="9"/>
  <c r="AB72" i="9" s="1"/>
  <c r="S71" i="9"/>
  <c r="AB71" i="9" s="1"/>
  <c r="Q93" i="8"/>
  <c r="Q89" i="8"/>
  <c r="Q95" i="10" s="1"/>
  <c r="Q86" i="8"/>
  <c r="Q84" i="8"/>
  <c r="Q91" i="8"/>
  <c r="Q90" i="8"/>
  <c r="Q83" i="8"/>
  <c r="Q77" i="8"/>
  <c r="S94" i="8"/>
  <c r="S93" i="8"/>
  <c r="S91" i="8"/>
  <c r="S90" i="8"/>
  <c r="S89" i="8"/>
  <c r="S87" i="8"/>
  <c r="S86" i="8"/>
  <c r="S84" i="8"/>
  <c r="S81" i="8"/>
  <c r="S77" i="8"/>
  <c r="S96" i="8"/>
  <c r="S95" i="8"/>
  <c r="S83" i="8"/>
  <c r="S82" i="8"/>
  <c r="S80" i="8"/>
  <c r="S79" i="8"/>
  <c r="S78" i="8"/>
  <c r="S99" i="7"/>
  <c r="S97" i="7"/>
  <c r="S95" i="7"/>
  <c r="S93" i="7"/>
  <c r="S90" i="7"/>
  <c r="S81" i="7"/>
  <c r="S100" i="7"/>
  <c r="S98" i="7"/>
  <c r="S94" i="7"/>
  <c r="S91" i="7"/>
  <c r="S88" i="7"/>
  <c r="S87" i="7"/>
  <c r="S86" i="7"/>
  <c r="S85" i="7"/>
  <c r="S84" i="7"/>
  <c r="S83" i="7"/>
  <c r="S82" i="7"/>
  <c r="S89" i="6"/>
  <c r="S88" i="6"/>
  <c r="S87" i="6"/>
  <c r="S86" i="6"/>
  <c r="S84" i="6"/>
  <c r="S83" i="6"/>
  <c r="S82" i="6"/>
  <c r="S80" i="6"/>
  <c r="S79" i="6"/>
  <c r="S77" i="6"/>
  <c r="S76" i="6"/>
  <c r="S75" i="6"/>
  <c r="S74" i="6"/>
  <c r="S73" i="6"/>
  <c r="S72" i="6"/>
  <c r="S71" i="6"/>
  <c r="S70" i="6"/>
  <c r="S87" i="5"/>
  <c r="S85" i="5"/>
  <c r="S84" i="5"/>
  <c r="S83" i="5"/>
  <c r="S80" i="5"/>
  <c r="S71" i="5"/>
  <c r="S90" i="5"/>
  <c r="S88" i="5"/>
  <c r="S81" i="5"/>
  <c r="S78" i="5"/>
  <c r="S77" i="5"/>
  <c r="S76" i="5"/>
  <c r="S75" i="5"/>
  <c r="S74" i="5"/>
  <c r="S73" i="5"/>
  <c r="S72" i="5"/>
  <c r="S100" i="4"/>
  <c r="S99" i="4"/>
  <c r="S98" i="4"/>
  <c r="S97" i="4"/>
  <c r="S95" i="4"/>
  <c r="S94" i="4"/>
  <c r="S93" i="4"/>
  <c r="S91" i="4"/>
  <c r="S90" i="4"/>
  <c r="S88" i="4"/>
  <c r="S87" i="4"/>
  <c r="S86" i="4"/>
  <c r="S85" i="4"/>
  <c r="S84" i="4"/>
  <c r="S83" i="4"/>
  <c r="S82" i="4"/>
  <c r="S81" i="4"/>
  <c r="S92" i="2"/>
  <c r="S91" i="2"/>
  <c r="S90" i="2"/>
  <c r="S89" i="2"/>
  <c r="S87" i="2"/>
  <c r="S86" i="2"/>
  <c r="S85" i="2"/>
  <c r="S83" i="2"/>
  <c r="S82" i="2"/>
  <c r="S80" i="2"/>
  <c r="S79" i="2"/>
  <c r="S78" i="2"/>
  <c r="S77" i="2"/>
  <c r="S76" i="2"/>
  <c r="S75" i="2"/>
  <c r="S74" i="2"/>
  <c r="S73" i="2"/>
  <c r="S90" i="1"/>
  <c r="S88" i="1"/>
  <c r="S86" i="1"/>
  <c r="S83" i="1"/>
  <c r="S74" i="1"/>
  <c r="S93" i="1"/>
  <c r="S92" i="1"/>
  <c r="S91" i="1"/>
  <c r="S87" i="1"/>
  <c r="S84" i="1"/>
  <c r="S81" i="1"/>
  <c r="S80" i="1"/>
  <c r="S79" i="1"/>
  <c r="S78" i="1"/>
  <c r="S77" i="1"/>
  <c r="S76" i="1"/>
  <c r="S75" i="1"/>
  <c r="T68" i="9"/>
  <c r="T89" i="9" s="1"/>
  <c r="T87" i="9"/>
  <c r="T83" i="9"/>
  <c r="T76" i="9"/>
  <c r="T74" i="9"/>
  <c r="T70" i="9"/>
  <c r="T75" i="8"/>
  <c r="T96" i="8"/>
  <c r="T94" i="8"/>
  <c r="T91" i="8"/>
  <c r="T89" i="8"/>
  <c r="T86" i="8"/>
  <c r="T83" i="8"/>
  <c r="T81" i="8"/>
  <c r="T80" i="8"/>
  <c r="T79" i="8"/>
  <c r="T78" i="8"/>
  <c r="T77" i="8"/>
  <c r="T79" i="7"/>
  <c r="T100" i="7"/>
  <c r="T98" i="7"/>
  <c r="T97" i="7"/>
  <c r="T95" i="7"/>
  <c r="T93" i="7"/>
  <c r="T91" i="7"/>
  <c r="T90" i="7"/>
  <c r="T87" i="7"/>
  <c r="T85" i="7"/>
  <c r="T83" i="7"/>
  <c r="T81" i="7"/>
  <c r="T88" i="6"/>
  <c r="T86" i="6"/>
  <c r="T83" i="6"/>
  <c r="T80" i="6"/>
  <c r="T77" i="6"/>
  <c r="T75" i="6"/>
  <c r="T73" i="6"/>
  <c r="T71" i="6"/>
  <c r="T69" i="5"/>
  <c r="T75" i="5"/>
  <c r="T79" i="4"/>
  <c r="T100" i="4"/>
  <c r="T99" i="4"/>
  <c r="T97" i="4"/>
  <c r="T94" i="4"/>
  <c r="T91" i="4"/>
  <c r="T88" i="4"/>
  <c r="T86" i="4"/>
  <c r="T84" i="4"/>
  <c r="T83" i="4"/>
  <c r="T82" i="4"/>
  <c r="T81" i="4"/>
  <c r="T71" i="2"/>
  <c r="T92" i="2"/>
  <c r="T86" i="2"/>
  <c r="T77" i="2"/>
  <c r="T75" i="2"/>
  <c r="T74" i="2"/>
  <c r="T73" i="2"/>
  <c r="T72" i="1"/>
  <c r="T87" i="1"/>
  <c r="T78" i="1"/>
  <c r="T74" i="1"/>
  <c r="R64" i="10"/>
  <c r="Q64" i="10"/>
  <c r="R60" i="10"/>
  <c r="Q60" i="10"/>
  <c r="R76" i="3"/>
  <c r="R74" i="3"/>
  <c r="Q63" i="10"/>
  <c r="Q65" i="10" s="1"/>
  <c r="R63" i="10"/>
  <c r="R65" i="10" s="1"/>
  <c r="Q59" i="10"/>
  <c r="Q61" i="10" s="1"/>
  <c r="T43" i="9"/>
  <c r="T38" i="9"/>
  <c r="T44" i="9" s="1"/>
  <c r="T51" i="8"/>
  <c r="R51" i="8"/>
  <c r="T46" i="8"/>
  <c r="T54" i="7"/>
  <c r="T49" i="7"/>
  <c r="T43" i="6"/>
  <c r="T38" i="6"/>
  <c r="T44" i="6"/>
  <c r="T44" i="5"/>
  <c r="T39" i="5"/>
  <c r="T45" i="5" s="1"/>
  <c r="T54" i="4"/>
  <c r="T49" i="4"/>
  <c r="T55" i="4" s="1"/>
  <c r="T46" i="2"/>
  <c r="T41" i="2"/>
  <c r="T47" i="1"/>
  <c r="T42" i="1"/>
  <c r="T48" i="1"/>
  <c r="S30" i="10"/>
  <c r="M16" i="10"/>
  <c r="K16" i="10"/>
  <c r="S16" i="10"/>
  <c r="Q16" i="10"/>
  <c r="O16" i="10"/>
  <c r="M15" i="10"/>
  <c r="K15" i="10"/>
  <c r="S15" i="10"/>
  <c r="Q15" i="10"/>
  <c r="O15" i="10"/>
  <c r="M14" i="10"/>
  <c r="K14" i="10"/>
  <c r="S14" i="10"/>
  <c r="Q14" i="10"/>
  <c r="O14" i="10"/>
  <c r="M13" i="10"/>
  <c r="K13" i="10"/>
  <c r="S13" i="10"/>
  <c r="Q13" i="10"/>
  <c r="O13" i="10"/>
  <c r="M12" i="10"/>
  <c r="K12" i="10"/>
  <c r="S12" i="10"/>
  <c r="O12" i="10"/>
  <c r="M11" i="10"/>
  <c r="K11" i="10"/>
  <c r="S11" i="10"/>
  <c r="Q11" i="10"/>
  <c r="O11" i="10"/>
  <c r="S10" i="10"/>
  <c r="K10" i="10"/>
  <c r="Q10" i="10"/>
  <c r="T10" i="10"/>
  <c r="T12" i="10"/>
  <c r="T13" i="10"/>
  <c r="T14" i="10"/>
  <c r="T15" i="10"/>
  <c r="T16" i="10"/>
  <c r="T22" i="10"/>
  <c r="T23" i="10"/>
  <c r="T24" i="10"/>
  <c r="T25" i="10"/>
  <c r="T36" i="10"/>
  <c r="T37" i="10"/>
  <c r="T38" i="10"/>
  <c r="T41" i="10"/>
  <c r="T42" i="10"/>
  <c r="T43" i="10"/>
  <c r="T44" i="10" s="1"/>
  <c r="T68" i="10"/>
  <c r="T69" i="10"/>
  <c r="T76" i="10"/>
  <c r="T77" i="10"/>
  <c r="T79" i="10"/>
  <c r="T80" i="10"/>
  <c r="S85" i="10"/>
  <c r="S95" i="10"/>
  <c r="S102" i="10"/>
  <c r="S105" i="10"/>
  <c r="T105" i="10"/>
  <c r="S106" i="10"/>
  <c r="T106" i="10"/>
  <c r="S107" i="10"/>
  <c r="T107" i="10"/>
  <c r="S29" i="9"/>
  <c r="T25" i="9"/>
  <c r="S37" i="8"/>
  <c r="T33" i="8"/>
  <c r="T52" i="8"/>
  <c r="S40" i="7"/>
  <c r="T36" i="7"/>
  <c r="S29" i="6"/>
  <c r="T25" i="6"/>
  <c r="S30" i="5"/>
  <c r="T26" i="5"/>
  <c r="S40" i="4"/>
  <c r="T36" i="4"/>
  <c r="S32" i="2"/>
  <c r="T28" i="2"/>
  <c r="T29" i="1"/>
  <c r="S41" i="3"/>
  <c r="T53" i="3"/>
  <c r="T62" i="3"/>
  <c r="T67" i="3"/>
  <c r="T92" i="3"/>
  <c r="T112" i="3" s="1"/>
  <c r="R55" i="10"/>
  <c r="R47" i="9"/>
  <c r="R55" i="8"/>
  <c r="R58" i="7"/>
  <c r="R47" i="6"/>
  <c r="R48" i="5"/>
  <c r="R58" i="4"/>
  <c r="R50" i="2"/>
  <c r="R51" i="1"/>
  <c r="R71" i="3"/>
  <c r="R54" i="10"/>
  <c r="R66" i="4"/>
  <c r="R70" i="3"/>
  <c r="R51" i="10" s="1"/>
  <c r="R79" i="3"/>
  <c r="R68" i="10" s="1"/>
  <c r="R80" i="3"/>
  <c r="R69" i="10" s="1"/>
  <c r="I118" i="10"/>
  <c r="I117" i="10"/>
  <c r="I112" i="10"/>
  <c r="I110" i="10"/>
  <c r="I136" i="3"/>
  <c r="I133" i="3"/>
  <c r="R25" i="9"/>
  <c r="J125" i="10"/>
  <c r="J124" i="10"/>
  <c r="J123" i="10"/>
  <c r="J122" i="10"/>
  <c r="L47" i="9"/>
  <c r="L71" i="3"/>
  <c r="J58" i="7"/>
  <c r="H54" i="10"/>
  <c r="J71" i="3"/>
  <c r="H71" i="3"/>
  <c r="H53" i="10" s="1"/>
  <c r="H55" i="10"/>
  <c r="H70" i="3"/>
  <c r="J70" i="3"/>
  <c r="J51" i="10" s="1"/>
  <c r="L70" i="3"/>
  <c r="N70" i="3"/>
  <c r="P70" i="3"/>
  <c r="P54" i="10"/>
  <c r="P55" i="10"/>
  <c r="P71" i="3"/>
  <c r="P47" i="9"/>
  <c r="P55" i="8"/>
  <c r="P58" i="7"/>
  <c r="P47" i="6"/>
  <c r="P48" i="5"/>
  <c r="P50" i="2"/>
  <c r="P51" i="1"/>
  <c r="P58" i="4"/>
  <c r="P66" i="4"/>
  <c r="P80" i="3"/>
  <c r="P69" i="10" s="1"/>
  <c r="P79" i="3"/>
  <c r="P68" i="10" s="1"/>
  <c r="L79" i="3"/>
  <c r="J79" i="3"/>
  <c r="H79" i="3"/>
  <c r="Q89" i="10"/>
  <c r="P76" i="3"/>
  <c r="P63" i="10" s="1"/>
  <c r="P65" i="10" s="1"/>
  <c r="P64" i="10"/>
  <c r="P60" i="10"/>
  <c r="O59" i="10"/>
  <c r="O61" i="10" s="1"/>
  <c r="P59" i="10"/>
  <c r="P61" i="10" s="1"/>
  <c r="O63" i="10"/>
  <c r="O65" i="10" s="1"/>
  <c r="J33" i="1"/>
  <c r="G41" i="3"/>
  <c r="I41" i="3"/>
  <c r="K41" i="3"/>
  <c r="M41" i="3"/>
  <c r="O41" i="3"/>
  <c r="E41" i="3"/>
  <c r="C41" i="3"/>
  <c r="Q30" i="10"/>
  <c r="P118" i="10"/>
  <c r="P117" i="10"/>
  <c r="P112" i="10"/>
  <c r="P113" i="10"/>
  <c r="P114" i="10"/>
  <c r="P110" i="10"/>
  <c r="P118" i="8"/>
  <c r="P111" i="9"/>
  <c r="P109" i="9"/>
  <c r="P107" i="9"/>
  <c r="P102" i="9"/>
  <c r="P117" i="8"/>
  <c r="P116" i="8"/>
  <c r="P114" i="8"/>
  <c r="P109" i="8"/>
  <c r="P119" i="8"/>
  <c r="P122" i="7"/>
  <c r="P121" i="7"/>
  <c r="P120" i="7"/>
  <c r="P118" i="7"/>
  <c r="P123" i="7" s="1"/>
  <c r="P113" i="7"/>
  <c r="P111" i="6"/>
  <c r="P110" i="6"/>
  <c r="P109" i="6"/>
  <c r="P107" i="6"/>
  <c r="P102" i="6"/>
  <c r="P112" i="6" s="1"/>
  <c r="P112" i="5"/>
  <c r="P110" i="5"/>
  <c r="P108" i="5"/>
  <c r="P103" i="5"/>
  <c r="P113" i="5" s="1"/>
  <c r="P122" i="4"/>
  <c r="P121" i="4"/>
  <c r="P120" i="4"/>
  <c r="P118" i="4"/>
  <c r="P113" i="4"/>
  <c r="P110" i="1"/>
  <c r="B113" i="9"/>
  <c r="B116" i="2"/>
  <c r="B124" i="4"/>
  <c r="B114" i="5"/>
  <c r="B113" i="6"/>
  <c r="B124" i="7"/>
  <c r="B120" i="8"/>
  <c r="P114" i="2"/>
  <c r="P113" i="2"/>
  <c r="P112" i="2"/>
  <c r="P110" i="2"/>
  <c r="P105" i="2"/>
  <c r="P115" i="2" s="1"/>
  <c r="B117" i="1"/>
  <c r="P115" i="1"/>
  <c r="P114" i="1"/>
  <c r="P113" i="1"/>
  <c r="P106" i="1"/>
  <c r="B137" i="3"/>
  <c r="C135" i="3"/>
  <c r="C134" i="3"/>
  <c r="P133" i="3"/>
  <c r="C133" i="3"/>
  <c r="C131" i="3"/>
  <c r="P135" i="3"/>
  <c r="C126" i="3"/>
  <c r="P126" i="3"/>
  <c r="H42" i="10"/>
  <c r="J42" i="10"/>
  <c r="L42" i="10"/>
  <c r="N42" i="10"/>
  <c r="H37" i="10"/>
  <c r="J37" i="10"/>
  <c r="L37" i="10"/>
  <c r="N37" i="10"/>
  <c r="P37" i="10"/>
  <c r="R37" i="10"/>
  <c r="R10" i="10"/>
  <c r="R12" i="10"/>
  <c r="R13" i="10"/>
  <c r="R14" i="10"/>
  <c r="R15" i="10"/>
  <c r="R22" i="10"/>
  <c r="R23" i="10"/>
  <c r="R24" i="10"/>
  <c r="R25" i="10"/>
  <c r="R43" i="10"/>
  <c r="R76" i="10"/>
  <c r="R77" i="10"/>
  <c r="R79" i="10"/>
  <c r="R80" i="10"/>
  <c r="Q83" i="10"/>
  <c r="Q84" i="10"/>
  <c r="Q85" i="10"/>
  <c r="Q86" i="10"/>
  <c r="Q87" i="10"/>
  <c r="Q88" i="10"/>
  <c r="Q90" i="10"/>
  <c r="Q92" i="10"/>
  <c r="Q93" i="10"/>
  <c r="Q96" i="10"/>
  <c r="Q97" i="10"/>
  <c r="Q99" i="10"/>
  <c r="Q100" i="10"/>
  <c r="Q101" i="10"/>
  <c r="Q102" i="10"/>
  <c r="Q105" i="10"/>
  <c r="R105" i="10"/>
  <c r="Q106" i="10"/>
  <c r="R106" i="10"/>
  <c r="Q107" i="10"/>
  <c r="R107" i="10"/>
  <c r="Q29" i="9"/>
  <c r="R38" i="9"/>
  <c r="R43" i="9"/>
  <c r="R68" i="9"/>
  <c r="R76" i="9" s="1"/>
  <c r="R33" i="8"/>
  <c r="Q37" i="8"/>
  <c r="R46" i="8"/>
  <c r="R52" i="8" s="1"/>
  <c r="R75" i="8"/>
  <c r="R83" i="8" s="1"/>
  <c r="AB23" i="7"/>
  <c r="AC23" i="7"/>
  <c r="AB24" i="7"/>
  <c r="AC24" i="7"/>
  <c r="AB25" i="7"/>
  <c r="AC25" i="7"/>
  <c r="AB26" i="7"/>
  <c r="AC26" i="7"/>
  <c r="R36" i="7"/>
  <c r="Q40" i="7"/>
  <c r="R49" i="7"/>
  <c r="R54" i="7"/>
  <c r="R79" i="7"/>
  <c r="R25" i="6"/>
  <c r="Q29" i="6"/>
  <c r="R38" i="6"/>
  <c r="R43" i="6"/>
  <c r="R44" i="6" s="1"/>
  <c r="R68" i="6"/>
  <c r="R76" i="6" s="1"/>
  <c r="R26" i="5"/>
  <c r="Q30" i="5"/>
  <c r="R39" i="5"/>
  <c r="R44" i="5"/>
  <c r="R69" i="5"/>
  <c r="P65" i="3"/>
  <c r="R65" i="3"/>
  <c r="R64" i="3"/>
  <c r="R61" i="3"/>
  <c r="R59" i="3"/>
  <c r="P12" i="2"/>
  <c r="P11" i="4"/>
  <c r="R36" i="4"/>
  <c r="Q40" i="4"/>
  <c r="R49" i="4"/>
  <c r="R54" i="4"/>
  <c r="R79" i="4"/>
  <c r="R28" i="2"/>
  <c r="Q32" i="2"/>
  <c r="R41" i="2"/>
  <c r="R46" i="2"/>
  <c r="R47" i="2" s="1"/>
  <c r="R71" i="2"/>
  <c r="Q18" i="1"/>
  <c r="R29" i="1"/>
  <c r="R42" i="1"/>
  <c r="R47" i="1"/>
  <c r="R48" i="1" s="1"/>
  <c r="R72" i="1"/>
  <c r="R76" i="1" s="1"/>
  <c r="R53" i="3"/>
  <c r="R92" i="3"/>
  <c r="O17" i="1"/>
  <c r="P22" i="10"/>
  <c r="N22" i="10"/>
  <c r="P25" i="9"/>
  <c r="P25" i="10"/>
  <c r="P24" i="10"/>
  <c r="P23" i="10"/>
  <c r="P53" i="3"/>
  <c r="P33" i="8"/>
  <c r="P36" i="7"/>
  <c r="P25" i="6"/>
  <c r="P29" i="1"/>
  <c r="P26" i="5"/>
  <c r="P36" i="4"/>
  <c r="P28" i="2"/>
  <c r="M11" i="8"/>
  <c r="M17" i="1"/>
  <c r="M12" i="1"/>
  <c r="M24" i="3"/>
  <c r="O12" i="1"/>
  <c r="M12" i="5"/>
  <c r="A1" i="9"/>
  <c r="A1" i="8"/>
  <c r="A1" i="7"/>
  <c r="A1" i="6"/>
  <c r="A1" i="5"/>
  <c r="A1" i="4"/>
  <c r="A1" i="1"/>
  <c r="A1" i="2"/>
  <c r="N47" i="9"/>
  <c r="N55" i="8"/>
  <c r="N58" i="7"/>
  <c r="N47" i="6"/>
  <c r="N48" i="5"/>
  <c r="N58" i="4"/>
  <c r="N71" i="3"/>
  <c r="O14" i="4"/>
  <c r="O30" i="10"/>
  <c r="O29" i="9"/>
  <c r="O37" i="8"/>
  <c r="O40" i="7"/>
  <c r="O29" i="6"/>
  <c r="O30" i="5"/>
  <c r="O40" i="4"/>
  <c r="O32" i="2"/>
  <c r="P106" i="10"/>
  <c r="O106" i="10"/>
  <c r="O105" i="10"/>
  <c r="P105" i="10"/>
  <c r="O107" i="10"/>
  <c r="P107" i="10"/>
  <c r="O102" i="10"/>
  <c r="O101" i="10"/>
  <c r="O100" i="10"/>
  <c r="O99" i="10"/>
  <c r="O97" i="10"/>
  <c r="O96" i="10"/>
  <c r="O95" i="10"/>
  <c r="O93" i="10"/>
  <c r="O92" i="10"/>
  <c r="O90" i="10"/>
  <c r="O88" i="10"/>
  <c r="O87" i="10"/>
  <c r="O86" i="10"/>
  <c r="O85" i="10"/>
  <c r="O84" i="10"/>
  <c r="O83" i="10"/>
  <c r="P80" i="10"/>
  <c r="P79" i="10"/>
  <c r="P77" i="10"/>
  <c r="P76" i="10"/>
  <c r="P71" i="2"/>
  <c r="P89" i="2"/>
  <c r="P83" i="2"/>
  <c r="P77" i="2"/>
  <c r="P73" i="2"/>
  <c r="N66" i="4"/>
  <c r="P41" i="10"/>
  <c r="P59" i="3"/>
  <c r="P36" i="10"/>
  <c r="P43" i="10"/>
  <c r="P46" i="2"/>
  <c r="P41" i="2"/>
  <c r="P47" i="2"/>
  <c r="P61" i="3"/>
  <c r="P38" i="10"/>
  <c r="P39" i="10" s="1"/>
  <c r="N68" i="10"/>
  <c r="N80" i="3"/>
  <c r="N69" i="10" s="1"/>
  <c r="N64" i="10"/>
  <c r="N63" i="10"/>
  <c r="N65" i="10" s="1"/>
  <c r="M63" i="10"/>
  <c r="M64" i="10"/>
  <c r="N60" i="10"/>
  <c r="M60" i="10"/>
  <c r="K59" i="10"/>
  <c r="L59" i="10"/>
  <c r="N74" i="3"/>
  <c r="M74" i="3"/>
  <c r="D12" i="10"/>
  <c r="C10" i="10"/>
  <c r="P13" i="10"/>
  <c r="N13" i="10"/>
  <c r="L13" i="10"/>
  <c r="J13" i="10"/>
  <c r="H13" i="10"/>
  <c r="P16" i="10"/>
  <c r="P15" i="10"/>
  <c r="P14" i="10"/>
  <c r="G12" i="10"/>
  <c r="H12" i="10"/>
  <c r="I12" i="10"/>
  <c r="J12" i="10"/>
  <c r="L12" i="10"/>
  <c r="N12" i="10"/>
  <c r="P12" i="10"/>
  <c r="E12" i="10"/>
  <c r="N10" i="10"/>
  <c r="G10" i="10"/>
  <c r="P68" i="9"/>
  <c r="P88" i="9" s="1"/>
  <c r="P38" i="9"/>
  <c r="P43" i="9"/>
  <c r="I29" i="9"/>
  <c r="P75" i="8"/>
  <c r="P80" i="8" s="1"/>
  <c r="P84" i="8"/>
  <c r="N46" i="8"/>
  <c r="L46" i="8"/>
  <c r="L52" i="8" s="1"/>
  <c r="J46" i="8"/>
  <c r="H46" i="8"/>
  <c r="H52" i="8" s="1"/>
  <c r="P46" i="8"/>
  <c r="N51" i="8"/>
  <c r="N52" i="8" s="1"/>
  <c r="L51" i="8"/>
  <c r="J51" i="8"/>
  <c r="J52" i="8" s="1"/>
  <c r="H51" i="8"/>
  <c r="P51" i="8"/>
  <c r="P52" i="8" s="1"/>
  <c r="M37" i="8"/>
  <c r="K37" i="8"/>
  <c r="I37" i="8"/>
  <c r="G37" i="8"/>
  <c r="M20" i="8"/>
  <c r="I20" i="8"/>
  <c r="I11" i="8"/>
  <c r="P79" i="7"/>
  <c r="P83" i="7" s="1"/>
  <c r="P84" i="7"/>
  <c r="P49" i="7"/>
  <c r="P54" i="7"/>
  <c r="P55" i="7" s="1"/>
  <c r="I40" i="7"/>
  <c r="O20" i="7"/>
  <c r="O14" i="7"/>
  <c r="O17" i="7"/>
  <c r="P68" i="6"/>
  <c r="P89" i="6"/>
  <c r="P38" i="6"/>
  <c r="P43" i="6"/>
  <c r="P69" i="5"/>
  <c r="P39" i="5"/>
  <c r="P44" i="5"/>
  <c r="I30" i="5"/>
  <c r="O14" i="5"/>
  <c r="I12" i="5"/>
  <c r="E12" i="5"/>
  <c r="P49" i="4"/>
  <c r="P54" i="4"/>
  <c r="P55" i="4"/>
  <c r="I40" i="4"/>
  <c r="K40" i="4"/>
  <c r="M40" i="4"/>
  <c r="O22" i="4"/>
  <c r="P79" i="4"/>
  <c r="P93" i="4"/>
  <c r="P72" i="1"/>
  <c r="P75" i="1"/>
  <c r="P76" i="1"/>
  <c r="P78" i="1"/>
  <c r="P81" i="1"/>
  <c r="P84" i="1"/>
  <c r="P87" i="1"/>
  <c r="P90" i="1"/>
  <c r="P92" i="1"/>
  <c r="P74" i="1"/>
  <c r="P47" i="1"/>
  <c r="P42" i="1"/>
  <c r="P48" i="1" s="1"/>
  <c r="N92" i="3"/>
  <c r="L92" i="3"/>
  <c r="J92" i="3"/>
  <c r="J95" i="3" s="1"/>
  <c r="H95" i="3"/>
  <c r="P92" i="3"/>
  <c r="P81" i="10"/>
  <c r="P93" i="10" s="1"/>
  <c r="H96" i="3"/>
  <c r="H97" i="3"/>
  <c r="H98" i="3"/>
  <c r="H99" i="3"/>
  <c r="J101" i="3"/>
  <c r="H101" i="3"/>
  <c r="H103" i="3"/>
  <c r="H104" i="3"/>
  <c r="H106" i="3"/>
  <c r="H107" i="3"/>
  <c r="H108" i="3"/>
  <c r="J110" i="3"/>
  <c r="H110" i="3"/>
  <c r="H111" i="3"/>
  <c r="J112" i="3"/>
  <c r="H112" i="3"/>
  <c r="N113" i="3"/>
  <c r="H113" i="3"/>
  <c r="H94" i="3"/>
  <c r="L80" i="3"/>
  <c r="J80" i="3"/>
  <c r="H80" i="3"/>
  <c r="F80" i="3"/>
  <c r="F79" i="3"/>
  <c r="L76" i="3"/>
  <c r="K76" i="3"/>
  <c r="K63" i="10" s="1"/>
  <c r="N61" i="3"/>
  <c r="J61" i="3"/>
  <c r="J38" i="10" s="1"/>
  <c r="H61" i="3"/>
  <c r="N59" i="3"/>
  <c r="L62" i="3"/>
  <c r="J59" i="3"/>
  <c r="J36" i="10" s="1"/>
  <c r="H59" i="3"/>
  <c r="N67" i="3"/>
  <c r="L67" i="3"/>
  <c r="J67" i="3"/>
  <c r="H67" i="3"/>
  <c r="J53" i="3"/>
  <c r="H53" i="3"/>
  <c r="F53" i="3"/>
  <c r="L53" i="3"/>
  <c r="O12" i="2"/>
  <c r="L12" i="3"/>
  <c r="I14" i="3"/>
  <c r="I15" i="3"/>
  <c r="I21" i="3"/>
  <c r="C111" i="10"/>
  <c r="C112" i="10"/>
  <c r="I113" i="10"/>
  <c r="C113" i="10"/>
  <c r="I114" i="10"/>
  <c r="C114" i="10"/>
  <c r="I113" i="7"/>
  <c r="I109" i="8"/>
  <c r="C113" i="7"/>
  <c r="C109" i="8"/>
  <c r="C117" i="10"/>
  <c r="C118" i="10"/>
  <c r="I119" i="10"/>
  <c r="I124" i="10" s="1"/>
  <c r="C119" i="10"/>
  <c r="I118" i="7"/>
  <c r="I123" i="7" s="1"/>
  <c r="I114" i="8"/>
  <c r="I119" i="8" s="1"/>
  <c r="C118" i="7"/>
  <c r="C114" i="8"/>
  <c r="C119" i="8"/>
  <c r="I120" i="7"/>
  <c r="I116" i="8"/>
  <c r="C120" i="7"/>
  <c r="C116" i="8"/>
  <c r="I121" i="7"/>
  <c r="I117" i="8"/>
  <c r="C121" i="7"/>
  <c r="I122" i="7"/>
  <c r="C122" i="7"/>
  <c r="C118" i="8"/>
  <c r="C123" i="7"/>
  <c r="C110" i="10"/>
  <c r="N106" i="10"/>
  <c r="L106" i="10"/>
  <c r="J106" i="10"/>
  <c r="H106" i="10"/>
  <c r="N107" i="10"/>
  <c r="L107" i="10"/>
  <c r="J107" i="10"/>
  <c r="H107" i="10"/>
  <c r="N105" i="10"/>
  <c r="L105" i="10"/>
  <c r="J105" i="10"/>
  <c r="H105" i="10"/>
  <c r="M106" i="10"/>
  <c r="K106" i="10"/>
  <c r="I106" i="10"/>
  <c r="G106" i="10"/>
  <c r="M107" i="10"/>
  <c r="K107" i="10"/>
  <c r="I107" i="10"/>
  <c r="G107" i="10"/>
  <c r="M105" i="10"/>
  <c r="K105" i="10"/>
  <c r="I105" i="10"/>
  <c r="G105" i="10"/>
  <c r="M84" i="10"/>
  <c r="K84" i="10"/>
  <c r="I84" i="10"/>
  <c r="G84" i="10"/>
  <c r="N79" i="7"/>
  <c r="N75" i="8"/>
  <c r="L79" i="7"/>
  <c r="L75" i="8"/>
  <c r="J79" i="7"/>
  <c r="J75" i="8"/>
  <c r="M85" i="10"/>
  <c r="K85" i="10"/>
  <c r="I85" i="10"/>
  <c r="G85" i="10"/>
  <c r="M86" i="10"/>
  <c r="K86" i="10"/>
  <c r="I86" i="10"/>
  <c r="G86" i="10"/>
  <c r="M85" i="7"/>
  <c r="N85" i="7" s="1"/>
  <c r="K87" i="10"/>
  <c r="I87" i="10"/>
  <c r="G87" i="10"/>
  <c r="K88" i="10"/>
  <c r="I88" i="10"/>
  <c r="G88" i="10"/>
  <c r="M90" i="10"/>
  <c r="K90" i="10"/>
  <c r="I90" i="10"/>
  <c r="G90" i="10"/>
  <c r="M90" i="7"/>
  <c r="M86" i="8"/>
  <c r="N86" i="8" s="1"/>
  <c r="K92" i="10"/>
  <c r="I92" i="10"/>
  <c r="G92" i="10"/>
  <c r="M91" i="7"/>
  <c r="M87" i="8"/>
  <c r="K93" i="10"/>
  <c r="I93" i="10"/>
  <c r="G93" i="10"/>
  <c r="M93" i="7"/>
  <c r="K95" i="10"/>
  <c r="I95" i="10"/>
  <c r="G95" i="10"/>
  <c r="K96" i="10"/>
  <c r="I96" i="10"/>
  <c r="G96" i="10"/>
  <c r="K97" i="10"/>
  <c r="I97" i="10"/>
  <c r="G97" i="10"/>
  <c r="M97" i="7"/>
  <c r="K99" i="10"/>
  <c r="G99" i="10"/>
  <c r="K100" i="10"/>
  <c r="I100" i="10"/>
  <c r="G100" i="10"/>
  <c r="M101" i="10"/>
  <c r="K101" i="10"/>
  <c r="I101" i="10"/>
  <c r="G101" i="10"/>
  <c r="M102" i="10"/>
  <c r="K102" i="10"/>
  <c r="I102" i="10"/>
  <c r="G102" i="10"/>
  <c r="M81" i="7"/>
  <c r="K83" i="10"/>
  <c r="G83" i="10"/>
  <c r="N77" i="10"/>
  <c r="L77" i="10"/>
  <c r="J77" i="10"/>
  <c r="H77" i="10"/>
  <c r="N79" i="10"/>
  <c r="L79" i="10"/>
  <c r="J79" i="10"/>
  <c r="H79" i="10"/>
  <c r="N80" i="10"/>
  <c r="L80" i="10"/>
  <c r="J80" i="10"/>
  <c r="H80" i="10"/>
  <c r="N76" i="10"/>
  <c r="L76" i="10"/>
  <c r="J76" i="10"/>
  <c r="H76" i="10"/>
  <c r="I59" i="10"/>
  <c r="G59" i="10"/>
  <c r="E59" i="10"/>
  <c r="E61" i="10" s="1"/>
  <c r="I63" i="10"/>
  <c r="I65" i="10" s="1"/>
  <c r="G63" i="10"/>
  <c r="G65" i="10" s="1"/>
  <c r="E63" i="10"/>
  <c r="E65" i="10" s="1"/>
  <c r="L38" i="10"/>
  <c r="H38" i="10"/>
  <c r="L36" i="10"/>
  <c r="J49" i="7"/>
  <c r="H49" i="7"/>
  <c r="N41" i="10"/>
  <c r="L41" i="10"/>
  <c r="J41" i="10"/>
  <c r="H41" i="10"/>
  <c r="N43" i="10"/>
  <c r="L43" i="10"/>
  <c r="J43" i="10"/>
  <c r="H43" i="10"/>
  <c r="J54" i="7"/>
  <c r="H54" i="7"/>
  <c r="H51" i="10"/>
  <c r="L58" i="7"/>
  <c r="L55" i="8"/>
  <c r="J55" i="8"/>
  <c r="J59" i="10"/>
  <c r="H59" i="10"/>
  <c r="L63" i="10"/>
  <c r="J63" i="10"/>
  <c r="H63" i="10"/>
  <c r="J69" i="10"/>
  <c r="H67" i="7"/>
  <c r="H36" i="10"/>
  <c r="I30" i="10"/>
  <c r="G30" i="10"/>
  <c r="L30" i="8"/>
  <c r="L23" i="10" s="1"/>
  <c r="J30" i="8"/>
  <c r="J23" i="10" s="1"/>
  <c r="H30" i="8"/>
  <c r="N23" i="10"/>
  <c r="L24" i="10"/>
  <c r="J24" i="10"/>
  <c r="H24" i="10"/>
  <c r="N24" i="10"/>
  <c r="L25" i="10"/>
  <c r="J25" i="10"/>
  <c r="H25" i="10"/>
  <c r="N25" i="10"/>
  <c r="L29" i="8"/>
  <c r="J29" i="8"/>
  <c r="J22" i="10" s="1"/>
  <c r="J26" i="10" s="1"/>
  <c r="H29" i="8"/>
  <c r="H22" i="10" s="1"/>
  <c r="I11" i="10"/>
  <c r="G11" i="10"/>
  <c r="I13" i="10"/>
  <c r="G13" i="10"/>
  <c r="I14" i="10"/>
  <c r="G14" i="10"/>
  <c r="I15" i="10"/>
  <c r="G15" i="10"/>
  <c r="I16" i="10"/>
  <c r="G16" i="10"/>
  <c r="M14" i="7"/>
  <c r="M17" i="7"/>
  <c r="M20" i="7"/>
  <c r="J11" i="8"/>
  <c r="E20" i="7"/>
  <c r="E14" i="7"/>
  <c r="E17" i="7"/>
  <c r="E11" i="8"/>
  <c r="E17" i="8"/>
  <c r="E20" i="8"/>
  <c r="F30" i="8"/>
  <c r="F23" i="10" s="1"/>
  <c r="F24" i="10"/>
  <c r="F25" i="10"/>
  <c r="F29" i="8"/>
  <c r="F22" i="10" s="1"/>
  <c r="F12" i="8"/>
  <c r="L14" i="3"/>
  <c r="N14" i="10"/>
  <c r="L15" i="10"/>
  <c r="J15" i="10"/>
  <c r="H15" i="10"/>
  <c r="F15" i="10"/>
  <c r="N15" i="10"/>
  <c r="L16" i="10"/>
  <c r="J16" i="10"/>
  <c r="H16" i="10"/>
  <c r="F16" i="10"/>
  <c r="N16" i="10"/>
  <c r="L36" i="7"/>
  <c r="J36" i="7"/>
  <c r="H36" i="7"/>
  <c r="F36" i="7"/>
  <c r="F59" i="3"/>
  <c r="F36" i="10" s="1"/>
  <c r="D54" i="8"/>
  <c r="D57" i="7"/>
  <c r="K64" i="10"/>
  <c r="C63" i="10"/>
  <c r="C65" i="10" s="1"/>
  <c r="K60" i="10"/>
  <c r="I60" i="10"/>
  <c r="G60" i="10"/>
  <c r="E60" i="10"/>
  <c r="C59" i="10"/>
  <c r="C61" i="10" s="1"/>
  <c r="C60" i="10"/>
  <c r="E30" i="10"/>
  <c r="C30" i="10"/>
  <c r="M30" i="10"/>
  <c r="K30" i="10"/>
  <c r="F67" i="7"/>
  <c r="D67" i="7"/>
  <c r="D80" i="3"/>
  <c r="D69" i="10" s="1"/>
  <c r="L66" i="4"/>
  <c r="J66" i="4"/>
  <c r="J68" i="10" s="1"/>
  <c r="H66" i="4"/>
  <c r="F66" i="4"/>
  <c r="D66" i="4"/>
  <c r="D79" i="3"/>
  <c r="F63" i="10"/>
  <c r="D63" i="7"/>
  <c r="D63" i="10"/>
  <c r="D65" i="10" s="1"/>
  <c r="L64" i="10"/>
  <c r="J64" i="10"/>
  <c r="H64" i="10"/>
  <c r="F64" i="10"/>
  <c r="D64" i="10"/>
  <c r="L60" i="10"/>
  <c r="J60" i="10"/>
  <c r="H60" i="10"/>
  <c r="F59" i="10"/>
  <c r="F60" i="10"/>
  <c r="D59" i="10"/>
  <c r="D60" i="10"/>
  <c r="F57" i="4"/>
  <c r="F51" i="10" s="1"/>
  <c r="D49" i="2"/>
  <c r="D57" i="4"/>
  <c r="D70" i="3"/>
  <c r="L50" i="2"/>
  <c r="L58" i="4"/>
  <c r="J50" i="2"/>
  <c r="J58" i="4"/>
  <c r="F58" i="7"/>
  <c r="F55" i="8"/>
  <c r="F50" i="2"/>
  <c r="F58" i="4"/>
  <c r="F71" i="3"/>
  <c r="D58" i="7"/>
  <c r="D55" i="8"/>
  <c r="D50" i="2"/>
  <c r="D58" i="4"/>
  <c r="I110" i="2"/>
  <c r="I105" i="2"/>
  <c r="I115" i="2"/>
  <c r="I118" i="4"/>
  <c r="I113" i="4"/>
  <c r="I122" i="4"/>
  <c r="I113" i="2"/>
  <c r="I121" i="4"/>
  <c r="I112" i="2"/>
  <c r="I120" i="4"/>
  <c r="C105" i="2"/>
  <c r="C113" i="4"/>
  <c r="C110" i="2"/>
  <c r="C115" i="2" s="1"/>
  <c r="C118" i="4"/>
  <c r="C123" i="4"/>
  <c r="C112" i="2"/>
  <c r="C120" i="4"/>
  <c r="C113" i="2"/>
  <c r="C121" i="4"/>
  <c r="C122" i="4"/>
  <c r="I107" i="9"/>
  <c r="I111" i="9"/>
  <c r="C111" i="9"/>
  <c r="C124" i="10" s="1"/>
  <c r="I115" i="1"/>
  <c r="C115" i="1"/>
  <c r="I112" i="5"/>
  <c r="C112" i="5"/>
  <c r="E37" i="8"/>
  <c r="C40" i="7"/>
  <c r="M29" i="9"/>
  <c r="K29" i="9"/>
  <c r="G29" i="9"/>
  <c r="E29" i="9"/>
  <c r="C29" i="9"/>
  <c r="C37" i="8"/>
  <c r="M40" i="7"/>
  <c r="K40" i="7"/>
  <c r="G40" i="7"/>
  <c r="E40" i="7"/>
  <c r="M29" i="6"/>
  <c r="K29" i="6"/>
  <c r="I29" i="6"/>
  <c r="G29" i="6"/>
  <c r="E29" i="6"/>
  <c r="C29" i="6"/>
  <c r="M30" i="5"/>
  <c r="K30" i="5"/>
  <c r="G30" i="5"/>
  <c r="E30" i="5"/>
  <c r="C30" i="5"/>
  <c r="G40" i="4"/>
  <c r="E40" i="4"/>
  <c r="C40" i="4"/>
  <c r="I102" i="9"/>
  <c r="C107" i="9"/>
  <c r="C102" i="9"/>
  <c r="I109" i="9"/>
  <c r="C109" i="9"/>
  <c r="I107" i="6"/>
  <c r="I102" i="6"/>
  <c r="I112" i="6" s="1"/>
  <c r="C107" i="6"/>
  <c r="C102" i="6"/>
  <c r="I110" i="6"/>
  <c r="C110" i="6"/>
  <c r="I109" i="6"/>
  <c r="C109" i="6"/>
  <c r="I108" i="5"/>
  <c r="I103" i="5"/>
  <c r="C108" i="5"/>
  <c r="C103" i="5"/>
  <c r="C113" i="5"/>
  <c r="I111" i="5"/>
  <c r="I110" i="5"/>
  <c r="C110" i="5"/>
  <c r="E33" i="1"/>
  <c r="G33" i="1"/>
  <c r="C33" i="1"/>
  <c r="I111" i="1"/>
  <c r="I120" i="10"/>
  <c r="I106" i="1"/>
  <c r="C111" i="1"/>
  <c r="C106" i="1"/>
  <c r="C116" i="1"/>
  <c r="I114" i="1"/>
  <c r="C114" i="1"/>
  <c r="C123" i="10" s="1"/>
  <c r="I113" i="1"/>
  <c r="C113" i="1"/>
  <c r="C122" i="10" s="1"/>
  <c r="M32" i="2"/>
  <c r="K32" i="2"/>
  <c r="I32" i="2"/>
  <c r="G32" i="2"/>
  <c r="E32" i="2"/>
  <c r="C32" i="2"/>
  <c r="C105" i="10"/>
  <c r="D105" i="10"/>
  <c r="E105" i="10"/>
  <c r="F105" i="10"/>
  <c r="C106" i="10"/>
  <c r="D106" i="10"/>
  <c r="E106" i="10"/>
  <c r="F106" i="10"/>
  <c r="C107" i="10"/>
  <c r="D107" i="10"/>
  <c r="E107" i="10"/>
  <c r="F107" i="10"/>
  <c r="D36" i="7"/>
  <c r="D29" i="8"/>
  <c r="D22" i="10" s="1"/>
  <c r="D30" i="8"/>
  <c r="D28" i="2"/>
  <c r="D36" i="4"/>
  <c r="D26" i="5"/>
  <c r="D53" i="3"/>
  <c r="D25" i="10"/>
  <c r="D24" i="10"/>
  <c r="F76" i="10"/>
  <c r="F77" i="10"/>
  <c r="F79" i="10"/>
  <c r="F80" i="10"/>
  <c r="N71" i="2"/>
  <c r="N74" i="2" s="1"/>
  <c r="N79" i="4"/>
  <c r="L71" i="2"/>
  <c r="L92" i="2" s="1"/>
  <c r="L79" i="4"/>
  <c r="J71" i="2"/>
  <c r="J80" i="2" s="1"/>
  <c r="J79" i="4"/>
  <c r="H79" i="4"/>
  <c r="M73" i="2"/>
  <c r="M81" i="4"/>
  <c r="I81" i="4"/>
  <c r="E81" i="7"/>
  <c r="E73" i="2"/>
  <c r="E81" i="4"/>
  <c r="E84" i="10"/>
  <c r="E85" i="10"/>
  <c r="E86" i="10"/>
  <c r="E87" i="10"/>
  <c r="E88" i="10"/>
  <c r="E90" i="10"/>
  <c r="M82" i="2"/>
  <c r="M90" i="4"/>
  <c r="E90" i="7"/>
  <c r="E82" i="2"/>
  <c r="E90" i="4"/>
  <c r="M91" i="4"/>
  <c r="E87" i="8"/>
  <c r="M93" i="4"/>
  <c r="E93" i="7"/>
  <c r="E93" i="4"/>
  <c r="M94" i="4"/>
  <c r="E96" i="10"/>
  <c r="M87" i="2"/>
  <c r="M95" i="4"/>
  <c r="E91" i="8"/>
  <c r="E87" i="2"/>
  <c r="M89" i="2"/>
  <c r="M97" i="4"/>
  <c r="I97" i="4"/>
  <c r="I99" i="10" s="1"/>
  <c r="E97" i="7"/>
  <c r="F97" i="7" s="1"/>
  <c r="E89" i="2"/>
  <c r="E97" i="4"/>
  <c r="F97" i="4" s="1"/>
  <c r="E100" i="10"/>
  <c r="E95" i="8"/>
  <c r="F95" i="8" s="1"/>
  <c r="E102" i="10"/>
  <c r="J41" i="2"/>
  <c r="J49" i="4"/>
  <c r="J46" i="2"/>
  <c r="J47" i="2" s="1"/>
  <c r="J54" i="4"/>
  <c r="H41" i="2"/>
  <c r="H49" i="4"/>
  <c r="H46" i="2"/>
  <c r="H54" i="4"/>
  <c r="F49" i="7"/>
  <c r="F55" i="7" s="1"/>
  <c r="F46" i="8"/>
  <c r="F41" i="2"/>
  <c r="F47" i="2" s="1"/>
  <c r="F49" i="4"/>
  <c r="F61" i="3"/>
  <c r="F62" i="3" s="1"/>
  <c r="F54" i="7"/>
  <c r="F51" i="8"/>
  <c r="F52" i="8" s="1"/>
  <c r="F46" i="2"/>
  <c r="F54" i="4"/>
  <c r="F55" i="4" s="1"/>
  <c r="F67" i="3"/>
  <c r="D49" i="7"/>
  <c r="D55" i="7" s="1"/>
  <c r="D46" i="8"/>
  <c r="D41" i="2"/>
  <c r="D49" i="4"/>
  <c r="D59" i="3"/>
  <c r="D61" i="3"/>
  <c r="D54" i="7"/>
  <c r="D51" i="8"/>
  <c r="D46" i="2"/>
  <c r="D54" i="4"/>
  <c r="D67" i="3"/>
  <c r="F43" i="10"/>
  <c r="F41" i="10"/>
  <c r="D16" i="10"/>
  <c r="E16" i="10"/>
  <c r="D15" i="10"/>
  <c r="E15" i="10"/>
  <c r="L19" i="4"/>
  <c r="J19" i="4"/>
  <c r="J14" i="10" s="1"/>
  <c r="H14" i="2"/>
  <c r="H19" i="4"/>
  <c r="D14" i="10"/>
  <c r="E14" i="10"/>
  <c r="F13" i="2"/>
  <c r="E11" i="10"/>
  <c r="L11" i="4"/>
  <c r="J11" i="4"/>
  <c r="H11" i="4"/>
  <c r="H10" i="10" s="1"/>
  <c r="F11" i="4"/>
  <c r="D11" i="4"/>
  <c r="M12" i="2"/>
  <c r="E12" i="2"/>
  <c r="E22" i="4"/>
  <c r="E12" i="3"/>
  <c r="E24" i="3"/>
  <c r="F75" i="8"/>
  <c r="N77" i="8"/>
  <c r="L77" i="8"/>
  <c r="J77" i="8"/>
  <c r="H77" i="8"/>
  <c r="L78" i="8"/>
  <c r="J78" i="8"/>
  <c r="H78" i="8"/>
  <c r="L79" i="8"/>
  <c r="J79" i="8"/>
  <c r="H79" i="8"/>
  <c r="L80" i="8"/>
  <c r="J80" i="8"/>
  <c r="H80" i="8"/>
  <c r="N81" i="8"/>
  <c r="L81" i="8"/>
  <c r="J81" i="8"/>
  <c r="H81" i="8"/>
  <c r="L82" i="8"/>
  <c r="J82" i="8"/>
  <c r="H82" i="8"/>
  <c r="L84" i="8"/>
  <c r="J84" i="8"/>
  <c r="H84" i="8"/>
  <c r="L86" i="8"/>
  <c r="J86" i="8"/>
  <c r="H86" i="8"/>
  <c r="L87" i="8"/>
  <c r="J87" i="8"/>
  <c r="H87" i="8"/>
  <c r="N89" i="8"/>
  <c r="L89" i="8"/>
  <c r="J89" i="8"/>
  <c r="H89" i="8"/>
  <c r="N90" i="8"/>
  <c r="L90" i="8"/>
  <c r="J90" i="8"/>
  <c r="H90" i="8"/>
  <c r="N91" i="8"/>
  <c r="L91" i="8"/>
  <c r="J91" i="8"/>
  <c r="H91" i="8"/>
  <c r="F91" i="8"/>
  <c r="N93" i="8"/>
  <c r="L93" i="8"/>
  <c r="J93" i="8"/>
  <c r="H93" i="8"/>
  <c r="N94" i="8"/>
  <c r="L94" i="8"/>
  <c r="J94" i="8"/>
  <c r="H94" i="8"/>
  <c r="N95" i="8"/>
  <c r="L95" i="8"/>
  <c r="J95" i="8"/>
  <c r="H95" i="8"/>
  <c r="N96" i="8"/>
  <c r="L96" i="8"/>
  <c r="J96" i="8"/>
  <c r="H96" i="8"/>
  <c r="N100" i="7"/>
  <c r="H100" i="7"/>
  <c r="F79" i="7"/>
  <c r="F100" i="7" s="1"/>
  <c r="H99" i="7"/>
  <c r="F99" i="7"/>
  <c r="L98" i="7"/>
  <c r="H98" i="7"/>
  <c r="L97" i="7"/>
  <c r="H97" i="7"/>
  <c r="L95" i="7"/>
  <c r="H95" i="7"/>
  <c r="L94" i="7"/>
  <c r="H94" i="7"/>
  <c r="F94" i="7"/>
  <c r="J93" i="7"/>
  <c r="H93" i="7"/>
  <c r="N91" i="7"/>
  <c r="H91" i="7"/>
  <c r="F91" i="7"/>
  <c r="L90" i="7"/>
  <c r="H90" i="7"/>
  <c r="F90" i="7"/>
  <c r="H88" i="7"/>
  <c r="F88" i="7"/>
  <c r="N86" i="7"/>
  <c r="H86" i="7"/>
  <c r="F86" i="7"/>
  <c r="L85" i="7"/>
  <c r="H85" i="7"/>
  <c r="F85" i="7"/>
  <c r="H84" i="7"/>
  <c r="F84" i="7"/>
  <c r="L83" i="7"/>
  <c r="H83" i="7"/>
  <c r="F83" i="7"/>
  <c r="H82" i="7"/>
  <c r="F82" i="7"/>
  <c r="N81" i="7"/>
  <c r="H81" i="7"/>
  <c r="F81" i="7"/>
  <c r="N49" i="7"/>
  <c r="N54" i="7"/>
  <c r="L49" i="7"/>
  <c r="L54" i="7"/>
  <c r="L55" i="7" s="1"/>
  <c r="J55" i="7"/>
  <c r="H55" i="7"/>
  <c r="L25" i="6"/>
  <c r="L39" i="5"/>
  <c r="L26" i="5"/>
  <c r="N100" i="4"/>
  <c r="L100" i="4"/>
  <c r="J100" i="4"/>
  <c r="H100" i="4"/>
  <c r="F79" i="4"/>
  <c r="F99" i="4" s="1"/>
  <c r="N99" i="4"/>
  <c r="L99" i="4"/>
  <c r="J99" i="4"/>
  <c r="N98" i="4"/>
  <c r="L98" i="4"/>
  <c r="J98" i="4"/>
  <c r="N97" i="4"/>
  <c r="L97" i="4"/>
  <c r="J97" i="4"/>
  <c r="N95" i="4"/>
  <c r="L95" i="4"/>
  <c r="J95" i="4"/>
  <c r="N94" i="4"/>
  <c r="L94" i="4"/>
  <c r="J94" i="4"/>
  <c r="N93" i="4"/>
  <c r="L93" i="4"/>
  <c r="J93" i="4"/>
  <c r="N91" i="4"/>
  <c r="L91" i="4"/>
  <c r="J91" i="4"/>
  <c r="N90" i="4"/>
  <c r="L90" i="4"/>
  <c r="J90" i="4"/>
  <c r="N88" i="4"/>
  <c r="L88" i="4"/>
  <c r="J88" i="4"/>
  <c r="N86" i="4"/>
  <c r="L86" i="4"/>
  <c r="J86" i="4"/>
  <c r="N85" i="4"/>
  <c r="L85" i="4"/>
  <c r="J85" i="4"/>
  <c r="F85" i="4"/>
  <c r="N84" i="4"/>
  <c r="L84" i="4"/>
  <c r="J84" i="4"/>
  <c r="N83" i="4"/>
  <c r="L83" i="4"/>
  <c r="J83" i="4"/>
  <c r="N82" i="4"/>
  <c r="L82" i="4"/>
  <c r="J82" i="4"/>
  <c r="N81" i="4"/>
  <c r="L81" i="4"/>
  <c r="J81" i="4"/>
  <c r="N49" i="4"/>
  <c r="N55" i="4" s="1"/>
  <c r="N54" i="4"/>
  <c r="L49" i="4"/>
  <c r="L54" i="4"/>
  <c r="L55" i="4"/>
  <c r="J55" i="4"/>
  <c r="H55" i="4"/>
  <c r="L36" i="4"/>
  <c r="J36" i="4"/>
  <c r="H36" i="4"/>
  <c r="F36" i="4"/>
  <c r="N80" i="2"/>
  <c r="H92" i="2"/>
  <c r="F71" i="2"/>
  <c r="H91" i="2"/>
  <c r="N90" i="2"/>
  <c r="H90" i="2"/>
  <c r="J89" i="2"/>
  <c r="H89" i="2"/>
  <c r="N87" i="2"/>
  <c r="H87" i="2"/>
  <c r="J86" i="2"/>
  <c r="H86" i="2"/>
  <c r="N85" i="2"/>
  <c r="H85" i="2"/>
  <c r="J83" i="2"/>
  <c r="H83" i="2"/>
  <c r="N82" i="2"/>
  <c r="H82" i="2"/>
  <c r="F82" i="2"/>
  <c r="H80" i="2"/>
  <c r="H78" i="2"/>
  <c r="H77" i="2"/>
  <c r="N76" i="2"/>
  <c r="H76" i="2"/>
  <c r="H75" i="2"/>
  <c r="H74" i="2"/>
  <c r="L73" i="2"/>
  <c r="H73" i="2"/>
  <c r="N41" i="2"/>
  <c r="N47" i="2" s="1"/>
  <c r="L41" i="2"/>
  <c r="N46" i="2"/>
  <c r="L46" i="2"/>
  <c r="L47" i="2"/>
  <c r="L28" i="2"/>
  <c r="J28" i="2"/>
  <c r="H28" i="2"/>
  <c r="F28" i="2"/>
  <c r="N69" i="5"/>
  <c r="M80" i="5"/>
  <c r="M81" i="5"/>
  <c r="M83" i="5"/>
  <c r="N83" i="5"/>
  <c r="M85" i="5"/>
  <c r="M87" i="5"/>
  <c r="M88" i="5"/>
  <c r="N89" i="5"/>
  <c r="M71" i="5"/>
  <c r="N68" i="6"/>
  <c r="N77" i="6"/>
  <c r="N88" i="6"/>
  <c r="N68" i="9"/>
  <c r="N74" i="9"/>
  <c r="M75" i="9"/>
  <c r="N77" i="9"/>
  <c r="M79" i="9"/>
  <c r="N79" i="9"/>
  <c r="M80" i="9"/>
  <c r="N80" i="9"/>
  <c r="M84" i="9"/>
  <c r="M86" i="9"/>
  <c r="N86" i="9" s="1"/>
  <c r="L72" i="1"/>
  <c r="L83" i="1" s="1"/>
  <c r="J72" i="1"/>
  <c r="N72" i="1"/>
  <c r="N92" i="1"/>
  <c r="M90" i="1"/>
  <c r="N88" i="1"/>
  <c r="M86" i="1"/>
  <c r="M83" i="1"/>
  <c r="N79" i="1"/>
  <c r="N77" i="1"/>
  <c r="M74" i="1"/>
  <c r="L93" i="1"/>
  <c r="L91" i="1"/>
  <c r="L88" i="1"/>
  <c r="L86" i="1"/>
  <c r="L81" i="1"/>
  <c r="L78" i="1"/>
  <c r="L74" i="1"/>
  <c r="J78" i="1"/>
  <c r="J86" i="1"/>
  <c r="J91" i="1"/>
  <c r="I74" i="1"/>
  <c r="I83" i="10" s="1"/>
  <c r="L47" i="6"/>
  <c r="L48" i="5"/>
  <c r="L51" i="1"/>
  <c r="M14" i="5"/>
  <c r="N39" i="5"/>
  <c r="N42" i="1"/>
  <c r="N47" i="1"/>
  <c r="N48" i="1" s="1"/>
  <c r="N44" i="5"/>
  <c r="N38" i="6"/>
  <c r="N43" i="6"/>
  <c r="N38" i="9"/>
  <c r="N43" i="9"/>
  <c r="L14" i="5"/>
  <c r="L10" i="10" s="1"/>
  <c r="L12" i="1"/>
  <c r="C12" i="10"/>
  <c r="J12" i="1"/>
  <c r="J14" i="5"/>
  <c r="J10" i="10" s="1"/>
  <c r="E17" i="1"/>
  <c r="E14" i="5"/>
  <c r="H13" i="6"/>
  <c r="H14" i="10" s="1"/>
  <c r="F14" i="1"/>
  <c r="L25" i="9"/>
  <c r="F14" i="5"/>
  <c r="D14" i="5"/>
  <c r="F12" i="1"/>
  <c r="F10" i="10"/>
  <c r="J51" i="1"/>
  <c r="J48" i="5"/>
  <c r="J47" i="6"/>
  <c r="J47" i="9"/>
  <c r="J47" i="1"/>
  <c r="L47" i="1"/>
  <c r="F12" i="9"/>
  <c r="D46" i="9"/>
  <c r="D46" i="6"/>
  <c r="D50" i="1"/>
  <c r="J42" i="1"/>
  <c r="J39" i="5"/>
  <c r="J38" i="6"/>
  <c r="J44" i="6" s="1"/>
  <c r="J38" i="9"/>
  <c r="J44" i="5"/>
  <c r="J45" i="5" s="1"/>
  <c r="J43" i="6"/>
  <c r="J43" i="9"/>
  <c r="H42" i="1"/>
  <c r="H39" i="5"/>
  <c r="H38" i="6"/>
  <c r="H38" i="9"/>
  <c r="H47" i="1"/>
  <c r="H44" i="5"/>
  <c r="H43" i="6"/>
  <c r="H44" i="6" s="1"/>
  <c r="H43" i="9"/>
  <c r="H44" i="9" s="1"/>
  <c r="F42" i="1"/>
  <c r="F39" i="5"/>
  <c r="F38" i="6"/>
  <c r="F38" i="9"/>
  <c r="F47" i="1"/>
  <c r="F44" i="5"/>
  <c r="F43" i="6"/>
  <c r="F43" i="9"/>
  <c r="D42" i="1"/>
  <c r="D39" i="5"/>
  <c r="D38" i="6"/>
  <c r="D38" i="9"/>
  <c r="D47" i="1"/>
  <c r="D44" i="5"/>
  <c r="D43" i="6"/>
  <c r="D43" i="9"/>
  <c r="L69" i="5"/>
  <c r="L80" i="5" s="1"/>
  <c r="L68" i="6"/>
  <c r="L68" i="9"/>
  <c r="L75" i="9" s="1"/>
  <c r="L38" i="9"/>
  <c r="L43" i="9"/>
  <c r="L74" i="6"/>
  <c r="L38" i="6"/>
  <c r="L43" i="6"/>
  <c r="L78" i="5"/>
  <c r="L44" i="5"/>
  <c r="L45" i="5"/>
  <c r="L42" i="1"/>
  <c r="L48" i="1"/>
  <c r="L29" i="1"/>
  <c r="J69" i="5"/>
  <c r="J68" i="6"/>
  <c r="J68" i="9"/>
  <c r="J89" i="9" s="1"/>
  <c r="H89" i="9"/>
  <c r="H88" i="9"/>
  <c r="H87" i="9"/>
  <c r="H86" i="9"/>
  <c r="H84" i="9"/>
  <c r="H83" i="9"/>
  <c r="H82" i="9"/>
  <c r="H80" i="9"/>
  <c r="H79" i="9"/>
  <c r="H77" i="9"/>
  <c r="H75" i="9"/>
  <c r="H74" i="9"/>
  <c r="H73" i="9"/>
  <c r="H72" i="9"/>
  <c r="H71" i="9"/>
  <c r="H70" i="9"/>
  <c r="J89" i="6"/>
  <c r="J84" i="6"/>
  <c r="J79" i="6"/>
  <c r="J73" i="6"/>
  <c r="H89" i="6"/>
  <c r="H88" i="6"/>
  <c r="H87" i="6"/>
  <c r="H86" i="6"/>
  <c r="H84" i="6"/>
  <c r="H83" i="6"/>
  <c r="H82" i="6"/>
  <c r="H80" i="6"/>
  <c r="H79" i="6"/>
  <c r="H77" i="6"/>
  <c r="H75" i="6"/>
  <c r="H74" i="6"/>
  <c r="H73" i="6"/>
  <c r="H72" i="6"/>
  <c r="H71" i="6"/>
  <c r="H70" i="6"/>
  <c r="H90" i="5"/>
  <c r="H89" i="5"/>
  <c r="H88" i="5"/>
  <c r="H87" i="5"/>
  <c r="H85" i="5"/>
  <c r="H84" i="5"/>
  <c r="H83" i="5"/>
  <c r="H81" i="5"/>
  <c r="H80" i="5"/>
  <c r="H78" i="5"/>
  <c r="H76" i="5"/>
  <c r="H75" i="5"/>
  <c r="H74" i="5"/>
  <c r="H73" i="5"/>
  <c r="H72" i="5"/>
  <c r="H71" i="5"/>
  <c r="H93" i="1"/>
  <c r="H92" i="1"/>
  <c r="H91" i="1"/>
  <c r="H90" i="1"/>
  <c r="H88" i="1"/>
  <c r="H87" i="1"/>
  <c r="H86" i="1"/>
  <c r="H84" i="1"/>
  <c r="H83" i="1"/>
  <c r="H81" i="1"/>
  <c r="H79" i="1"/>
  <c r="H78" i="1"/>
  <c r="H77" i="1"/>
  <c r="H76" i="1"/>
  <c r="H75" i="1"/>
  <c r="H74" i="1"/>
  <c r="J25" i="9"/>
  <c r="J25" i="6"/>
  <c r="J26" i="5"/>
  <c r="J29" i="1"/>
  <c r="C15" i="10"/>
  <c r="C11" i="10"/>
  <c r="C14" i="10"/>
  <c r="H25" i="9"/>
  <c r="H25" i="6"/>
  <c r="H26" i="5"/>
  <c r="H29" i="1"/>
  <c r="F47" i="9"/>
  <c r="F47" i="6"/>
  <c r="F48" i="5"/>
  <c r="F51" i="1"/>
  <c r="H45" i="5"/>
  <c r="C16" i="10"/>
  <c r="E89" i="5"/>
  <c r="E86" i="6"/>
  <c r="E85" i="5"/>
  <c r="E97" i="10" s="1"/>
  <c r="E82" i="6"/>
  <c r="E81" i="5"/>
  <c r="E93" i="10" s="1"/>
  <c r="E79" i="6"/>
  <c r="E71" i="5"/>
  <c r="E70" i="6"/>
  <c r="C83" i="10"/>
  <c r="D76" i="10"/>
  <c r="D77" i="10"/>
  <c r="D79" i="10"/>
  <c r="D80" i="10"/>
  <c r="C84" i="10"/>
  <c r="C85" i="10"/>
  <c r="C86" i="10"/>
  <c r="C87" i="10"/>
  <c r="C88" i="10"/>
  <c r="C90" i="10"/>
  <c r="C92" i="10"/>
  <c r="C93" i="10"/>
  <c r="C95" i="10"/>
  <c r="C96" i="10"/>
  <c r="C97" i="10"/>
  <c r="C99" i="10"/>
  <c r="C100" i="10"/>
  <c r="C101" i="10"/>
  <c r="C102" i="10"/>
  <c r="D43" i="10"/>
  <c r="D41" i="10"/>
  <c r="D38" i="10"/>
  <c r="D36" i="10"/>
  <c r="D51" i="1"/>
  <c r="D47" i="9"/>
  <c r="D48" i="5"/>
  <c r="D47" i="6"/>
  <c r="D29" i="1"/>
  <c r="D25" i="9"/>
  <c r="D25" i="6"/>
  <c r="D48" i="1"/>
  <c r="D55" i="4"/>
  <c r="D52" i="8"/>
  <c r="F48" i="1"/>
  <c r="D45" i="5"/>
  <c r="F26" i="5"/>
  <c r="F69" i="5"/>
  <c r="D69" i="5"/>
  <c r="F72" i="1"/>
  <c r="F84" i="1"/>
  <c r="F74" i="1"/>
  <c r="F29" i="1"/>
  <c r="D72" i="1"/>
  <c r="D84" i="1"/>
  <c r="D74" i="1"/>
  <c r="D71" i="2"/>
  <c r="D75" i="2"/>
  <c r="D79" i="4"/>
  <c r="D82" i="4"/>
  <c r="D83" i="4"/>
  <c r="D88" i="4"/>
  <c r="D94" i="4"/>
  <c r="D99" i="4"/>
  <c r="F92" i="3"/>
  <c r="F96" i="3" s="1"/>
  <c r="D92" i="3"/>
  <c r="F44" i="6"/>
  <c r="F68" i="6"/>
  <c r="F89" i="6" s="1"/>
  <c r="F88" i="6"/>
  <c r="F77" i="6"/>
  <c r="F25" i="6"/>
  <c r="D68" i="6"/>
  <c r="D71" i="6"/>
  <c r="D82" i="6"/>
  <c r="D79" i="7"/>
  <c r="D82" i="7"/>
  <c r="D83" i="7"/>
  <c r="D88" i="7"/>
  <c r="D94" i="7"/>
  <c r="D99" i="7"/>
  <c r="D75" i="8"/>
  <c r="D77" i="8"/>
  <c r="D78" i="8"/>
  <c r="D80" i="8"/>
  <c r="D82" i="8"/>
  <c r="D86" i="8"/>
  <c r="D89" i="8"/>
  <c r="D91" i="8"/>
  <c r="D94" i="8"/>
  <c r="D96" i="8"/>
  <c r="F44" i="9"/>
  <c r="F68" i="9"/>
  <c r="F84" i="9"/>
  <c r="F25" i="9"/>
  <c r="D68" i="9"/>
  <c r="D83" i="9" s="1"/>
  <c r="F88" i="9"/>
  <c r="D100" i="7"/>
  <c r="D98" i="7"/>
  <c r="D95" i="7"/>
  <c r="D93" i="7"/>
  <c r="D90" i="7"/>
  <c r="D86" i="7"/>
  <c r="D84" i="7"/>
  <c r="D83" i="6"/>
  <c r="D72" i="6"/>
  <c r="F73" i="6"/>
  <c r="F87" i="6"/>
  <c r="J70" i="6"/>
  <c r="J74" i="6"/>
  <c r="J80" i="6"/>
  <c r="J86" i="6"/>
  <c r="L74" i="5"/>
  <c r="L85" i="5"/>
  <c r="L87" i="9"/>
  <c r="M95" i="10"/>
  <c r="M99" i="10"/>
  <c r="N76" i="1"/>
  <c r="N81" i="10"/>
  <c r="N101" i="10" s="1"/>
  <c r="L75" i="1"/>
  <c r="L76" i="1"/>
  <c r="N87" i="6"/>
  <c r="N82" i="6"/>
  <c r="N75" i="6"/>
  <c r="N87" i="5"/>
  <c r="N75" i="5"/>
  <c r="N74" i="5"/>
  <c r="F90" i="2"/>
  <c r="N55" i="7"/>
  <c r="F95" i="7"/>
  <c r="F98" i="7"/>
  <c r="F79" i="8"/>
  <c r="D10" i="10"/>
  <c r="M96" i="10"/>
  <c r="D23" i="10"/>
  <c r="F14" i="10"/>
  <c r="M88" i="10"/>
  <c r="C120" i="10"/>
  <c r="C115" i="10"/>
  <c r="L68" i="10"/>
  <c r="N82" i="7"/>
  <c r="I123" i="4"/>
  <c r="N80" i="8"/>
  <c r="N84" i="8"/>
  <c r="N79" i="8"/>
  <c r="N82" i="8"/>
  <c r="N78" i="8"/>
  <c r="L68" i="3"/>
  <c r="P99" i="4"/>
  <c r="P97" i="4"/>
  <c r="P94" i="4"/>
  <c r="P91" i="4"/>
  <c r="P88" i="4"/>
  <c r="P85" i="4"/>
  <c r="P83" i="4"/>
  <c r="P75" i="5"/>
  <c r="P81" i="7"/>
  <c r="P88" i="7"/>
  <c r="P86" i="7"/>
  <c r="P85" i="7"/>
  <c r="P81" i="8"/>
  <c r="P82" i="8"/>
  <c r="P62" i="3"/>
  <c r="P68" i="3" s="1"/>
  <c r="D82" i="2"/>
  <c r="D92" i="2"/>
  <c r="D89" i="2"/>
  <c r="D77" i="2"/>
  <c r="F83" i="2"/>
  <c r="P95" i="8"/>
  <c r="P94" i="8"/>
  <c r="P93" i="8"/>
  <c r="P91" i="8"/>
  <c r="P90" i="8"/>
  <c r="P89" i="8"/>
  <c r="P87" i="8"/>
  <c r="P86" i="8"/>
  <c r="P79" i="8"/>
  <c r="L22" i="10"/>
  <c r="L51" i="10"/>
  <c r="F78" i="8"/>
  <c r="F80" i="8"/>
  <c r="F93" i="8"/>
  <c r="F90" i="8"/>
  <c r="F87" i="8"/>
  <c r="N87" i="8"/>
  <c r="F84" i="8"/>
  <c r="F82" i="8"/>
  <c r="F81" i="8"/>
  <c r="P77" i="8"/>
  <c r="P96" i="8"/>
  <c r="P123" i="4"/>
  <c r="P131" i="3"/>
  <c r="P136" i="3" s="1"/>
  <c r="N70" i="9"/>
  <c r="N83" i="9"/>
  <c r="N72" i="9"/>
  <c r="F79" i="9"/>
  <c r="D80" i="9"/>
  <c r="F75" i="9"/>
  <c r="L44" i="9"/>
  <c r="N89" i="9"/>
  <c r="N87" i="9"/>
  <c r="N82" i="9"/>
  <c r="N75" i="9"/>
  <c r="N73" i="9"/>
  <c r="F80" i="9"/>
  <c r="F70" i="9"/>
  <c r="F82" i="9"/>
  <c r="R73" i="9"/>
  <c r="R79" i="9"/>
  <c r="R84" i="9"/>
  <c r="R89" i="9"/>
  <c r="R72" i="9"/>
  <c r="R77" i="9"/>
  <c r="R83" i="9"/>
  <c r="R88" i="9"/>
  <c r="R78" i="8"/>
  <c r="R80" i="8"/>
  <c r="R82" i="8"/>
  <c r="R86" i="8"/>
  <c r="R89" i="8"/>
  <c r="R91" i="8"/>
  <c r="R94" i="8"/>
  <c r="R96" i="8"/>
  <c r="R77" i="8"/>
  <c r="R79" i="8"/>
  <c r="R81" i="8"/>
  <c r="R84" i="8"/>
  <c r="R87" i="8"/>
  <c r="R90" i="8"/>
  <c r="R93" i="8"/>
  <c r="R95" i="8"/>
  <c r="R84" i="7"/>
  <c r="R95" i="7"/>
  <c r="R83" i="7"/>
  <c r="R94" i="7"/>
  <c r="R71" i="6"/>
  <c r="R73" i="6"/>
  <c r="R75" i="6"/>
  <c r="R79" i="6"/>
  <c r="R82" i="6"/>
  <c r="R84" i="6"/>
  <c r="R87" i="6"/>
  <c r="R89" i="6"/>
  <c r="R70" i="6"/>
  <c r="R72" i="6"/>
  <c r="R74" i="6"/>
  <c r="R77" i="6"/>
  <c r="R80" i="6"/>
  <c r="R83" i="6"/>
  <c r="R86" i="6"/>
  <c r="R88" i="6"/>
  <c r="R74" i="5"/>
  <c r="R85" i="5"/>
  <c r="R75" i="5"/>
  <c r="R87" i="5"/>
  <c r="R85" i="4"/>
  <c r="R97" i="4"/>
  <c r="R86" i="4"/>
  <c r="R98" i="4"/>
  <c r="R96" i="3"/>
  <c r="R101" i="3"/>
  <c r="R107" i="3"/>
  <c r="R112" i="3"/>
  <c r="R97" i="3"/>
  <c r="R103" i="3"/>
  <c r="R108" i="3"/>
  <c r="R113" i="3"/>
  <c r="P51" i="10"/>
  <c r="L14" i="10"/>
  <c r="N38" i="10"/>
  <c r="R41" i="10"/>
  <c r="P42" i="10"/>
  <c r="P67" i="3"/>
  <c r="F113" i="3"/>
  <c r="F112" i="3"/>
  <c r="F101" i="3"/>
  <c r="F95" i="3"/>
  <c r="F99" i="3"/>
  <c r="F106" i="3"/>
  <c r="F111" i="3"/>
  <c r="F108" i="3"/>
  <c r="F97" i="3"/>
  <c r="F107" i="3"/>
  <c r="L95" i="3"/>
  <c r="L106" i="3"/>
  <c r="L94" i="3"/>
  <c r="R100" i="3"/>
  <c r="R94" i="3"/>
  <c r="R98" i="3"/>
  <c r="R104" i="3"/>
  <c r="R110" i="3"/>
  <c r="R95" i="3"/>
  <c r="R99" i="3"/>
  <c r="R106" i="3"/>
  <c r="R111" i="3"/>
  <c r="D111" i="3"/>
  <c r="D99" i="3"/>
  <c r="P95" i="3"/>
  <c r="C136" i="3"/>
  <c r="D112" i="3"/>
  <c r="D107" i="3"/>
  <c r="D101" i="3"/>
  <c r="D96" i="3"/>
  <c r="F94" i="3"/>
  <c r="F98" i="3"/>
  <c r="F104" i="3"/>
  <c r="F110" i="3"/>
  <c r="D62" i="3"/>
  <c r="D39" i="10" s="1"/>
  <c r="H62" i="3"/>
  <c r="P113" i="3"/>
  <c r="J113" i="3"/>
  <c r="P111" i="3"/>
  <c r="J111" i="3"/>
  <c r="N111" i="3"/>
  <c r="P108" i="3"/>
  <c r="N107" i="3"/>
  <c r="P104" i="3"/>
  <c r="J104" i="3"/>
  <c r="P103" i="3"/>
  <c r="N101" i="3"/>
  <c r="P98" i="3"/>
  <c r="J98" i="3"/>
  <c r="P97" i="3"/>
  <c r="N96" i="3"/>
  <c r="M59" i="10"/>
  <c r="M61" i="10" s="1"/>
  <c r="N59" i="10"/>
  <c r="N61" i="10" s="1"/>
  <c r="N53" i="10"/>
  <c r="J108" i="3"/>
  <c r="N108" i="3"/>
  <c r="L107" i="3"/>
  <c r="J106" i="3"/>
  <c r="N106" i="3"/>
  <c r="J103" i="3"/>
  <c r="N103" i="3"/>
  <c r="L101" i="3"/>
  <c r="J99" i="3"/>
  <c r="N99" i="3"/>
  <c r="J97" i="3"/>
  <c r="N97" i="3"/>
  <c r="L96" i="3"/>
  <c r="N95" i="3"/>
  <c r="H68" i="3"/>
  <c r="D83" i="5"/>
  <c r="D84" i="5"/>
  <c r="D73" i="5"/>
  <c r="F84" i="5"/>
  <c r="D74" i="5"/>
  <c r="D80" i="5"/>
  <c r="D85" i="5"/>
  <c r="D90" i="5"/>
  <c r="D71" i="5"/>
  <c r="D87" i="5"/>
  <c r="D81" i="5"/>
  <c r="D75" i="5"/>
  <c r="F71" i="5"/>
  <c r="N45" i="5"/>
  <c r="N71" i="5"/>
  <c r="I10" i="10"/>
  <c r="P73" i="5"/>
  <c r="P76" i="5"/>
  <c r="P81" i="5"/>
  <c r="P84" i="5"/>
  <c r="P87" i="5"/>
  <c r="P89" i="5"/>
  <c r="P72" i="5"/>
  <c r="P78" i="5"/>
  <c r="J90" i="5"/>
  <c r="J80" i="5"/>
  <c r="J72" i="5"/>
  <c r="F83" i="5"/>
  <c r="F72" i="5"/>
  <c r="N88" i="5"/>
  <c r="M100" i="10"/>
  <c r="N100" i="10" s="1"/>
  <c r="N85" i="5"/>
  <c r="I115" i="10"/>
  <c r="I113" i="5"/>
  <c r="P71" i="5"/>
  <c r="P88" i="5"/>
  <c r="P83" i="5"/>
  <c r="P74" i="5"/>
  <c r="R71" i="5"/>
  <c r="D90" i="2"/>
  <c r="D74" i="6"/>
  <c r="D80" i="6"/>
  <c r="D86" i="6"/>
  <c r="F74" i="9"/>
  <c r="F71" i="9"/>
  <c r="D89" i="6"/>
  <c r="D84" i="6"/>
  <c r="D79" i="6"/>
  <c r="D73" i="6"/>
  <c r="D100" i="4"/>
  <c r="D98" i="4"/>
  <c r="D95" i="4"/>
  <c r="D93" i="4"/>
  <c r="D90" i="4"/>
  <c r="D86" i="4"/>
  <c r="D84" i="4"/>
  <c r="D91" i="2"/>
  <c r="D80" i="2"/>
  <c r="L71" i="5"/>
  <c r="L75" i="5"/>
  <c r="L81" i="5"/>
  <c r="L87" i="5"/>
  <c r="L73" i="6"/>
  <c r="L75" i="6"/>
  <c r="L79" i="6"/>
  <c r="L82" i="6"/>
  <c r="L84" i="6"/>
  <c r="L87" i="6"/>
  <c r="N44" i="6"/>
  <c r="N83" i="1"/>
  <c r="N90" i="5"/>
  <c r="N84" i="5"/>
  <c r="N81" i="5"/>
  <c r="F86" i="2"/>
  <c r="F100" i="4"/>
  <c r="F98" i="4"/>
  <c r="F95" i="4"/>
  <c r="F93" i="4"/>
  <c r="F90" i="4"/>
  <c r="F86" i="4"/>
  <c r="F84" i="4"/>
  <c r="F82" i="4"/>
  <c r="F94" i="8"/>
  <c r="F89" i="8"/>
  <c r="F86" i="8"/>
  <c r="N94" i="3"/>
  <c r="P112" i="3"/>
  <c r="N110" i="3"/>
  <c r="P107" i="3"/>
  <c r="N104" i="3"/>
  <c r="P101" i="3"/>
  <c r="P96" i="3"/>
  <c r="P93" i="1"/>
  <c r="P91" i="1"/>
  <c r="P88" i="1"/>
  <c r="P86" i="1"/>
  <c r="P83" i="1"/>
  <c r="P79" i="1"/>
  <c r="P77" i="1"/>
  <c r="P100" i="4"/>
  <c r="P95" i="4"/>
  <c r="P90" i="4"/>
  <c r="P84" i="4"/>
  <c r="P90" i="5"/>
  <c r="P88" i="6"/>
  <c r="P83" i="6"/>
  <c r="P77" i="6"/>
  <c r="P100" i="7"/>
  <c r="P98" i="7"/>
  <c r="P95" i="7"/>
  <c r="P93" i="7"/>
  <c r="P90" i="7"/>
  <c r="P71" i="9"/>
  <c r="P86" i="9"/>
  <c r="P80" i="9"/>
  <c r="P74" i="9"/>
  <c r="R91" i="2"/>
  <c r="R89" i="2"/>
  <c r="R86" i="2"/>
  <c r="R83" i="2"/>
  <c r="R80" i="2"/>
  <c r="R77" i="2"/>
  <c r="R75" i="2"/>
  <c r="R73" i="2"/>
  <c r="R79" i="2"/>
  <c r="R92" i="2"/>
  <c r="R90" i="2"/>
  <c r="R87" i="2"/>
  <c r="R85" i="2"/>
  <c r="R82" i="2"/>
  <c r="R78" i="2"/>
  <c r="R76" i="2"/>
  <c r="R74" i="2"/>
  <c r="R77" i="1"/>
  <c r="R78" i="1"/>
  <c r="R79" i="1"/>
  <c r="R81" i="1"/>
  <c r="R83" i="1"/>
  <c r="R84" i="1"/>
  <c r="R86" i="1"/>
  <c r="R87" i="1"/>
  <c r="R88" i="1"/>
  <c r="R90" i="1"/>
  <c r="R91" i="1"/>
  <c r="R92" i="1"/>
  <c r="R93" i="1"/>
  <c r="R80" i="1"/>
  <c r="R100" i="4"/>
  <c r="R74" i="1"/>
  <c r="R75" i="1"/>
  <c r="F93" i="7"/>
  <c r="T96" i="3"/>
  <c r="T100" i="3"/>
  <c r="T106" i="3"/>
  <c r="T111" i="3"/>
  <c r="D95" i="8"/>
  <c r="D93" i="8"/>
  <c r="D90" i="8"/>
  <c r="D87" i="8"/>
  <c r="D84" i="8"/>
  <c r="D81" i="8"/>
  <c r="D79" i="8"/>
  <c r="D81" i="7"/>
  <c r="D97" i="7"/>
  <c r="D91" i="7"/>
  <c r="D85" i="7"/>
  <c r="F70" i="6"/>
  <c r="F74" i="6"/>
  <c r="F80" i="6"/>
  <c r="F86" i="6"/>
  <c r="D113" i="3"/>
  <c r="D81" i="4"/>
  <c r="D97" i="4"/>
  <c r="D91" i="4"/>
  <c r="D85" i="4"/>
  <c r="D86" i="2"/>
  <c r="L73" i="5"/>
  <c r="L84" i="5"/>
  <c r="L72" i="6"/>
  <c r="L77" i="6"/>
  <c r="L83" i="6"/>
  <c r="L88" i="6"/>
  <c r="I116" i="1"/>
  <c r="P97" i="7"/>
  <c r="P91" i="7"/>
  <c r="T95" i="3"/>
  <c r="T99" i="3"/>
  <c r="T104" i="3"/>
  <c r="T110" i="3"/>
  <c r="F87" i="5"/>
  <c r="F88" i="5"/>
  <c r="F73" i="5"/>
  <c r="F75" i="5"/>
  <c r="F85" i="5"/>
  <c r="F80" i="5"/>
  <c r="F74" i="5"/>
  <c r="F90" i="5"/>
  <c r="J86" i="9"/>
  <c r="J73" i="9"/>
  <c r="J87" i="5"/>
  <c r="J81" i="5"/>
  <c r="J75" i="5"/>
  <c r="J88" i="5"/>
  <c r="J83" i="5"/>
  <c r="J76" i="5"/>
  <c r="J74" i="5"/>
  <c r="J78" i="5"/>
  <c r="J84" i="5"/>
  <c r="L89" i="6"/>
  <c r="L80" i="6"/>
  <c r="L70" i="6"/>
  <c r="J44" i="10"/>
  <c r="L71" i="6"/>
  <c r="J89" i="5"/>
  <c r="J73" i="5"/>
  <c r="F76" i="5"/>
  <c r="F89" i="5"/>
  <c r="J85" i="5"/>
  <c r="F81" i="5"/>
  <c r="D70" i="6"/>
  <c r="D75" i="6"/>
  <c r="D87" i="6"/>
  <c r="D88" i="6"/>
  <c r="D77" i="6"/>
  <c r="D74" i="2"/>
  <c r="D85" i="2"/>
  <c r="D76" i="2"/>
  <c r="D87" i="2"/>
  <c r="D73" i="2"/>
  <c r="D83" i="2"/>
  <c r="D78" i="2"/>
  <c r="F78" i="5"/>
  <c r="D53" i="10"/>
  <c r="F82" i="6"/>
  <c r="E95" i="10"/>
  <c r="J48" i="1"/>
  <c r="J71" i="5"/>
  <c r="J77" i="9"/>
  <c r="J88" i="6"/>
  <c r="J87" i="6"/>
  <c r="J82" i="6"/>
  <c r="J75" i="6"/>
  <c r="J71" i="6"/>
  <c r="J72" i="6"/>
  <c r="J77" i="6"/>
  <c r="J83" i="6"/>
  <c r="L86" i="6"/>
  <c r="L72" i="9"/>
  <c r="L77" i="9"/>
  <c r="L90" i="5"/>
  <c r="L89" i="5"/>
  <c r="L72" i="5"/>
  <c r="L76" i="5"/>
  <c r="L83" i="5"/>
  <c r="L88" i="5"/>
  <c r="H48" i="1"/>
  <c r="H39" i="10"/>
  <c r="J53" i="10"/>
  <c r="J52" i="10" s="1"/>
  <c r="M97" i="10"/>
  <c r="N84" i="9"/>
  <c r="J74" i="1"/>
  <c r="J44" i="9"/>
  <c r="N86" i="1"/>
  <c r="P81" i="4"/>
  <c r="P86" i="4"/>
  <c r="P98" i="4"/>
  <c r="F83" i="4"/>
  <c r="F88" i="4"/>
  <c r="F94" i="4"/>
  <c r="F33" i="8"/>
  <c r="P94" i="3"/>
  <c r="P110" i="3"/>
  <c r="P106" i="3"/>
  <c r="P99" i="3"/>
  <c r="P82" i="4"/>
  <c r="P82" i="7"/>
  <c r="P94" i="7"/>
  <c r="P78" i="8"/>
  <c r="P87" i="9"/>
  <c r="P75" i="9"/>
  <c r="T80" i="1"/>
  <c r="T83" i="1"/>
  <c r="T86" i="1"/>
  <c r="T88" i="1"/>
  <c r="T91" i="1"/>
  <c r="T79" i="2"/>
  <c r="T82" i="2"/>
  <c r="T85" i="2"/>
  <c r="T87" i="2"/>
  <c r="T90" i="2"/>
  <c r="T85" i="4"/>
  <c r="T87" i="4"/>
  <c r="T90" i="4"/>
  <c r="T93" i="4"/>
  <c r="T95" i="4"/>
  <c r="T98" i="4"/>
  <c r="T77" i="5"/>
  <c r="T80" i="5"/>
  <c r="T83" i="5"/>
  <c r="T85" i="5"/>
  <c r="T88" i="5"/>
  <c r="T107" i="3"/>
  <c r="T101" i="3"/>
  <c r="T97" i="3"/>
  <c r="T113" i="3"/>
  <c r="T108" i="3"/>
  <c r="T103" i="3"/>
  <c r="T98" i="3"/>
  <c r="T94" i="3"/>
  <c r="J92" i="2"/>
  <c r="J78" i="2"/>
  <c r="J75" i="2"/>
  <c r="N92" i="2"/>
  <c r="N78" i="2"/>
  <c r="M10" i="10"/>
  <c r="M92" i="10"/>
  <c r="J74" i="2"/>
  <c r="J76" i="2"/>
  <c r="L78" i="2"/>
  <c r="N83" i="2"/>
  <c r="N86" i="2"/>
  <c r="N89" i="2"/>
  <c r="L91" i="2"/>
  <c r="L90" i="2"/>
  <c r="L87" i="2"/>
  <c r="L85" i="2"/>
  <c r="L82" i="2"/>
  <c r="L76" i="2"/>
  <c r="T76" i="2"/>
  <c r="T78" i="2"/>
  <c r="T83" i="2"/>
  <c r="T89" i="2"/>
  <c r="V70" i="6"/>
  <c r="V71" i="5"/>
  <c r="V76" i="1"/>
  <c r="V74" i="1"/>
  <c r="V97" i="3"/>
  <c r="V96" i="3"/>
  <c r="V95" i="3"/>
  <c r="V90" i="2"/>
  <c r="V80" i="2"/>
  <c r="V89" i="2"/>
  <c r="V86" i="2"/>
  <c r="V76" i="2"/>
  <c r="V83" i="2"/>
  <c r="V78" i="2"/>
  <c r="V74" i="2"/>
  <c r="V85" i="2"/>
  <c r="V82" i="2"/>
  <c r="V79" i="2"/>
  <c r="V77" i="2"/>
  <c r="V75" i="2"/>
  <c r="V87" i="7"/>
  <c r="V86" i="7"/>
  <c r="V85" i="7"/>
  <c r="V81" i="7"/>
  <c r="V79" i="6"/>
  <c r="V76" i="6"/>
  <c r="V73" i="6"/>
  <c r="V74" i="6"/>
  <c r="V72" i="6"/>
  <c r="V71" i="6"/>
  <c r="V85" i="5"/>
  <c r="V80" i="5"/>
  <c r="V75" i="5"/>
  <c r="V90" i="5"/>
  <c r="V87" i="5"/>
  <c r="V84" i="5"/>
  <c r="V81" i="5"/>
  <c r="V78" i="5"/>
  <c r="V76" i="5"/>
  <c r="V74" i="5"/>
  <c r="V72" i="5"/>
  <c r="V73" i="5"/>
  <c r="V89" i="5"/>
  <c r="V88" i="4"/>
  <c r="V84" i="4"/>
  <c r="V86" i="4"/>
  <c r="V82" i="4"/>
  <c r="V100" i="4"/>
  <c r="V98" i="4"/>
  <c r="V95" i="4"/>
  <c r="V93" i="4"/>
  <c r="V90" i="4"/>
  <c r="V87" i="4"/>
  <c r="V85" i="4"/>
  <c r="V83" i="4"/>
  <c r="V81" i="4"/>
  <c r="V83" i="1"/>
  <c r="V84" i="1"/>
  <c r="V79" i="1"/>
  <c r="V81" i="1"/>
  <c r="V77" i="1"/>
  <c r="V80" i="1"/>
  <c r="V78" i="1"/>
  <c r="V103" i="3"/>
  <c r="V100" i="3"/>
  <c r="V101" i="3"/>
  <c r="V98" i="3"/>
  <c r="V99" i="3"/>
  <c r="V70" i="9"/>
  <c r="V89" i="9"/>
  <c r="V83" i="8"/>
  <c r="V80" i="8"/>
  <c r="V95" i="8"/>
  <c r="V93" i="8"/>
  <c r="V90" i="8"/>
  <c r="V87" i="8"/>
  <c r="V84" i="8"/>
  <c r="V82" i="8"/>
  <c r="V78" i="8"/>
  <c r="V81" i="8"/>
  <c r="V79" i="8"/>
  <c r="X89" i="9"/>
  <c r="X79" i="9"/>
  <c r="X44" i="9"/>
  <c r="X77" i="8"/>
  <c r="X95" i="8"/>
  <c r="X84" i="8"/>
  <c r="X93" i="8"/>
  <c r="X82" i="8"/>
  <c r="X94" i="8"/>
  <c r="X83" i="8"/>
  <c r="X94" i="7"/>
  <c r="X100" i="7"/>
  <c r="X90" i="7"/>
  <c r="X55" i="7"/>
  <c r="X88" i="7"/>
  <c r="X84" i="7"/>
  <c r="X97" i="7"/>
  <c r="X91" i="7"/>
  <c r="X86" i="7"/>
  <c r="X82" i="7"/>
  <c r="X98" i="7"/>
  <c r="X93" i="7"/>
  <c r="X87" i="7"/>
  <c r="X89" i="6"/>
  <c r="X70" i="6"/>
  <c r="X88" i="6"/>
  <c r="X83" i="6"/>
  <c r="X77" i="6"/>
  <c r="X73" i="6"/>
  <c r="X86" i="6"/>
  <c r="X80" i="6"/>
  <c r="X75" i="6"/>
  <c r="X71" i="6"/>
  <c r="X87" i="6"/>
  <c r="X82" i="6"/>
  <c r="X76" i="6"/>
  <c r="X90" i="5"/>
  <c r="X85" i="5"/>
  <c r="X80" i="5"/>
  <c r="X75" i="5"/>
  <c r="X85" i="4"/>
  <c r="X89" i="2"/>
  <c r="X83" i="2"/>
  <c r="X78" i="2"/>
  <c r="X74" i="2"/>
  <c r="X92" i="2"/>
  <c r="X87" i="2"/>
  <c r="X82" i="2"/>
  <c r="X77" i="2"/>
  <c r="X93" i="1"/>
  <c r="X83" i="1"/>
  <c r="X68" i="3"/>
  <c r="X107" i="3"/>
  <c r="X97" i="3"/>
  <c r="X104" i="3"/>
  <c r="X95" i="3"/>
  <c r="X106" i="3"/>
  <c r="AC89" i="9" l="1"/>
  <c r="X74" i="9"/>
  <c r="V71" i="9"/>
  <c r="V72" i="9"/>
  <c r="L80" i="9"/>
  <c r="L79" i="9"/>
  <c r="J82" i="9"/>
  <c r="J81" i="10"/>
  <c r="J87" i="10" s="1"/>
  <c r="J84" i="9"/>
  <c r="J74" i="9"/>
  <c r="T81" i="10"/>
  <c r="T102" i="10" s="1"/>
  <c r="J75" i="9"/>
  <c r="D79" i="9"/>
  <c r="L53" i="10"/>
  <c r="L52" i="10" s="1"/>
  <c r="I112" i="9"/>
  <c r="J61" i="10"/>
  <c r="G61" i="10"/>
  <c r="F12" i="10"/>
  <c r="M93" i="10"/>
  <c r="P44" i="9"/>
  <c r="P26" i="10"/>
  <c r="P112" i="9"/>
  <c r="S100" i="10"/>
  <c r="T100" i="10" s="1"/>
  <c r="S89" i="10"/>
  <c r="S83" i="10"/>
  <c r="AB83" i="10" s="1"/>
  <c r="T72" i="9"/>
  <c r="T75" i="9"/>
  <c r="T80" i="9"/>
  <c r="T86" i="9"/>
  <c r="V88" i="9"/>
  <c r="V86" i="9"/>
  <c r="V83" i="9"/>
  <c r="V80" i="9"/>
  <c r="V77" i="9"/>
  <c r="V75" i="9"/>
  <c r="AC43" i="9"/>
  <c r="D51" i="10"/>
  <c r="AB29" i="9"/>
  <c r="P82" i="9"/>
  <c r="P70" i="9"/>
  <c r="L81" i="10"/>
  <c r="L70" i="9"/>
  <c r="L84" i="9"/>
  <c r="L73" i="9"/>
  <c r="L89" i="9"/>
  <c r="J88" i="9"/>
  <c r="J71" i="9"/>
  <c r="J79" i="9"/>
  <c r="J70" i="9"/>
  <c r="J80" i="9"/>
  <c r="P77" i="9"/>
  <c r="P83" i="9"/>
  <c r="R86" i="9"/>
  <c r="R80" i="9"/>
  <c r="R74" i="9"/>
  <c r="AC74" i="9" s="1"/>
  <c r="R70" i="9"/>
  <c r="R87" i="9"/>
  <c r="R82" i="9"/>
  <c r="R75" i="9"/>
  <c r="R71" i="9"/>
  <c r="L86" i="9"/>
  <c r="D82" i="9"/>
  <c r="L88" i="9"/>
  <c r="F53" i="10"/>
  <c r="N44" i="9"/>
  <c r="C112" i="9"/>
  <c r="R44" i="9"/>
  <c r="AC44" i="9" s="1"/>
  <c r="S97" i="10"/>
  <c r="T97" i="10" s="1"/>
  <c r="S92" i="10"/>
  <c r="AB92" i="10" s="1"/>
  <c r="S87" i="10"/>
  <c r="T87" i="10" s="1"/>
  <c r="T79" i="9"/>
  <c r="AC79" i="9" s="1"/>
  <c r="T82" i="9"/>
  <c r="T84" i="9"/>
  <c r="AC84" i="9" s="1"/>
  <c r="AC68" i="9"/>
  <c r="AC38" i="9"/>
  <c r="AC25" i="9"/>
  <c r="AC40" i="10"/>
  <c r="L100" i="10"/>
  <c r="J92" i="10"/>
  <c r="N84" i="10"/>
  <c r="P99" i="10"/>
  <c r="P101" i="10"/>
  <c r="T95" i="10"/>
  <c r="L26" i="10"/>
  <c r="N44" i="10"/>
  <c r="J88" i="10"/>
  <c r="P84" i="10"/>
  <c r="P122" i="10"/>
  <c r="I122" i="10"/>
  <c r="T39" i="10"/>
  <c r="T45" i="10" s="1"/>
  <c r="T48" i="10" s="1"/>
  <c r="T26" i="10"/>
  <c r="N97" i="10"/>
  <c r="AC13" i="10"/>
  <c r="P123" i="10"/>
  <c r="AB87" i="10"/>
  <c r="J102" i="10"/>
  <c r="R26" i="10"/>
  <c r="D81" i="10"/>
  <c r="D86" i="10" s="1"/>
  <c r="J95" i="10"/>
  <c r="L93" i="10"/>
  <c r="AC107" i="10"/>
  <c r="J100" i="10"/>
  <c r="I125" i="10"/>
  <c r="N92" i="10"/>
  <c r="L44" i="10"/>
  <c r="L39" i="10"/>
  <c r="L99" i="10"/>
  <c r="N85" i="10"/>
  <c r="P83" i="10"/>
  <c r="AB59" i="10"/>
  <c r="N99" i="10"/>
  <c r="I123" i="10"/>
  <c r="AC12" i="10"/>
  <c r="L61" i="10"/>
  <c r="AC37" i="10"/>
  <c r="AC43" i="10"/>
  <c r="N90" i="10"/>
  <c r="D85" i="10"/>
  <c r="AB106" i="10"/>
  <c r="AC106" i="10"/>
  <c r="AC25" i="10"/>
  <c r="P95" i="10"/>
  <c r="P102" i="10"/>
  <c r="P90" i="10"/>
  <c r="AC105" i="10"/>
  <c r="AB95" i="10"/>
  <c r="AB85" i="10"/>
  <c r="AC24" i="10"/>
  <c r="P92" i="10"/>
  <c r="AB107" i="10"/>
  <c r="AB105" i="10"/>
  <c r="AC41" i="10"/>
  <c r="AC23" i="10"/>
  <c r="AC14" i="10"/>
  <c r="AB11" i="10"/>
  <c r="K61" i="10"/>
  <c r="AB102" i="10"/>
  <c r="AC22" i="10"/>
  <c r="AC80" i="10"/>
  <c r="AB15" i="10"/>
  <c r="J97" i="10"/>
  <c r="AB100" i="10"/>
  <c r="AB89" i="10"/>
  <c r="AC79" i="10"/>
  <c r="AB14" i="10"/>
  <c r="AB97" i="10"/>
  <c r="AC15" i="10"/>
  <c r="P44" i="10"/>
  <c r="P45" i="10" s="1"/>
  <c r="P48" i="10" s="1"/>
  <c r="AC16" i="10"/>
  <c r="J83" i="10"/>
  <c r="AC77" i="10"/>
  <c r="AB13" i="10"/>
  <c r="AB10" i="10"/>
  <c r="AC10" i="10"/>
  <c r="H61" i="10"/>
  <c r="P115" i="10"/>
  <c r="F81" i="10"/>
  <c r="F95" i="10" s="1"/>
  <c r="F26" i="10"/>
  <c r="N26" i="10"/>
  <c r="L102" i="10"/>
  <c r="L97" i="10"/>
  <c r="J96" i="10"/>
  <c r="L95" i="10"/>
  <c r="N93" i="10"/>
  <c r="L88" i="10"/>
  <c r="N86" i="10"/>
  <c r="J85" i="10"/>
  <c r="J84" i="10"/>
  <c r="D100" i="10"/>
  <c r="L56" i="10"/>
  <c r="J56" i="10"/>
  <c r="T92" i="10"/>
  <c r="V26" i="10"/>
  <c r="N52" i="10"/>
  <c r="D71" i="9"/>
  <c r="D77" i="9"/>
  <c r="D88" i="9"/>
  <c r="D84" i="9"/>
  <c r="D73" i="9"/>
  <c r="D75" i="9"/>
  <c r="D87" i="9"/>
  <c r="D86" i="9"/>
  <c r="D74" i="9"/>
  <c r="D94" i="3"/>
  <c r="D97" i="3"/>
  <c r="D75" i="1"/>
  <c r="D76" i="1"/>
  <c r="D81" i="1"/>
  <c r="D87" i="1"/>
  <c r="D92" i="1"/>
  <c r="F93" i="1"/>
  <c r="F92" i="1"/>
  <c r="F87" i="1"/>
  <c r="F81" i="1"/>
  <c r="F76" i="1"/>
  <c r="E92" i="10"/>
  <c r="F79" i="6"/>
  <c r="F92" i="2"/>
  <c r="F77" i="2"/>
  <c r="F87" i="2"/>
  <c r="F75" i="2"/>
  <c r="F78" i="2"/>
  <c r="F89" i="2"/>
  <c r="D47" i="2"/>
  <c r="H47" i="2"/>
  <c r="H81" i="10"/>
  <c r="H99" i="4"/>
  <c r="H98" i="4"/>
  <c r="H97" i="4"/>
  <c r="H84" i="4"/>
  <c r="H83" i="4"/>
  <c r="H82" i="4"/>
  <c r="H81" i="4"/>
  <c r="J98" i="7"/>
  <c r="J97" i="7"/>
  <c r="J100" i="7"/>
  <c r="J99" i="7"/>
  <c r="J95" i="7"/>
  <c r="J94" i="7"/>
  <c r="J90" i="7"/>
  <c r="J88" i="7"/>
  <c r="J85" i="7"/>
  <c r="J84" i="7"/>
  <c r="J83" i="7"/>
  <c r="J82" i="7"/>
  <c r="L100" i="7"/>
  <c r="L99" i="7"/>
  <c r="L93" i="7"/>
  <c r="L91" i="7"/>
  <c r="L86" i="7"/>
  <c r="L81" i="7"/>
  <c r="N98" i="7"/>
  <c r="N97" i="7"/>
  <c r="N95" i="7"/>
  <c r="N94" i="7"/>
  <c r="N90" i="7"/>
  <c r="N83" i="7"/>
  <c r="N84" i="7"/>
  <c r="N62" i="3"/>
  <c r="N68" i="3" s="1"/>
  <c r="N36" i="10"/>
  <c r="N39" i="10" s="1"/>
  <c r="K65" i="10"/>
  <c r="L69" i="10"/>
  <c r="L110" i="3"/>
  <c r="L111" i="3"/>
  <c r="L97" i="3"/>
  <c r="L103" i="3"/>
  <c r="L108" i="3"/>
  <c r="P72" i="6"/>
  <c r="P75" i="6"/>
  <c r="P82" i="6"/>
  <c r="P87" i="6"/>
  <c r="P70" i="6"/>
  <c r="P73" i="6"/>
  <c r="P84" i="6"/>
  <c r="R87" i="4"/>
  <c r="R83" i="4"/>
  <c r="R88" i="4"/>
  <c r="R94" i="4"/>
  <c r="R99" i="4"/>
  <c r="R84" i="4"/>
  <c r="R90" i="4"/>
  <c r="R95" i="4"/>
  <c r="R81" i="10"/>
  <c r="P10" i="10"/>
  <c r="R38" i="10"/>
  <c r="AC38" i="10" s="1"/>
  <c r="R67" i="3"/>
  <c r="R72" i="5"/>
  <c r="R76" i="5"/>
  <c r="R83" i="5"/>
  <c r="R88" i="5"/>
  <c r="R73" i="5"/>
  <c r="R78" i="5"/>
  <c r="R84" i="5"/>
  <c r="R89" i="5"/>
  <c r="R87" i="7"/>
  <c r="R82" i="7"/>
  <c r="R86" i="7"/>
  <c r="R93" i="7"/>
  <c r="R98" i="7"/>
  <c r="R81" i="7"/>
  <c r="R85" i="7"/>
  <c r="R91" i="7"/>
  <c r="R97" i="7"/>
  <c r="P119" i="10"/>
  <c r="P120" i="10" s="1"/>
  <c r="P111" i="1"/>
  <c r="P116" i="1" s="1"/>
  <c r="P53" i="10"/>
  <c r="P52" i="10" s="1"/>
  <c r="P56" i="10" s="1"/>
  <c r="N51" i="10"/>
  <c r="V88" i="7"/>
  <c r="V91" i="7"/>
  <c r="V94" i="7"/>
  <c r="V97" i="7"/>
  <c r="V99" i="7"/>
  <c r="V90" i="7"/>
  <c r="V95" i="7"/>
  <c r="V100" i="7"/>
  <c r="S61" i="10"/>
  <c r="AB61" i="10" s="1"/>
  <c r="T63" i="10"/>
  <c r="AC63" i="10" s="1"/>
  <c r="T53" i="10"/>
  <c r="X94" i="3"/>
  <c r="X81" i="8"/>
  <c r="N88" i="10"/>
  <c r="N96" i="10"/>
  <c r="N95" i="10"/>
  <c r="N102" i="10"/>
  <c r="X100" i="3"/>
  <c r="X111" i="3"/>
  <c r="X99" i="3"/>
  <c r="X110" i="3"/>
  <c r="X101" i="3"/>
  <c r="X112" i="3"/>
  <c r="P87" i="10"/>
  <c r="X48" i="1"/>
  <c r="P100" i="10"/>
  <c r="L92" i="10"/>
  <c r="J101" i="10"/>
  <c r="X47" i="2"/>
  <c r="X55" i="4"/>
  <c r="P88" i="10"/>
  <c r="X45" i="5"/>
  <c r="P97" i="10"/>
  <c r="P86" i="10"/>
  <c r="X44" i="6"/>
  <c r="P96" i="10"/>
  <c r="P85" i="10"/>
  <c r="X89" i="8"/>
  <c r="X78" i="8"/>
  <c r="X87" i="8"/>
  <c r="X80" i="8"/>
  <c r="X90" i="8"/>
  <c r="X52" i="8"/>
  <c r="X96" i="8"/>
  <c r="V83" i="7"/>
  <c r="V82" i="7"/>
  <c r="V84" i="7"/>
  <c r="L74" i="2"/>
  <c r="L80" i="2"/>
  <c r="L83" i="2"/>
  <c r="L86" i="2"/>
  <c r="L89" i="2"/>
  <c r="N73" i="2"/>
  <c r="J90" i="2"/>
  <c r="J87" i="2"/>
  <c r="J85" i="2"/>
  <c r="J82" i="2"/>
  <c r="L77" i="2"/>
  <c r="L75" i="2"/>
  <c r="N75" i="2"/>
  <c r="N77" i="2"/>
  <c r="N91" i="2"/>
  <c r="J73" i="2"/>
  <c r="J77" i="2"/>
  <c r="J91" i="2"/>
  <c r="D33" i="8"/>
  <c r="D103" i="3"/>
  <c r="P74" i="6"/>
  <c r="P80" i="6"/>
  <c r="P86" i="6"/>
  <c r="P71" i="6"/>
  <c r="M87" i="10"/>
  <c r="N87" i="10" s="1"/>
  <c r="R77" i="5"/>
  <c r="L98" i="3"/>
  <c r="L104" i="3"/>
  <c r="R62" i="3"/>
  <c r="D68" i="3"/>
  <c r="F38" i="10"/>
  <c r="D98" i="3"/>
  <c r="D104" i="3"/>
  <c r="D110" i="3"/>
  <c r="D95" i="3"/>
  <c r="D106" i="3"/>
  <c r="L112" i="3"/>
  <c r="L99" i="3"/>
  <c r="J62" i="3"/>
  <c r="R93" i="4"/>
  <c r="R82" i="4"/>
  <c r="R91" i="4"/>
  <c r="R81" i="4"/>
  <c r="R81" i="5"/>
  <c r="R90" i="5"/>
  <c r="R80" i="5"/>
  <c r="R99" i="7"/>
  <c r="R88" i="7"/>
  <c r="R100" i="7"/>
  <c r="R90" i="7"/>
  <c r="D70" i="9"/>
  <c r="F76" i="2"/>
  <c r="N88" i="7"/>
  <c r="F85" i="2"/>
  <c r="D89" i="9"/>
  <c r="D72" i="9"/>
  <c r="F77" i="9"/>
  <c r="F83" i="9"/>
  <c r="F89" i="9"/>
  <c r="F86" i="9"/>
  <c r="F72" i="9"/>
  <c r="F73" i="9"/>
  <c r="F87" i="9"/>
  <c r="D90" i="1"/>
  <c r="D78" i="1"/>
  <c r="F78" i="1"/>
  <c r="F90" i="1"/>
  <c r="D72" i="5"/>
  <c r="D78" i="5"/>
  <c r="D88" i="5"/>
  <c r="E83" i="10"/>
  <c r="E101" i="10"/>
  <c r="J83" i="9"/>
  <c r="J72" i="9"/>
  <c r="J87" i="9"/>
  <c r="L83" i="9"/>
  <c r="L71" i="9"/>
  <c r="L82" i="9"/>
  <c r="L74" i="9"/>
  <c r="D44" i="6"/>
  <c r="J83" i="1"/>
  <c r="J76" i="1"/>
  <c r="J81" i="1"/>
  <c r="J88" i="1"/>
  <c r="J93" i="1"/>
  <c r="N72" i="6"/>
  <c r="N83" i="6"/>
  <c r="N89" i="6"/>
  <c r="N84" i="6"/>
  <c r="N79" i="6"/>
  <c r="N73" i="6"/>
  <c r="N73" i="5"/>
  <c r="N78" i="5"/>
  <c r="N76" i="5"/>
  <c r="H85" i="4"/>
  <c r="H86" i="4"/>
  <c r="H88" i="4"/>
  <c r="H90" i="4"/>
  <c r="H91" i="4"/>
  <c r="H93" i="4"/>
  <c r="H94" i="4"/>
  <c r="H95" i="4"/>
  <c r="J81" i="7"/>
  <c r="L82" i="7"/>
  <c r="L84" i="7"/>
  <c r="J86" i="7"/>
  <c r="L88" i="7"/>
  <c r="J91" i="7"/>
  <c r="N93" i="7"/>
  <c r="N99" i="7"/>
  <c r="P79" i="6"/>
  <c r="P72" i="9"/>
  <c r="P73" i="9"/>
  <c r="P84" i="9"/>
  <c r="R59" i="10"/>
  <c r="R61" i="10" s="1"/>
  <c r="T90" i="5"/>
  <c r="T89" i="5"/>
  <c r="T78" i="5"/>
  <c r="T84" i="5"/>
  <c r="T71" i="5"/>
  <c r="V93" i="7"/>
  <c r="X71" i="9"/>
  <c r="X73" i="9"/>
  <c r="X87" i="9"/>
  <c r="AC87" i="9" s="1"/>
  <c r="X80" i="9"/>
  <c r="AC80" i="9" s="1"/>
  <c r="D26" i="10"/>
  <c r="E99" i="10"/>
  <c r="L44" i="6"/>
  <c r="D44" i="10"/>
  <c r="D45" i="10" s="1"/>
  <c r="D47" i="10" s="1"/>
  <c r="D48" i="10" s="1"/>
  <c r="D44" i="9"/>
  <c r="F45" i="5"/>
  <c r="E10" i="10"/>
  <c r="F77" i="8"/>
  <c r="F96" i="8"/>
  <c r="F73" i="2"/>
  <c r="F65" i="10"/>
  <c r="H68" i="10"/>
  <c r="H23" i="10"/>
  <c r="H26" i="10" s="1"/>
  <c r="H33" i="8"/>
  <c r="H69" i="10"/>
  <c r="J65" i="10"/>
  <c r="P80" i="5"/>
  <c r="P85" i="5"/>
  <c r="P92" i="2"/>
  <c r="P91" i="2"/>
  <c r="P86" i="2"/>
  <c r="P80" i="2"/>
  <c r="P75" i="2"/>
  <c r="O10" i="10"/>
  <c r="R36" i="10"/>
  <c r="AC36" i="10" s="1"/>
  <c r="H52" i="10"/>
  <c r="H56" i="10" s="1"/>
  <c r="T93" i="1"/>
  <c r="T76" i="1"/>
  <c r="S84" i="10"/>
  <c r="S86" i="10"/>
  <c r="T86" i="10" s="1"/>
  <c r="S88" i="10"/>
  <c r="T81" i="1"/>
  <c r="S90" i="10"/>
  <c r="S96" i="10"/>
  <c r="T96" i="10" s="1"/>
  <c r="T92" i="1"/>
  <c r="S101" i="10"/>
  <c r="T101" i="10" s="1"/>
  <c r="S99" i="10"/>
  <c r="T80" i="2"/>
  <c r="S93" i="10"/>
  <c r="T91" i="2"/>
  <c r="T73" i="5"/>
  <c r="T82" i="7"/>
  <c r="T84" i="7"/>
  <c r="T86" i="7"/>
  <c r="T88" i="7"/>
  <c r="T94" i="7"/>
  <c r="T99" i="7"/>
  <c r="T82" i="8"/>
  <c r="T95" i="8"/>
  <c r="T84" i="8"/>
  <c r="T87" i="8"/>
  <c r="T90" i="8"/>
  <c r="T93" i="8"/>
  <c r="T71" i="9"/>
  <c r="T73" i="9"/>
  <c r="T77" i="9"/>
  <c r="T88" i="9"/>
  <c r="T89" i="6"/>
  <c r="T87" i="6"/>
  <c r="T84" i="6"/>
  <c r="T82" i="6"/>
  <c r="T79" i="6"/>
  <c r="T76" i="6"/>
  <c r="T74" i="6"/>
  <c r="T72" i="6"/>
  <c r="T70" i="6"/>
  <c r="V39" i="10"/>
  <c r="V91" i="4"/>
  <c r="V97" i="4"/>
  <c r="F44" i="10"/>
  <c r="C112" i="6"/>
  <c r="D61" i="10"/>
  <c r="D68" i="10"/>
  <c r="F68" i="10"/>
  <c r="I61" i="10"/>
  <c r="L33" i="8"/>
  <c r="F69" i="10"/>
  <c r="P45" i="5"/>
  <c r="P44" i="6"/>
  <c r="M65" i="10"/>
  <c r="R55" i="4"/>
  <c r="R45" i="5"/>
  <c r="R55" i="7"/>
  <c r="R53" i="10"/>
  <c r="R52" i="10" s="1"/>
  <c r="R56" i="10" s="1"/>
  <c r="T68" i="3"/>
  <c r="T47" i="2"/>
  <c r="T55" i="7"/>
  <c r="V44" i="10"/>
  <c r="V52" i="8"/>
  <c r="V45" i="10" s="1"/>
  <c r="V73" i="2"/>
  <c r="T61" i="10"/>
  <c r="S63" i="10"/>
  <c r="AB63" i="10" s="1"/>
  <c r="X75" i="1"/>
  <c r="X72" i="5"/>
  <c r="X72" i="6"/>
  <c r="X83" i="7"/>
  <c r="X113" i="3"/>
  <c r="X103" i="3"/>
  <c r="X74" i="6"/>
  <c r="X79" i="6"/>
  <c r="X82" i="4"/>
  <c r="X91" i="8"/>
  <c r="X81" i="5"/>
  <c r="X88" i="5"/>
  <c r="X74" i="5"/>
  <c r="X91" i="4"/>
  <c r="X98" i="4"/>
  <c r="X84" i="4"/>
  <c r="X78" i="1"/>
  <c r="X88" i="1"/>
  <c r="X81" i="7"/>
  <c r="X99" i="7"/>
  <c r="X85" i="7"/>
  <c r="X90" i="4"/>
  <c r="X100" i="4"/>
  <c r="X94" i="4"/>
  <c r="X87" i="4"/>
  <c r="X90" i="2"/>
  <c r="X79" i="2"/>
  <c r="X83" i="9"/>
  <c r="AC83" i="9" s="1"/>
  <c r="X76" i="9"/>
  <c r="AC76" i="9" s="1"/>
  <c r="X91" i="1"/>
  <c r="X84" i="1"/>
  <c r="X77" i="1"/>
  <c r="F39" i="10"/>
  <c r="F68" i="3"/>
  <c r="F103" i="3"/>
  <c r="D108" i="3"/>
  <c r="X44" i="10"/>
  <c r="J86" i="10"/>
  <c r="J93" i="10"/>
  <c r="J90" i="10"/>
  <c r="J99" i="10"/>
  <c r="X26" i="10"/>
  <c r="X45" i="10"/>
  <c r="H44" i="10"/>
  <c r="H45" i="10" s="1"/>
  <c r="H47" i="10" s="1"/>
  <c r="H48" i="10" s="1"/>
  <c r="M83" i="10"/>
  <c r="D76" i="5"/>
  <c r="F84" i="6"/>
  <c r="F75" i="6"/>
  <c r="F71" i="6"/>
  <c r="F72" i="6"/>
  <c r="F83" i="6"/>
  <c r="D93" i="1"/>
  <c r="D91" i="1"/>
  <c r="D88" i="1"/>
  <c r="D86" i="1"/>
  <c r="D83" i="1"/>
  <c r="D79" i="1"/>
  <c r="D77" i="1"/>
  <c r="F75" i="1"/>
  <c r="F77" i="1"/>
  <c r="F79" i="1"/>
  <c r="F83" i="1"/>
  <c r="F86" i="1"/>
  <c r="F88" i="1"/>
  <c r="F91" i="1"/>
  <c r="D89" i="5"/>
  <c r="J92" i="1"/>
  <c r="J90" i="1"/>
  <c r="J87" i="1"/>
  <c r="J84" i="1"/>
  <c r="J79" i="1"/>
  <c r="J77" i="1"/>
  <c r="J75" i="1"/>
  <c r="L77" i="1"/>
  <c r="L79" i="1"/>
  <c r="L84" i="1"/>
  <c r="L87" i="1"/>
  <c r="L90" i="1"/>
  <c r="L92" i="1"/>
  <c r="N74" i="1"/>
  <c r="N75" i="1"/>
  <c r="N78" i="1"/>
  <c r="N81" i="1"/>
  <c r="N84" i="1"/>
  <c r="N87" i="1"/>
  <c r="N90" i="1"/>
  <c r="N91" i="1"/>
  <c r="N93" i="1"/>
  <c r="N88" i="9"/>
  <c r="N71" i="9"/>
  <c r="N70" i="6"/>
  <c r="N86" i="6"/>
  <c r="N80" i="6"/>
  <c r="N74" i="6"/>
  <c r="N71" i="6"/>
  <c r="N80" i="5"/>
  <c r="N72" i="5"/>
  <c r="F74" i="2"/>
  <c r="F80" i="2"/>
  <c r="F91" i="2"/>
  <c r="F81" i="4"/>
  <c r="F91" i="4"/>
  <c r="F61" i="10"/>
  <c r="H65" i="10"/>
  <c r="L65" i="10"/>
  <c r="J33" i="8"/>
  <c r="J94" i="3"/>
  <c r="L113" i="3"/>
  <c r="N112" i="3"/>
  <c r="J107" i="3"/>
  <c r="J96" i="3"/>
  <c r="N98" i="3"/>
  <c r="P99" i="7"/>
  <c r="P89" i="9"/>
  <c r="P79" i="9"/>
  <c r="P74" i="2"/>
  <c r="P76" i="2"/>
  <c r="P78" i="2"/>
  <c r="P82" i="2"/>
  <c r="P85" i="2"/>
  <c r="P87" i="2"/>
  <c r="P90" i="2"/>
  <c r="Q12" i="10"/>
  <c r="AB12" i="10" s="1"/>
  <c r="R42" i="10"/>
  <c r="AC42" i="10" s="1"/>
  <c r="T75" i="1"/>
  <c r="T77" i="1"/>
  <c r="T79" i="1"/>
  <c r="T84" i="1"/>
  <c r="T90" i="1"/>
  <c r="T72" i="5"/>
  <c r="T74" i="5"/>
  <c r="T76" i="5"/>
  <c r="T81" i="5"/>
  <c r="T87" i="5"/>
  <c r="V81" i="10"/>
  <c r="V96" i="8"/>
  <c r="V94" i="8"/>
  <c r="V91" i="8"/>
  <c r="V89" i="8"/>
  <c r="V86" i="8"/>
  <c r="V91" i="2"/>
  <c r="X81" i="10"/>
  <c r="X96" i="3"/>
  <c r="X98" i="3"/>
  <c r="X108" i="3"/>
  <c r="X39" i="10"/>
  <c r="X87" i="1"/>
  <c r="X80" i="1"/>
  <c r="X85" i="2"/>
  <c r="X81" i="4"/>
  <c r="X83" i="4"/>
  <c r="X86" i="4"/>
  <c r="X88" i="4"/>
  <c r="X93" i="4"/>
  <c r="X97" i="4"/>
  <c r="X99" i="4"/>
  <c r="X84" i="5"/>
  <c r="X77" i="5"/>
  <c r="X70" i="9"/>
  <c r="X72" i="9"/>
  <c r="AC72" i="9" s="1"/>
  <c r="X75" i="9"/>
  <c r="X77" i="9"/>
  <c r="AC77" i="9" s="1"/>
  <c r="X82" i="9"/>
  <c r="X86" i="9"/>
  <c r="X88" i="9"/>
  <c r="AC88" i="9" s="1"/>
  <c r="X74" i="1"/>
  <c r="X76" i="1"/>
  <c r="X79" i="1"/>
  <c r="X81" i="1"/>
  <c r="X86" i="1"/>
  <c r="X90" i="1"/>
  <c r="X92" i="1"/>
  <c r="X73" i="2"/>
  <c r="X76" i="2"/>
  <c r="X80" i="2"/>
  <c r="X86" i="2"/>
  <c r="X91" i="2"/>
  <c r="X71" i="5"/>
  <c r="X73" i="5"/>
  <c r="X76" i="5"/>
  <c r="X78" i="5"/>
  <c r="X83" i="5"/>
  <c r="X87" i="5"/>
  <c r="X89" i="5"/>
  <c r="X79" i="8"/>
  <c r="X86" i="8"/>
  <c r="AC82" i="9" l="1"/>
  <c r="AC75" i="9"/>
  <c r="AC70" i="9"/>
  <c r="AC61" i="10"/>
  <c r="C125" i="10"/>
  <c r="T93" i="10"/>
  <c r="T99" i="10"/>
  <c r="T90" i="10"/>
  <c r="T88" i="10"/>
  <c r="T84" i="10"/>
  <c r="AC71" i="9"/>
  <c r="N45" i="10"/>
  <c r="N48" i="10" s="1"/>
  <c r="T83" i="10"/>
  <c r="T89" i="10"/>
  <c r="T85" i="10"/>
  <c r="L96" i="10"/>
  <c r="L84" i="10"/>
  <c r="L87" i="10"/>
  <c r="AC86" i="9"/>
  <c r="AC73" i="9"/>
  <c r="L86" i="10"/>
  <c r="F87" i="10"/>
  <c r="D92" i="10"/>
  <c r="L101" i="10"/>
  <c r="L83" i="10"/>
  <c r="L85" i="10"/>
  <c r="D83" i="10"/>
  <c r="L90" i="10"/>
  <c r="L45" i="10"/>
  <c r="L48" i="10" s="1"/>
  <c r="AB99" i="10"/>
  <c r="AB86" i="10"/>
  <c r="D102" i="10"/>
  <c r="D93" i="10"/>
  <c r="D96" i="10"/>
  <c r="F101" i="10"/>
  <c r="D97" i="10"/>
  <c r="D101" i="10"/>
  <c r="D84" i="10"/>
  <c r="AB101" i="10"/>
  <c r="D87" i="10"/>
  <c r="D99" i="10"/>
  <c r="D95" i="10"/>
  <c r="D90" i="10"/>
  <c r="F88" i="10"/>
  <c r="D88" i="10"/>
  <c r="AB88" i="10"/>
  <c r="AB84" i="10"/>
  <c r="X101" i="10"/>
  <c r="AC81" i="10"/>
  <c r="F83" i="10"/>
  <c r="F85" i="10"/>
  <c r="AC26" i="10"/>
  <c r="F97" i="10"/>
  <c r="AB93" i="10"/>
  <c r="P124" i="10"/>
  <c r="F93" i="10"/>
  <c r="F99" i="10"/>
  <c r="T52" i="10"/>
  <c r="F102" i="10"/>
  <c r="F84" i="10"/>
  <c r="AB96" i="10"/>
  <c r="F96" i="10"/>
  <c r="F86" i="10"/>
  <c r="AB90" i="10"/>
  <c r="P125" i="10"/>
  <c r="F92" i="10"/>
  <c r="F100" i="10"/>
  <c r="F90" i="10"/>
  <c r="AC59" i="10"/>
  <c r="F45" i="10"/>
  <c r="F47" i="10" s="1"/>
  <c r="F48" i="10" s="1"/>
  <c r="V48" i="10"/>
  <c r="X47" i="10"/>
  <c r="AC47" i="10" s="1"/>
  <c r="T65" i="10"/>
  <c r="AC65" i="10" s="1"/>
  <c r="R39" i="10"/>
  <c r="AC39" i="10" s="1"/>
  <c r="R95" i="10"/>
  <c r="R102" i="10"/>
  <c r="R87" i="10"/>
  <c r="R86" i="10"/>
  <c r="R88" i="10"/>
  <c r="R90" i="10"/>
  <c r="R97" i="10"/>
  <c r="R83" i="10"/>
  <c r="R99" i="10"/>
  <c r="R93" i="10"/>
  <c r="R92" i="10"/>
  <c r="R89" i="10"/>
  <c r="R101" i="10"/>
  <c r="R85" i="10"/>
  <c r="R100" i="10"/>
  <c r="R84" i="10"/>
  <c r="H96" i="10"/>
  <c r="H86" i="10"/>
  <c r="H92" i="10"/>
  <c r="H99" i="10"/>
  <c r="H93" i="10"/>
  <c r="H85" i="10"/>
  <c r="H87" i="10"/>
  <c r="H97" i="10"/>
  <c r="H88" i="10"/>
  <c r="H84" i="10"/>
  <c r="H100" i="10"/>
  <c r="H83" i="10"/>
  <c r="H95" i="10"/>
  <c r="H102" i="10"/>
  <c r="N56" i="10"/>
  <c r="S65" i="10"/>
  <c r="AB65" i="10" s="1"/>
  <c r="J68" i="3"/>
  <c r="J39" i="10"/>
  <c r="J45" i="10" s="1"/>
  <c r="J48" i="10" s="1"/>
  <c r="R68" i="3"/>
  <c r="H90" i="10"/>
  <c r="H101" i="10"/>
  <c r="R96" i="10"/>
  <c r="X83" i="10"/>
  <c r="X87" i="10"/>
  <c r="X97" i="10"/>
  <c r="X85" i="10"/>
  <c r="X92" i="10"/>
  <c r="X102" i="10"/>
  <c r="X86" i="10"/>
  <c r="X93" i="10"/>
  <c r="X89" i="10"/>
  <c r="X95" i="10"/>
  <c r="X100" i="10"/>
  <c r="X84" i="10"/>
  <c r="AC84" i="10" s="1"/>
  <c r="X88" i="10"/>
  <c r="X99" i="10"/>
  <c r="X90" i="10"/>
  <c r="X96" i="10"/>
  <c r="V84" i="10"/>
  <c r="V93" i="10"/>
  <c r="V101" i="10"/>
  <c r="V99" i="10"/>
  <c r="V95" i="10"/>
  <c r="V88" i="10"/>
  <c r="V96" i="10"/>
  <c r="V86" i="10"/>
  <c r="V85" i="10"/>
  <c r="V100" i="10"/>
  <c r="V87" i="10"/>
  <c r="V97" i="10"/>
  <c r="V90" i="10"/>
  <c r="V89" i="10"/>
  <c r="V83" i="10"/>
  <c r="V92" i="10"/>
  <c r="V102" i="10"/>
  <c r="R44" i="10"/>
  <c r="AC44" i="10" s="1"/>
  <c r="N83" i="10"/>
  <c r="AC100" i="10" l="1"/>
  <c r="AC96" i="10"/>
  <c r="AC93" i="10"/>
  <c r="AC99" i="10"/>
  <c r="AC102" i="10"/>
  <c r="AC86" i="10"/>
  <c r="T56" i="10"/>
  <c r="AC88" i="10"/>
  <c r="AC92" i="10"/>
  <c r="AC85" i="10"/>
  <c r="AC101" i="10"/>
  <c r="AC97" i="10"/>
  <c r="AC95" i="10"/>
  <c r="AC87" i="10"/>
  <c r="AC89" i="10"/>
  <c r="AC83" i="10"/>
  <c r="AC90" i="10"/>
  <c r="X48" i="10"/>
  <c r="R45" i="10"/>
  <c r="AC45" i="10" s="1"/>
  <c r="R48" i="10" l="1"/>
  <c r="AC48" i="10" s="1"/>
</calcChain>
</file>

<file path=xl/sharedStrings.xml><?xml version="1.0" encoding="utf-8"?>
<sst xmlns="http://schemas.openxmlformats.org/spreadsheetml/2006/main" count="3190" uniqueCount="249">
  <si>
    <t>Department:  Agricultural Economics</t>
  </si>
  <si>
    <t># of</t>
  </si>
  <si>
    <t>Degrees</t>
  </si>
  <si>
    <t>Majors</t>
  </si>
  <si>
    <t>Conferred</t>
  </si>
  <si>
    <t># of Majors &amp; Degrees Conferred:</t>
  </si>
  <si>
    <t>Doctorate Program</t>
  </si>
  <si>
    <t>Student Credit Hours Generated:</t>
  </si>
  <si>
    <t>(Base courses only)</t>
  </si>
  <si>
    <t>Lower Division (0-299 level)</t>
  </si>
  <si>
    <t>Upper Division (300-699 level)</t>
  </si>
  <si>
    <t>Graduate I (700-899 level)</t>
  </si>
  <si>
    <t>Graduate II (900-999 level)</t>
  </si>
  <si>
    <t>Total</t>
  </si>
  <si>
    <t>Instructional Expenditures</t>
  </si>
  <si>
    <t>Research/Public Serv. Expenditures</t>
  </si>
  <si>
    <t>Grants/Contracts Awarded:</t>
  </si>
  <si>
    <t>FTE</t>
  </si>
  <si>
    <t>Department:   Agronomy</t>
  </si>
  <si>
    <t>Department:  Entomology</t>
  </si>
  <si>
    <t>Department:   Plant Pathology</t>
  </si>
  <si>
    <t>Department:  Grain Science &amp; Industry</t>
  </si>
  <si>
    <t>xxxxx</t>
  </si>
  <si>
    <t xml:space="preserve"> </t>
  </si>
  <si>
    <t>Agricultural Economics - 01.0103</t>
  </si>
  <si>
    <t>Agricultural Business &amp; Management - 01.0101</t>
  </si>
  <si>
    <t>Entomology - 26.0702</t>
  </si>
  <si>
    <t>Undergraduate Program</t>
  </si>
  <si>
    <t>Doctorate Program *</t>
  </si>
  <si>
    <t>Department:   General Agriculture  (Dean's Office)</t>
  </si>
  <si>
    <t>Department:   Animal Science &amp; Industry</t>
  </si>
  <si>
    <t>Department:   Horticulture, Forestry and Recreation Resources</t>
  </si>
  <si>
    <t>Includes Federal Agricultural Experiment Station and Federal Cooperative Extension Service funding.</t>
  </si>
  <si>
    <t>FY 2004</t>
  </si>
  <si>
    <t>FY 2005</t>
  </si>
  <si>
    <t>Fall 2003</t>
  </si>
  <si>
    <t>Fall 2004</t>
  </si>
  <si>
    <t>Faculty Demographics:</t>
  </si>
  <si>
    <t xml:space="preserve">Instructional </t>
  </si>
  <si>
    <t>Full-time</t>
  </si>
  <si>
    <t xml:space="preserve">Research </t>
  </si>
  <si>
    <t>Pre-Vet Agriculture - 51.1104</t>
  </si>
  <si>
    <t>Food Science - 01.1001</t>
  </si>
  <si>
    <t>Genetics, General - 26.0801</t>
  </si>
  <si>
    <t>Agriculture Teacher Education - 13.1301</t>
  </si>
  <si>
    <t>Agronomy &amp; Crop Science - 01.1102</t>
  </si>
  <si>
    <t>Animal Sciences, General - 01.0901</t>
  </si>
  <si>
    <t>Food Science - 01.1001*</t>
  </si>
  <si>
    <t>Horticulture Science - 01.1103</t>
  </si>
  <si>
    <t>Horticulture Therapy - 51.2399</t>
  </si>
  <si>
    <t>Grants/Contracts Proposed:</t>
  </si>
  <si>
    <t>Minor's Program</t>
  </si>
  <si>
    <t>Grants/Contracts Dollars Awarded:</t>
  </si>
  <si>
    <t>Number of Grants/Contracts Proposed:</t>
  </si>
  <si>
    <t>Secondary Major Program*</t>
  </si>
  <si>
    <t>A.  Student Information</t>
  </si>
  <si>
    <t>B.  Financial Information</t>
  </si>
  <si>
    <t>Budgeted Dollars:</t>
  </si>
  <si>
    <t>Main Campus</t>
  </si>
  <si>
    <t>General Use</t>
  </si>
  <si>
    <t>Total Main Campus</t>
  </si>
  <si>
    <t>Research &amp; Extension</t>
  </si>
  <si>
    <t>Total Research &amp; Extension</t>
  </si>
  <si>
    <t>Total Department</t>
  </si>
  <si>
    <t>C.  Faculty Information</t>
  </si>
  <si>
    <t>B. Financial Information:</t>
  </si>
  <si>
    <t>C. Faculty Information</t>
  </si>
  <si>
    <t>Other (Grants, contracts, SRO, fees, sales &amp; service, copy centers, storerooms, etc)</t>
  </si>
  <si>
    <t>Foundation Accounts:</t>
  </si>
  <si>
    <t xml:space="preserve">  </t>
  </si>
  <si>
    <t>Total Donations</t>
  </si>
  <si>
    <t>Endowed Chairs</t>
  </si>
  <si>
    <t xml:space="preserve">     Honors Graduates:</t>
  </si>
  <si>
    <t>Cum Laude</t>
  </si>
  <si>
    <t>Summa Cum Laude</t>
  </si>
  <si>
    <t>Magna Cum Laude</t>
  </si>
  <si>
    <t>Doctorate Programs</t>
  </si>
  <si>
    <t>Total College</t>
  </si>
  <si>
    <t>Graduate Certificate Programs</t>
  </si>
  <si>
    <t>Secondary Majors</t>
  </si>
  <si>
    <t>B. Financial Information</t>
  </si>
  <si>
    <t>White</t>
  </si>
  <si>
    <t>Black</t>
  </si>
  <si>
    <t>Hispanic</t>
  </si>
  <si>
    <t>Native American</t>
  </si>
  <si>
    <t xml:space="preserve">Asian </t>
  </si>
  <si>
    <t>Non-Resident</t>
  </si>
  <si>
    <t>Unknown</t>
  </si>
  <si>
    <t>Male</t>
  </si>
  <si>
    <t>Female</t>
  </si>
  <si>
    <t>Tenure</t>
  </si>
  <si>
    <t>Tenure-Track</t>
  </si>
  <si>
    <t>Non-Tenured</t>
  </si>
  <si>
    <t>Ph. D.</t>
  </si>
  <si>
    <t>M.S.</t>
  </si>
  <si>
    <t>B.S.</t>
  </si>
  <si>
    <t>Other</t>
  </si>
  <si>
    <t>N</t>
  </si>
  <si>
    <t>%</t>
  </si>
  <si>
    <t>C. Faculty Information*</t>
  </si>
  <si>
    <t>Ethnicity</t>
  </si>
  <si>
    <t>Gender</t>
  </si>
  <si>
    <t>Tenure Status</t>
  </si>
  <si>
    <t>Highest Degree</t>
  </si>
  <si>
    <t>$</t>
  </si>
  <si>
    <t>Undergraduate Certificate Program</t>
  </si>
  <si>
    <t>FY 2006</t>
  </si>
  <si>
    <t>xxx</t>
  </si>
  <si>
    <t>Endowed Faculty Support Funds-cumulative total</t>
  </si>
  <si>
    <t>*Includes Instructional Support and Instructional Reserve.</t>
  </si>
  <si>
    <t>Agriculture Technology Management majors are officially counted in the College of Agriculture. The resources and support for the program are provided by the Department of Biological and Agricultural Engineering (BAE) in the College of Engineering.</t>
  </si>
  <si>
    <t>Agricultural Education majors are officially counted in the College of Agriculture.  The resources and support for the program are provided by the Department of Secondary Education in the College of Education.</t>
  </si>
  <si>
    <t>Total Academic Departments</t>
  </si>
  <si>
    <t xml:space="preserve">Research &amp; Extension Units </t>
  </si>
  <si>
    <t xml:space="preserve">Academic Units </t>
  </si>
  <si>
    <t xml:space="preserve">Total Grants &amp; Contracts </t>
  </si>
  <si>
    <t xml:space="preserve">Total Grants &amp; Contracts Proposed </t>
  </si>
  <si>
    <t>* Number of majors &amp; degrees includes second majors.</t>
  </si>
  <si>
    <t>FY 2007</t>
  </si>
  <si>
    <t>xxxx</t>
  </si>
  <si>
    <t>Food Safety and Defense- 01.1099</t>
  </si>
  <si>
    <t>FY 2008</t>
  </si>
  <si>
    <t>Fall 2005</t>
  </si>
  <si>
    <t>Fall 2006</t>
  </si>
  <si>
    <t xml:space="preserve">Total Annual Donations </t>
  </si>
  <si>
    <t xml:space="preserve">Doctorate Program </t>
  </si>
  <si>
    <t>Applied Genomics and Biotechnology - 26.1201</t>
  </si>
  <si>
    <t>FY 2009</t>
  </si>
  <si>
    <t>Graduate DCE</t>
  </si>
  <si>
    <t>Agricultural Technology Management - 01.0201</t>
  </si>
  <si>
    <t>Research/Public Service</t>
  </si>
  <si>
    <t xml:space="preserve">Graduate Assistants </t>
  </si>
  <si>
    <t>GRAs</t>
  </si>
  <si>
    <t>GTAs</t>
  </si>
  <si>
    <t>Five Year Average</t>
  </si>
  <si>
    <t xml:space="preserve">     1.  Their Undergraduate Majors</t>
  </si>
  <si>
    <t xml:space="preserve">     2.  Their Graduate Majors</t>
  </si>
  <si>
    <t xml:space="preserve">     3.  Non-Majors</t>
  </si>
  <si>
    <t xml:space="preserve">     1.  Tenure/Tenure Track Faculty</t>
  </si>
  <si>
    <t xml:space="preserve">     2.  Graduate Teaching Assistants</t>
  </si>
  <si>
    <t xml:space="preserve">            a.  Instructor of Record</t>
  </si>
  <si>
    <t xml:space="preserve">            b.  Not Instructor of Record</t>
  </si>
  <si>
    <t xml:space="preserve">     3.  Other</t>
  </si>
  <si>
    <t xml:space="preserve">     4.  Total FTE (1 to 3)</t>
  </si>
  <si>
    <t xml:space="preserve">     5.  SCH Generated by Faculty</t>
  </si>
  <si>
    <t xml:space="preserve">     6.  SCH Generated by GTA's</t>
  </si>
  <si>
    <t xml:space="preserve">     7.  SCH Generated by Others</t>
  </si>
  <si>
    <t xml:space="preserve">    12.  Ave. SCH per FTE</t>
  </si>
  <si>
    <t>Fall 2007</t>
  </si>
  <si>
    <t>Fall 2008</t>
  </si>
  <si>
    <t>% Departmental SCH taken by:</t>
  </si>
  <si>
    <t>SCH:</t>
  </si>
  <si>
    <t>RATE (SCH per FTE):</t>
  </si>
  <si>
    <t xml:space="preserve">     9.  Ave. SCH per Tenure/ Ten Trk </t>
  </si>
  <si>
    <t xml:space="preserve">    10. Ave. SCH per GTA (I of R only)</t>
  </si>
  <si>
    <t xml:space="preserve">    11. Ave. SCH per Other Faculty</t>
  </si>
  <si>
    <t xml:space="preserve">     8.            Total SCH</t>
  </si>
  <si>
    <t xml:space="preserve">Instructional FTE: </t>
  </si>
  <si>
    <t>GAs</t>
  </si>
  <si>
    <t>% College SCH taken by:</t>
  </si>
  <si>
    <t>Number of majors &amp; degrees includes second majors.</t>
  </si>
  <si>
    <t>Part-time</t>
  </si>
  <si>
    <t>Plant Pathology/Phytopathology - 26.0305*</t>
  </si>
  <si>
    <t xml:space="preserve">    *Interdisciplinary Program.  Number of students advised within this department included in this report.</t>
  </si>
  <si>
    <t>Bachelor's Program</t>
  </si>
  <si>
    <t xml:space="preserve">Master's Program </t>
  </si>
  <si>
    <t>Master's Program *</t>
  </si>
  <si>
    <t>Master's Program</t>
  </si>
  <si>
    <t>Note: Genetics and Natural Resource/Env. Studies are interdisciplinary programs and are shown in the Ag. Dean's office.</t>
  </si>
  <si>
    <t>*Genetics and Food Science masters and PhD programs - interdisciplinary program is shown in the Ag. Dean's office.</t>
  </si>
  <si>
    <t>Number of majors &amp; degrees includes second majors</t>
  </si>
  <si>
    <t>Minor's Programs</t>
  </si>
  <si>
    <t>Master's Programs</t>
  </si>
  <si>
    <t>Contemporary Citzenship in Ag. 01.0899</t>
  </si>
  <si>
    <t>FY 2010</t>
  </si>
  <si>
    <t>Fall 2009</t>
  </si>
  <si>
    <t>Minor's Program (Cereal)</t>
  </si>
  <si>
    <t>Feed Science &amp; Management - 01.0401</t>
  </si>
  <si>
    <t>Bakery Science &amp; Management - 01.0401</t>
  </si>
  <si>
    <t>Milling Science &amp; Management - 01.0401</t>
  </si>
  <si>
    <t xml:space="preserve"> Number of majors &amp; degrees includes second majors.</t>
  </si>
  <si>
    <t>Natural Resource and Environmental Studies - interdisciplinary program is shown in the Ag. Dean's Office</t>
  </si>
  <si>
    <t xml:space="preserve">* Interdisciplinary Program </t>
  </si>
  <si>
    <t>Wildlife and Outdoor Enterprise Mgmt. - 03.0201</t>
  </si>
  <si>
    <t>Fall 2009*</t>
  </si>
  <si>
    <t>*Ag Ed was added to this department in FY 2010</t>
  </si>
  <si>
    <t>General Agriculture - 24.0102</t>
  </si>
  <si>
    <t>Minor's Program (discontinued Spring 2010)</t>
  </si>
  <si>
    <t>Communications (Agricultural /Journalism) - 01.0802</t>
  </si>
  <si>
    <t>Undergrad Certificate Program (EQSC)</t>
  </si>
  <si>
    <t>Undergrad Certificate Program (MEATS)</t>
  </si>
  <si>
    <t>Undergrad Certificate Program (BRM)</t>
  </si>
  <si>
    <t>Undergrad Certificate Program (BFDLM)</t>
  </si>
  <si>
    <t>FY 2011</t>
  </si>
  <si>
    <t>Fall 2010</t>
  </si>
  <si>
    <t>International Agriculture- 01.0701</t>
  </si>
  <si>
    <t>Sponsored Research Overhead</t>
  </si>
  <si>
    <t>Other (Grants, contracts,  fees, sales &amp; service, copy centers, storerooms, etc)</t>
  </si>
  <si>
    <t>Other (Grants, contracts, fees, sales &amp; service, copy centers, storerooms, etc)</t>
  </si>
  <si>
    <t>Subtotal Research &amp; Extension*</t>
  </si>
  <si>
    <t>Subtotal Main Campus</t>
  </si>
  <si>
    <t>Two or More Races</t>
  </si>
  <si>
    <t xml:space="preserve">Expenditures </t>
  </si>
  <si>
    <t>Research/Public Serv. Expenditures - GU + SRO</t>
  </si>
  <si>
    <t>Instructional Expenditures - GU + SRO</t>
  </si>
  <si>
    <t>Expenditures (General Use &amp; SRO Only)</t>
  </si>
  <si>
    <t>Expenditures (General Use &amp;SRO Only)</t>
  </si>
  <si>
    <t>*does not include cooperative extension units - Includes Instructional Support and Instructional Reserve</t>
  </si>
  <si>
    <t>Rsrch/Public Serv. Expend Total</t>
  </si>
  <si>
    <t>Instructional Expenditures Total</t>
  </si>
  <si>
    <t>Total GU/SRO Expenditures</t>
  </si>
  <si>
    <t>Departmntl Res/PubSr Exp subtotal</t>
  </si>
  <si>
    <t>Cooperative Extension Expen subtotal</t>
  </si>
  <si>
    <t>Agricultural Exper. Sta. Expen subtotal</t>
  </si>
  <si>
    <t>Ag Ed and Communications - 01.0899</t>
  </si>
  <si>
    <t>Department:   Communications and Agricultural Education</t>
  </si>
  <si>
    <t>new</t>
  </si>
  <si>
    <t>program</t>
  </si>
  <si>
    <t>FY 2012</t>
  </si>
  <si>
    <t>Fall 2011</t>
  </si>
  <si>
    <t>Grassland Management - 01.1106</t>
  </si>
  <si>
    <t>FY 2013</t>
  </si>
  <si>
    <t>Fall 2012</t>
  </si>
  <si>
    <t>Graduate Certificate Program (CFDSCC)</t>
  </si>
  <si>
    <t>Graduate certificate Program (CAREM)</t>
  </si>
  <si>
    <t>Graduate Certificate Program (CSTMBI)</t>
  </si>
  <si>
    <t>Grad Certificate (CGRMGT)</t>
  </si>
  <si>
    <t>Graduate Certificate (CFDSFC)</t>
  </si>
  <si>
    <t>Graduate Certificate Program (CENTC)</t>
  </si>
  <si>
    <t>Graduate Certificate Program (CHRTH)</t>
  </si>
  <si>
    <t>Graduate Certificate Program (CADHRT)</t>
  </si>
  <si>
    <t>Undergrad Certificate Program (CFDS)</t>
  </si>
  <si>
    <t>FY 2014</t>
  </si>
  <si>
    <t>Fall 2013</t>
  </si>
  <si>
    <t>*Note: For the 2009 collection cycle and later, Instructional FTE was defined according to the national Delaware Study of Instructional Costs and Productivity</t>
  </si>
  <si>
    <t>C. Faculty Information:</t>
  </si>
  <si>
    <t>Bachelor's Programs (Inclu GenAg)</t>
  </si>
  <si>
    <t>Grain Science - 01.1002</t>
  </si>
  <si>
    <t>Parks Mgt and Conservation - 31.0301</t>
  </si>
  <si>
    <t>Minor's Program ANSI</t>
  </si>
  <si>
    <t>Minor's Program PETFS</t>
  </si>
  <si>
    <t>FY 2015</t>
  </si>
  <si>
    <t>Fall 2014</t>
  </si>
  <si>
    <t>Graduate Certificate Program (CGGBT)</t>
  </si>
  <si>
    <t>Biotechnology - 26.1201</t>
  </si>
  <si>
    <t>Department Profile Report - FY 2015</t>
  </si>
  <si>
    <t>Minor's Program (Grain Handlg Oper)</t>
  </si>
  <si>
    <t>Natural Resources and Environmental Sci  - 03.0103</t>
  </si>
  <si>
    <t>College Of Agriculture Profile Summary Report 2010-2015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</si>
</sst>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164" formatCode="&quot;$&quot;#,##0\ ;\(&quot;$&quot;#,##0\)"/>
    <numFmt numFmtId="165" formatCode="&quot;$&quot;#,##0.00\ ;\(&quot;$&quot;#,##0.00\)"/>
    <numFmt numFmtId="166" formatCode="0.0%"/>
    <numFmt numFmtId="167" formatCode="#,##0.0"/>
    <numFmt numFmtId="168" formatCode="_(* #,##0_);_(* \(#,##0\);_(* &quot;-&quot;??_);_(@_)"/>
    <numFmt numFmtId="169" formatCode="&quot;$&quot;#,##0.00"/>
    <numFmt numFmtId="170" formatCode="&quot;$&quot;#,##0"/>
    <numFmt numFmtId="171" formatCode="0.0"/>
    <numFmt numFmtId="172" formatCode="&quot;$&quot;#,##0.00;[Red]&quot;$&quot;#,##0.00"/>
    <numFmt numFmtId="173" formatCode="&quot;$&quot;#,##0;[Red]&quot;$&quot;#,##0"/>
    <numFmt numFmtId="174" formatCode="#,##0;[Red]#,##0"/>
  </numFmts>
  <fonts count="19" x14ac:knownFonts="1">
    <font>
      <sz val="10"/>
      <name val="Arial"/>
    </font>
    <font>
      <b/>
      <sz val="18"/>
      <name val="Arial"/>
      <family val="2"/>
    </font>
    <font>
      <b/>
      <sz val="12"/>
      <name val="Arial"/>
      <family val="2"/>
    </font>
    <font>
      <b/>
      <sz val="9"/>
      <name val="Arial"/>
      <family val="2"/>
    </font>
    <font>
      <sz val="9"/>
      <name val="Arial"/>
      <family val="2"/>
    </font>
    <font>
      <i/>
      <sz val="9"/>
      <name val="Arial"/>
      <family val="2"/>
    </font>
    <font>
      <b/>
      <sz val="14"/>
      <name val="Arial"/>
      <family val="2"/>
    </font>
    <font>
      <b/>
      <sz val="10"/>
      <name val="Arial"/>
      <family val="2"/>
    </font>
    <font>
      <sz val="7"/>
      <name val="Arial"/>
      <family val="2"/>
    </font>
    <font>
      <sz val="8"/>
      <name val="Arial"/>
      <family val="2"/>
    </font>
    <font>
      <u/>
      <sz val="9"/>
      <name val="Arial"/>
      <family val="2"/>
    </font>
    <font>
      <b/>
      <i/>
      <sz val="9"/>
      <name val="Arial"/>
      <family val="2"/>
    </font>
    <font>
      <b/>
      <sz val="12"/>
      <name val="Arial"/>
      <family val="2"/>
    </font>
    <font>
      <sz val="9"/>
      <name val="Arial"/>
      <family val="2"/>
    </font>
    <font>
      <sz val="10"/>
      <name val="Arial"/>
      <family val="2"/>
    </font>
    <font>
      <sz val="12"/>
      <name val="Arial"/>
      <family val="2"/>
    </font>
    <font>
      <sz val="10"/>
      <name val="Arial"/>
      <family val="2"/>
    </font>
    <font>
      <b/>
      <i/>
      <sz val="10"/>
      <name val="Arial"/>
      <family val="2"/>
    </font>
    <font>
      <sz val="9"/>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tint="-0.249977111117893"/>
        <bgColor indexed="64"/>
      </patternFill>
    </fill>
    <fill>
      <patternFill patternType="solid">
        <fgColor theme="0"/>
        <bgColor indexed="64"/>
      </patternFill>
    </fill>
  </fills>
  <borders count="148">
    <border>
      <left/>
      <right/>
      <top/>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style="double">
        <color indexed="64"/>
      </left>
      <right style="thin">
        <color indexed="64"/>
      </right>
      <top/>
      <bottom style="double">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double">
        <color indexed="64"/>
      </left>
      <right/>
      <top style="thin">
        <color indexed="64"/>
      </top>
      <bottom style="double">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double">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style="double">
        <color indexed="64"/>
      </right>
      <top style="double">
        <color indexed="64"/>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double">
        <color indexed="64"/>
      </bottom>
      <diagonal/>
    </border>
    <border>
      <left/>
      <right style="double">
        <color indexed="64"/>
      </right>
      <top style="medium">
        <color indexed="64"/>
      </top>
      <bottom/>
      <diagonal/>
    </border>
    <border>
      <left style="double">
        <color indexed="64"/>
      </left>
      <right style="double">
        <color indexed="64"/>
      </right>
      <top/>
      <bottom/>
      <diagonal/>
    </border>
    <border>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double">
        <color indexed="64"/>
      </right>
      <top/>
      <bottom style="medium">
        <color indexed="64"/>
      </bottom>
      <diagonal/>
    </border>
    <border>
      <left/>
      <right style="medium">
        <color indexed="64"/>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double">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double">
        <color indexed="64"/>
      </left>
      <right style="medium">
        <color indexed="64"/>
      </right>
      <top style="thin">
        <color indexed="64"/>
      </top>
      <bottom/>
      <diagonal/>
    </border>
    <border>
      <left style="double">
        <color indexed="64"/>
      </left>
      <right/>
      <top style="thin">
        <color indexed="64"/>
      </top>
      <bottom style="medium">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style="medium">
        <color indexed="64"/>
      </top>
      <bottom/>
      <diagonal/>
    </border>
    <border>
      <left style="double">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s>
  <cellStyleXfs count="23">
    <xf numFmtId="0" fontId="0" fillId="0" borderId="0"/>
    <xf numFmtId="4" fontId="14" fillId="0" borderId="0" applyFont="0" applyFill="0" applyBorder="0" applyAlignment="0" applyProtection="0"/>
    <xf numFmtId="3"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0" fontId="14" fillId="0" borderId="0" applyFont="0" applyFill="0" applyBorder="0" applyAlignment="0" applyProtection="0"/>
    <xf numFmtId="10" fontId="15" fillId="0" borderId="0" applyFill="0" applyBorder="0" applyAlignment="0" applyProtection="0"/>
    <xf numFmtId="0" fontId="14" fillId="0" borderId="1" applyNumberFormat="0" applyFont="0" applyFill="0" applyAlignment="0" applyProtection="0"/>
  </cellStyleXfs>
  <cellXfs count="1562">
    <xf numFmtId="0" fontId="0" fillId="0" borderId="0" xfId="0"/>
    <xf numFmtId="0" fontId="4" fillId="0" borderId="0" xfId="0" applyFont="1"/>
    <xf numFmtId="0" fontId="3" fillId="0" borderId="0" xfId="0" applyFont="1"/>
    <xf numFmtId="0" fontId="7" fillId="0" borderId="0" xfId="0" applyFont="1"/>
    <xf numFmtId="0" fontId="4" fillId="0" borderId="2" xfId="0" applyFont="1" applyBorder="1"/>
    <xf numFmtId="0" fontId="3" fillId="0" borderId="3" xfId="0" applyFont="1" applyBorder="1" applyAlignment="1">
      <alignment horizontal="centerContinuous"/>
    </xf>
    <xf numFmtId="0" fontId="3" fillId="0" borderId="2" xfId="0" applyFont="1" applyBorder="1" applyAlignment="1">
      <alignment horizontal="center"/>
    </xf>
    <xf numFmtId="0" fontId="4" fillId="0" borderId="4" xfId="0" applyFont="1" applyBorder="1"/>
    <xf numFmtId="0" fontId="3" fillId="0" borderId="5" xfId="0" applyFont="1" applyBorder="1" applyAlignment="1">
      <alignment horizontal="centerContinuous"/>
    </xf>
    <xf numFmtId="0" fontId="3" fillId="0" borderId="6" xfId="0" applyFont="1" applyBorder="1" applyAlignment="1">
      <alignment horizontal="center"/>
    </xf>
    <xf numFmtId="0" fontId="4" fillId="0" borderId="6" xfId="0" applyFont="1" applyBorder="1"/>
    <xf numFmtId="0" fontId="4" fillId="0" borderId="7" xfId="0" applyFont="1" applyBorder="1"/>
    <xf numFmtId="3" fontId="4" fillId="0" borderId="4" xfId="0" applyNumberFormat="1" applyFont="1" applyBorder="1"/>
    <xf numFmtId="164" fontId="4" fillId="0" borderId="4" xfId="0" applyNumberFormat="1" applyFont="1" applyBorder="1"/>
    <xf numFmtId="164" fontId="4" fillId="0" borderId="8" xfId="0" applyNumberFormat="1" applyFont="1" applyBorder="1"/>
    <xf numFmtId="0" fontId="3" fillId="0" borderId="0" xfId="0" applyFont="1" applyBorder="1" applyAlignment="1">
      <alignment horizontal="center"/>
    </xf>
    <xf numFmtId="0" fontId="4" fillId="0" borderId="9" xfId="0" applyFont="1" applyBorder="1"/>
    <xf numFmtId="164" fontId="4" fillId="0" borderId="9" xfId="0" applyNumberFormat="1" applyFont="1" applyBorder="1"/>
    <xf numFmtId="0" fontId="4" fillId="0" borderId="10" xfId="0" applyFont="1" applyBorder="1"/>
    <xf numFmtId="164" fontId="4" fillId="0" borderId="11" xfId="0" applyNumberFormat="1" applyFont="1" applyBorder="1"/>
    <xf numFmtId="0" fontId="4" fillId="0" borderId="12" xfId="0" applyFont="1" applyBorder="1"/>
    <xf numFmtId="0" fontId="4" fillId="0" borderId="13"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4" fillId="0" borderId="0" xfId="0" applyFont="1" applyBorder="1"/>
    <xf numFmtId="164" fontId="4" fillId="0" borderId="0" xfId="0" applyNumberFormat="1" applyFont="1" applyBorder="1"/>
    <xf numFmtId="0" fontId="4" fillId="0" borderId="0" xfId="0" applyFont="1" applyBorder="1" applyAlignment="1">
      <alignment horizontal="center"/>
    </xf>
    <xf numFmtId="0" fontId="4" fillId="0" borderId="16" xfId="0" applyFont="1" applyBorder="1"/>
    <xf numFmtId="0" fontId="3" fillId="0" borderId="17" xfId="0" applyFont="1" applyBorder="1" applyAlignment="1">
      <alignment horizontal="centerContinuous"/>
    </xf>
    <xf numFmtId="0" fontId="3" fillId="0" borderId="18" xfId="0" applyFont="1" applyBorder="1" applyAlignment="1">
      <alignment horizontal="centerContinuous"/>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22" xfId="0" applyFont="1" applyBorder="1"/>
    <xf numFmtId="0" fontId="4" fillId="0" borderId="23" xfId="0" applyFont="1" applyBorder="1"/>
    <xf numFmtId="0" fontId="8" fillId="0" borderId="0" xfId="0" applyFont="1" applyBorder="1" applyAlignment="1">
      <alignment horizontal="left"/>
    </xf>
    <xf numFmtId="0" fontId="3" fillId="0" borderId="11" xfId="0" applyFont="1" applyBorder="1"/>
    <xf numFmtId="0" fontId="8" fillId="0" borderId="24" xfId="0" applyFont="1" applyBorder="1" applyAlignment="1">
      <alignment horizontal="left"/>
    </xf>
    <xf numFmtId="0" fontId="4" fillId="0" borderId="25" xfId="0" applyFont="1" applyBorder="1"/>
    <xf numFmtId="0" fontId="4" fillId="0" borderId="26" xfId="0" applyFont="1" applyBorder="1"/>
    <xf numFmtId="0" fontId="4" fillId="0" borderId="27" xfId="0" applyFont="1" applyBorder="1"/>
    <xf numFmtId="0" fontId="3" fillId="0" borderId="28" xfId="0" applyFont="1" applyBorder="1"/>
    <xf numFmtId="0" fontId="4" fillId="0" borderId="29" xfId="0" applyFont="1" applyBorder="1" applyAlignment="1">
      <alignment horizontal="right"/>
    </xf>
    <xf numFmtId="0" fontId="4" fillId="0" borderId="30" xfId="0" applyFont="1" applyBorder="1" applyAlignment="1">
      <alignment horizontal="right"/>
    </xf>
    <xf numFmtId="0" fontId="4" fillId="0" borderId="28" xfId="0" applyFont="1" applyBorder="1"/>
    <xf numFmtId="0" fontId="4" fillId="0" borderId="29" xfId="0" applyFont="1" applyBorder="1"/>
    <xf numFmtId="0" fontId="3" fillId="0" borderId="30" xfId="0" applyFont="1" applyBorder="1" applyAlignment="1">
      <alignment horizontal="center"/>
    </xf>
    <xf numFmtId="3" fontId="3" fillId="0" borderId="11" xfId="0" applyNumberFormat="1" applyFont="1" applyBorder="1" applyAlignment="1">
      <alignment horizontal="right"/>
    </xf>
    <xf numFmtId="3" fontId="4" fillId="0" borderId="2" xfId="1" applyNumberFormat="1" applyFont="1" applyBorder="1" applyAlignment="1">
      <alignment horizontal="right"/>
    </xf>
    <xf numFmtId="164" fontId="4" fillId="0" borderId="4" xfId="0" applyNumberFormat="1" applyFont="1" applyBorder="1" applyAlignment="1">
      <alignment horizontal="right"/>
    </xf>
    <xf numFmtId="0" fontId="9" fillId="0" borderId="0" xfId="0" applyFont="1" applyBorder="1" applyAlignment="1">
      <alignment horizontal="left"/>
    </xf>
    <xf numFmtId="0" fontId="4" fillId="0" borderId="0" xfId="0" applyFont="1" applyBorder="1" applyAlignment="1">
      <alignment horizontal="right"/>
    </xf>
    <xf numFmtId="3" fontId="4" fillId="0" borderId="0" xfId="1" applyNumberFormat="1" applyFont="1" applyBorder="1" applyAlignment="1">
      <alignment horizontal="right"/>
    </xf>
    <xf numFmtId="164" fontId="4" fillId="0" borderId="0" xfId="0" applyNumberFormat="1" applyFont="1" applyBorder="1" applyAlignment="1">
      <alignment horizontal="center"/>
    </xf>
    <xf numFmtId="0" fontId="4" fillId="0" borderId="31" xfId="0" applyFont="1" applyBorder="1"/>
    <xf numFmtId="0" fontId="3" fillId="0" borderId="32" xfId="0" applyFont="1" applyBorder="1" applyAlignment="1">
      <alignment horizontal="center"/>
    </xf>
    <xf numFmtId="0" fontId="3" fillId="0" borderId="33" xfId="0" applyFont="1" applyBorder="1" applyAlignment="1">
      <alignment horizontal="center"/>
    </xf>
    <xf numFmtId="0" fontId="4" fillId="0" borderId="34" xfId="0" applyFont="1" applyBorder="1"/>
    <xf numFmtId="0" fontId="4" fillId="0" borderId="35" xfId="0" applyFont="1" applyBorder="1"/>
    <xf numFmtId="0" fontId="3" fillId="0" borderId="4" xfId="0" applyFont="1" applyBorder="1"/>
    <xf numFmtId="3" fontId="3" fillId="0" borderId="4" xfId="0" applyNumberFormat="1" applyFont="1" applyBorder="1"/>
    <xf numFmtId="0" fontId="3" fillId="0" borderId="0" xfId="0" applyFont="1" applyBorder="1"/>
    <xf numFmtId="5" fontId="4" fillId="0" borderId="0" xfId="0" applyNumberFormat="1" applyFont="1" applyBorder="1" applyAlignment="1">
      <alignment horizontal="right"/>
    </xf>
    <xf numFmtId="3" fontId="3" fillId="0" borderId="8" xfId="0" applyNumberFormat="1" applyFont="1" applyBorder="1" applyAlignment="1">
      <alignment horizontal="right"/>
    </xf>
    <xf numFmtId="1" fontId="4" fillId="0" borderId="4" xfId="0" applyNumberFormat="1" applyFont="1" applyBorder="1" applyAlignment="1">
      <alignment horizontal="center"/>
    </xf>
    <xf numFmtId="0" fontId="3" fillId="0" borderId="1" xfId="0" applyFont="1" applyBorder="1" applyAlignment="1">
      <alignment horizontal="center"/>
    </xf>
    <xf numFmtId="0" fontId="4" fillId="0" borderId="1" xfId="0" applyFont="1" applyBorder="1"/>
    <xf numFmtId="3" fontId="3" fillId="0" borderId="1" xfId="0" applyNumberFormat="1" applyFont="1" applyBorder="1"/>
    <xf numFmtId="0" fontId="3" fillId="0" borderId="1" xfId="0" applyFont="1" applyBorder="1"/>
    <xf numFmtId="3" fontId="3" fillId="0" borderId="1" xfId="0" applyNumberFormat="1" applyFont="1" applyBorder="1" applyAlignment="1">
      <alignment horizontal="right"/>
    </xf>
    <xf numFmtId="0" fontId="3" fillId="0" borderId="36" xfId="0" applyFont="1" applyBorder="1"/>
    <xf numFmtId="0" fontId="4" fillId="0" borderId="36" xfId="0" applyFont="1" applyBorder="1"/>
    <xf numFmtId="3" fontId="3" fillId="0" borderId="0" xfId="0" applyNumberFormat="1" applyFont="1" applyBorder="1"/>
    <xf numFmtId="3" fontId="3" fillId="0" borderId="8" xfId="0" applyNumberFormat="1" applyFont="1" applyBorder="1"/>
    <xf numFmtId="0" fontId="3" fillId="0" borderId="8" xfId="0" applyFont="1" applyBorder="1"/>
    <xf numFmtId="0" fontId="7" fillId="0" borderId="0" xfId="0" applyFont="1" applyBorder="1"/>
    <xf numFmtId="164" fontId="7" fillId="0" borderId="0" xfId="0" applyNumberFormat="1" applyFont="1" applyBorder="1"/>
    <xf numFmtId="5" fontId="7" fillId="0" borderId="0" xfId="0" applyNumberFormat="1" applyFont="1" applyBorder="1" applyAlignment="1">
      <alignment horizontal="right"/>
    </xf>
    <xf numFmtId="0" fontId="7" fillId="0" borderId="0" xfId="0" applyFont="1" applyBorder="1" applyAlignment="1">
      <alignment horizontal="center"/>
    </xf>
    <xf numFmtId="3" fontId="4" fillId="0" borderId="6" xfId="1" applyNumberFormat="1" applyFont="1" applyBorder="1"/>
    <xf numFmtId="0" fontId="3" fillId="0" borderId="37" xfId="0" applyFont="1" applyBorder="1"/>
    <xf numFmtId="0" fontId="10" fillId="0" borderId="38" xfId="0" applyFont="1" applyBorder="1" applyAlignment="1">
      <alignment horizontal="left" indent="1"/>
    </xf>
    <xf numFmtId="0" fontId="4" fillId="0" borderId="39" xfId="0" applyFont="1" applyBorder="1" applyAlignment="1">
      <alignment horizontal="left" indent="1"/>
    </xf>
    <xf numFmtId="0" fontId="4" fillId="0" borderId="39" xfId="0" applyFont="1" applyBorder="1" applyAlignment="1">
      <alignment horizontal="left" wrapText="1" indent="1"/>
    </xf>
    <xf numFmtId="0" fontId="3" fillId="0" borderId="39" xfId="0" applyFont="1" applyBorder="1" applyAlignment="1">
      <alignment horizontal="left" indent="1"/>
    </xf>
    <xf numFmtId="0" fontId="10" fillId="0" borderId="39" xfId="0" applyFont="1" applyBorder="1" applyAlignment="1">
      <alignment horizontal="left" indent="1"/>
    </xf>
    <xf numFmtId="0" fontId="3" fillId="0" borderId="40" xfId="0" applyFont="1" applyBorder="1" applyAlignment="1">
      <alignment horizontal="left" indent="1"/>
    </xf>
    <xf numFmtId="0" fontId="3" fillId="0" borderId="41" xfId="0" applyFont="1" applyBorder="1"/>
    <xf numFmtId="0" fontId="4" fillId="0" borderId="39" xfId="0" applyFont="1" applyBorder="1"/>
    <xf numFmtId="0" fontId="8" fillId="0" borderId="42" xfId="0" applyFont="1" applyBorder="1" applyAlignment="1">
      <alignment horizontal="left"/>
    </xf>
    <xf numFmtId="0" fontId="3" fillId="0" borderId="39" xfId="0" applyFont="1" applyBorder="1"/>
    <xf numFmtId="0" fontId="3" fillId="0" borderId="40" xfId="0" applyFont="1" applyBorder="1"/>
    <xf numFmtId="164" fontId="4" fillId="0" borderId="11" xfId="0" applyNumberFormat="1" applyFont="1" applyBorder="1" applyAlignment="1">
      <alignment horizontal="right"/>
    </xf>
    <xf numFmtId="164" fontId="4" fillId="0" borderId="9" xfId="0" applyNumberFormat="1" applyFont="1" applyBorder="1" applyAlignment="1">
      <alignment horizontal="right"/>
    </xf>
    <xf numFmtId="164" fontId="4" fillId="0" borderId="31" xfId="0" applyNumberFormat="1" applyFont="1" applyBorder="1"/>
    <xf numFmtId="0" fontId="4" fillId="0" borderId="22" xfId="0" applyFont="1" applyBorder="1" applyAlignment="1">
      <alignment horizontal="right"/>
    </xf>
    <xf numFmtId="0" fontId="4" fillId="0" borderId="12" xfId="0" applyFont="1" applyBorder="1" applyAlignment="1">
      <alignment horizontal="right"/>
    </xf>
    <xf numFmtId="0" fontId="4" fillId="0" borderId="43" xfId="0" applyFont="1" applyBorder="1"/>
    <xf numFmtId="0" fontId="5" fillId="0" borderId="29" xfId="0" applyFont="1" applyBorder="1"/>
    <xf numFmtId="3" fontId="4" fillId="0" borderId="4" xfId="1" applyNumberFormat="1" applyFont="1" applyBorder="1" applyAlignment="1">
      <alignment horizontal="right"/>
    </xf>
    <xf numFmtId="3" fontId="4" fillId="0" borderId="20" xfId="1" applyNumberFormat="1" applyFont="1" applyBorder="1" applyAlignment="1">
      <alignment horizontal="right"/>
    </xf>
    <xf numFmtId="3" fontId="4" fillId="0" borderId="0" xfId="1" applyNumberFormat="1" applyFont="1" applyBorder="1" applyAlignment="1">
      <alignment horizontal="center"/>
    </xf>
    <xf numFmtId="0" fontId="4" fillId="0" borderId="37" xfId="0" applyFont="1" applyBorder="1"/>
    <xf numFmtId="0" fontId="3" fillId="0" borderId="38" xfId="0" applyFont="1" applyBorder="1"/>
    <xf numFmtId="0" fontId="4" fillId="0" borderId="44" xfId="0" applyFont="1" applyFill="1" applyBorder="1"/>
    <xf numFmtId="3" fontId="4" fillId="0" borderId="4" xfId="0" applyNumberFormat="1" applyFont="1" applyFill="1" applyBorder="1"/>
    <xf numFmtId="0" fontId="4" fillId="0" borderId="2" xfId="0" applyFont="1" applyFill="1" applyBorder="1"/>
    <xf numFmtId="0" fontId="3" fillId="0" borderId="24" xfId="0" applyFont="1" applyBorder="1" applyAlignment="1">
      <alignment horizontal="center"/>
    </xf>
    <xf numFmtId="169" fontId="4" fillId="0" borderId="0" xfId="0" applyNumberFormat="1" applyFont="1"/>
    <xf numFmtId="169" fontId="4" fillId="0" borderId="39" xfId="0" applyNumberFormat="1" applyFont="1" applyBorder="1"/>
    <xf numFmtId="169" fontId="4" fillId="0" borderId="2" xfId="0" applyNumberFormat="1" applyFont="1" applyBorder="1"/>
    <xf numFmtId="169" fontId="4" fillId="0" borderId="40" xfId="0" applyNumberFormat="1" applyFont="1" applyBorder="1"/>
    <xf numFmtId="170" fontId="4" fillId="0" borderId="0" xfId="0" applyNumberFormat="1" applyFont="1"/>
    <xf numFmtId="0" fontId="4" fillId="0" borderId="0" xfId="0" applyFont="1" applyBorder="1" applyAlignment="1">
      <alignment horizontal="left"/>
    </xf>
    <xf numFmtId="0" fontId="5" fillId="0" borderId="39" xfId="0" applyFont="1" applyBorder="1"/>
    <xf numFmtId="0" fontId="4" fillId="0" borderId="39" xfId="0" applyFont="1" applyBorder="1" applyAlignment="1">
      <alignment horizontal="right"/>
    </xf>
    <xf numFmtId="0" fontId="4" fillId="0" borderId="42" xfId="0" applyFont="1" applyBorder="1" applyAlignment="1">
      <alignment horizontal="right"/>
    </xf>
    <xf numFmtId="3" fontId="4" fillId="0" borderId="19" xfId="1" applyNumberFormat="1" applyFont="1" applyBorder="1"/>
    <xf numFmtId="0" fontId="3" fillId="0" borderId="45" xfId="0" applyFont="1" applyBorder="1"/>
    <xf numFmtId="0" fontId="9" fillId="0" borderId="0" xfId="0" applyFont="1" applyFill="1" applyBorder="1" applyAlignment="1">
      <alignment horizontal="left"/>
    </xf>
    <xf numFmtId="0" fontId="3" fillId="0" borderId="11" xfId="0" applyFont="1" applyBorder="1" applyAlignment="1">
      <alignment horizontal="right"/>
    </xf>
    <xf numFmtId="0" fontId="4" fillId="0" borderId="40" xfId="0" applyFont="1" applyBorder="1" applyAlignment="1">
      <alignment horizontal="right"/>
    </xf>
    <xf numFmtId="0" fontId="3" fillId="0" borderId="39" xfId="0" applyFont="1" applyBorder="1" applyAlignment="1">
      <alignment horizontal="left"/>
    </xf>
    <xf numFmtId="0" fontId="4" fillId="0" borderId="46" xfId="0" applyFont="1" applyBorder="1" applyAlignment="1">
      <alignment horizontal="right"/>
    </xf>
    <xf numFmtId="0" fontId="3" fillId="0" borderId="34" xfId="0" applyFont="1" applyBorder="1" applyAlignment="1">
      <alignment horizontal="center"/>
    </xf>
    <xf numFmtId="0" fontId="4" fillId="0" borderId="4" xfId="0" applyFont="1" applyFill="1" applyBorder="1" applyAlignment="1">
      <alignment horizontal="right"/>
    </xf>
    <xf numFmtId="0" fontId="4" fillId="0" borderId="47" xfId="0" applyFont="1" applyFill="1" applyBorder="1" applyAlignment="1">
      <alignment horizontal="right"/>
    </xf>
    <xf numFmtId="0" fontId="3" fillId="0" borderId="38" xfId="0" applyFont="1" applyBorder="1" applyAlignment="1">
      <alignment horizontal="left"/>
    </xf>
    <xf numFmtId="0" fontId="3" fillId="0" borderId="12" xfId="0" applyFont="1" applyBorder="1" applyAlignment="1">
      <alignment horizontal="center"/>
    </xf>
    <xf numFmtId="0" fontId="4" fillId="0" borderId="19" xfId="0" applyFont="1" applyFill="1" applyBorder="1"/>
    <xf numFmtId="0" fontId="4" fillId="0" borderId="13" xfId="0" applyFont="1" applyFill="1" applyBorder="1"/>
    <xf numFmtId="3" fontId="4" fillId="2" borderId="6" xfId="1" applyNumberFormat="1" applyFont="1" applyFill="1" applyBorder="1"/>
    <xf numFmtId="0" fontId="4" fillId="0" borderId="48" xfId="0" applyFont="1" applyBorder="1"/>
    <xf numFmtId="0" fontId="4" fillId="0" borderId="49" xfId="0" applyFont="1" applyBorder="1"/>
    <xf numFmtId="0" fontId="4" fillId="0" borderId="50" xfId="0" applyFont="1" applyBorder="1"/>
    <xf numFmtId="0" fontId="4" fillId="0" borderId="51" xfId="0" applyFont="1" applyBorder="1"/>
    <xf numFmtId="3" fontId="4" fillId="0" borderId="51" xfId="0" applyNumberFormat="1" applyFont="1" applyBorder="1"/>
    <xf numFmtId="0" fontId="3" fillId="0" borderId="52" xfId="0" applyFont="1" applyBorder="1"/>
    <xf numFmtId="0" fontId="4" fillId="0" borderId="31" xfId="0" applyFont="1" applyFill="1" applyBorder="1"/>
    <xf numFmtId="168" fontId="4" fillId="0" borderId="49" xfId="1" applyNumberFormat="1" applyFont="1" applyBorder="1"/>
    <xf numFmtId="168" fontId="3" fillId="0" borderId="49" xfId="1" applyNumberFormat="1" applyFont="1" applyBorder="1"/>
    <xf numFmtId="0" fontId="3" fillId="0" borderId="50" xfId="0" applyFont="1" applyBorder="1"/>
    <xf numFmtId="0" fontId="4" fillId="0" borderId="53" xfId="0" applyFont="1" applyBorder="1"/>
    <xf numFmtId="0" fontId="4" fillId="0" borderId="54" xfId="0" applyFont="1" applyBorder="1"/>
    <xf numFmtId="164" fontId="4" fillId="0" borderId="55" xfId="0" applyNumberFormat="1" applyFont="1" applyBorder="1"/>
    <xf numFmtId="164" fontId="4" fillId="0" borderId="56" xfId="0" applyNumberFormat="1" applyFont="1" applyBorder="1" applyAlignment="1">
      <alignment horizontal="center"/>
    </xf>
    <xf numFmtId="164" fontId="4" fillId="0" borderId="54" xfId="0" applyNumberFormat="1" applyFont="1" applyBorder="1" applyAlignment="1">
      <alignment horizontal="center"/>
    </xf>
    <xf numFmtId="164" fontId="4" fillId="0" borderId="57" xfId="0" applyNumberFormat="1" applyFont="1" applyBorder="1"/>
    <xf numFmtId="0" fontId="4" fillId="0" borderId="58" xfId="0" applyNumberFormat="1" applyFont="1" applyBorder="1" applyAlignment="1">
      <alignment horizontal="right"/>
    </xf>
    <xf numFmtId="164" fontId="4" fillId="0" borderId="48" xfId="0" applyNumberFormat="1" applyFont="1" applyBorder="1"/>
    <xf numFmtId="164" fontId="4" fillId="0" borderId="49" xfId="0" applyNumberFormat="1" applyFont="1" applyBorder="1" applyAlignment="1">
      <alignment horizontal="right"/>
    </xf>
    <xf numFmtId="164" fontId="4" fillId="0" borderId="52" xfId="0" applyNumberFormat="1" applyFont="1" applyBorder="1"/>
    <xf numFmtId="164" fontId="4" fillId="0" borderId="59" xfId="0" applyNumberFormat="1" applyFont="1" applyBorder="1" applyAlignment="1">
      <alignment horizontal="right"/>
    </xf>
    <xf numFmtId="168" fontId="4" fillId="0" borderId="9" xfId="1" applyNumberFormat="1" applyFont="1" applyBorder="1"/>
    <xf numFmtId="168" fontId="3" fillId="0" borderId="9" xfId="1" applyNumberFormat="1" applyFont="1" applyBorder="1"/>
    <xf numFmtId="164" fontId="4" fillId="0" borderId="31" xfId="0" applyNumberFormat="1" applyFont="1" applyBorder="1" applyAlignment="1">
      <alignment horizontal="center"/>
    </xf>
    <xf numFmtId="0" fontId="4" fillId="0" borderId="47" xfId="0" applyNumberFormat="1" applyFont="1" applyBorder="1" applyAlignment="1">
      <alignment horizontal="right"/>
    </xf>
    <xf numFmtId="5" fontId="4" fillId="0" borderId="60" xfId="0" applyNumberFormat="1" applyFont="1" applyBorder="1" applyAlignment="1">
      <alignment horizontal="right"/>
    </xf>
    <xf numFmtId="5" fontId="4" fillId="0" borderId="49" xfId="0" applyNumberFormat="1" applyFont="1" applyBorder="1" applyAlignment="1">
      <alignment horizontal="right"/>
    </xf>
    <xf numFmtId="5" fontId="4" fillId="0" borderId="59" xfId="0" applyNumberFormat="1" applyFont="1" applyBorder="1" applyAlignment="1">
      <alignment horizontal="right"/>
    </xf>
    <xf numFmtId="0" fontId="3" fillId="0" borderId="16" xfId="0" applyFont="1" applyBorder="1" applyAlignment="1">
      <alignment horizontal="center"/>
    </xf>
    <xf numFmtId="3" fontId="4" fillId="0" borderId="50" xfId="0" applyNumberFormat="1" applyFont="1" applyBorder="1"/>
    <xf numFmtId="3" fontId="3" fillId="0" borderId="55" xfId="0" applyNumberFormat="1" applyFont="1" applyBorder="1"/>
    <xf numFmtId="3" fontId="3" fillId="0" borderId="60" xfId="0" applyNumberFormat="1" applyFont="1" applyBorder="1"/>
    <xf numFmtId="0" fontId="3" fillId="0" borderId="6" xfId="0" applyFont="1" applyFill="1" applyBorder="1" applyAlignment="1">
      <alignment horizontal="right"/>
    </xf>
    <xf numFmtId="3" fontId="4" fillId="0" borderId="6" xfId="1" applyNumberFormat="1" applyFont="1" applyBorder="1" applyAlignment="1">
      <alignment horizontal="right"/>
    </xf>
    <xf numFmtId="166" fontId="4" fillId="0" borderId="6" xfId="0" applyNumberFormat="1" applyFont="1" applyBorder="1" applyAlignment="1">
      <alignment horizontal="right"/>
    </xf>
    <xf numFmtId="3" fontId="4" fillId="0" borderId="7" xfId="1" applyNumberFormat="1" applyFont="1" applyBorder="1" applyAlignment="1">
      <alignment horizontal="right"/>
    </xf>
    <xf numFmtId="3" fontId="4" fillId="0" borderId="51" xfId="0" applyNumberFormat="1" applyFont="1" applyBorder="1" applyAlignment="1">
      <alignment horizontal="right"/>
    </xf>
    <xf numFmtId="166" fontId="4" fillId="0" borderId="2" xfId="20" applyNumberFormat="1" applyFont="1" applyFill="1" applyBorder="1" applyAlignment="1"/>
    <xf numFmtId="0" fontId="4" fillId="0" borderId="4" xfId="0" applyFont="1" applyFill="1" applyBorder="1" applyAlignment="1"/>
    <xf numFmtId="0" fontId="4" fillId="0" borderId="47" xfId="0" applyFont="1" applyFill="1" applyBorder="1" applyAlignment="1"/>
    <xf numFmtId="0" fontId="3" fillId="0" borderId="6" xfId="0" applyFont="1" applyFill="1" applyBorder="1" applyAlignment="1"/>
    <xf numFmtId="3" fontId="4" fillId="0" borderId="4" xfId="1" applyNumberFormat="1" applyFont="1" applyBorder="1" applyAlignment="1"/>
    <xf numFmtId="3" fontId="4" fillId="0" borderId="6" xfId="1" applyNumberFormat="1" applyFont="1" applyBorder="1" applyAlignment="1"/>
    <xf numFmtId="166" fontId="4" fillId="0" borderId="6" xfId="0" applyNumberFormat="1" applyFont="1" applyBorder="1" applyAlignment="1"/>
    <xf numFmtId="166" fontId="4" fillId="0" borderId="61" xfId="20" applyNumberFormat="1" applyFont="1" applyFill="1" applyBorder="1" applyAlignment="1"/>
    <xf numFmtId="3" fontId="4" fillId="0" borderId="7" xfId="1" applyNumberFormat="1" applyFont="1" applyBorder="1" applyAlignment="1"/>
    <xf numFmtId="3" fontId="3" fillId="0" borderId="59" xfId="0" applyNumberFormat="1" applyFont="1" applyBorder="1"/>
    <xf numFmtId="3" fontId="4" fillId="0" borderId="9" xfId="0" applyNumberFormat="1" applyFont="1" applyBorder="1"/>
    <xf numFmtId="168" fontId="4" fillId="0" borderId="51" xfId="1" applyNumberFormat="1" applyFont="1" applyBorder="1"/>
    <xf numFmtId="168" fontId="3" fillId="0" borderId="51" xfId="1" applyNumberFormat="1" applyFont="1" applyBorder="1"/>
    <xf numFmtId="164" fontId="4" fillId="0" borderId="51" xfId="0" applyNumberFormat="1" applyFont="1" applyBorder="1" applyAlignment="1">
      <alignment horizontal="right"/>
    </xf>
    <xf numFmtId="164" fontId="4" fillId="0" borderId="58" xfId="0" applyNumberFormat="1" applyFont="1" applyBorder="1" applyAlignment="1">
      <alignment horizontal="right"/>
    </xf>
    <xf numFmtId="164" fontId="4" fillId="0" borderId="50" xfId="0" applyNumberFormat="1" applyFont="1" applyBorder="1"/>
    <xf numFmtId="164" fontId="4" fillId="0" borderId="53" xfId="0" applyNumberFormat="1" applyFont="1" applyBorder="1"/>
    <xf numFmtId="164" fontId="4" fillId="0" borderId="56" xfId="0" applyNumberFormat="1" applyFont="1" applyBorder="1"/>
    <xf numFmtId="168" fontId="4" fillId="0" borderId="4" xfId="1" applyNumberFormat="1" applyFont="1" applyBorder="1"/>
    <xf numFmtId="168" fontId="3" fillId="0" borderId="4" xfId="1" applyNumberFormat="1" applyFont="1" applyBorder="1"/>
    <xf numFmtId="3" fontId="4" fillId="0" borderId="48" xfId="0" applyNumberFormat="1" applyFont="1" applyBorder="1"/>
    <xf numFmtId="3" fontId="4" fillId="0" borderId="49" xfId="1" applyNumberFormat="1" applyFont="1" applyBorder="1"/>
    <xf numFmtId="170" fontId="4" fillId="0" borderId="51" xfId="0" applyNumberFormat="1" applyFont="1" applyBorder="1" applyAlignment="1">
      <alignment horizontal="right"/>
    </xf>
    <xf numFmtId="5" fontId="4" fillId="0" borderId="51" xfId="0" applyNumberFormat="1" applyFont="1" applyBorder="1" applyAlignment="1">
      <alignment horizontal="right"/>
    </xf>
    <xf numFmtId="5" fontId="4" fillId="0" borderId="54" xfId="0" applyNumberFormat="1" applyFont="1" applyBorder="1" applyAlignment="1">
      <alignment horizontal="right"/>
    </xf>
    <xf numFmtId="5" fontId="4" fillId="0" borderId="62" xfId="0" applyNumberFormat="1" applyFont="1" applyBorder="1" applyAlignment="1">
      <alignment horizontal="right"/>
    </xf>
    <xf numFmtId="0" fontId="3" fillId="0" borderId="10" xfId="0" applyFont="1" applyBorder="1" applyAlignment="1">
      <alignment horizontal="center"/>
    </xf>
    <xf numFmtId="0" fontId="3" fillId="0" borderId="55" xfId="0" applyFont="1" applyBorder="1" applyAlignment="1">
      <alignment horizontal="right"/>
    </xf>
    <xf numFmtId="0" fontId="3" fillId="0" borderId="48" xfId="0" applyFont="1" applyBorder="1" applyAlignment="1">
      <alignment horizontal="center"/>
    </xf>
    <xf numFmtId="0" fontId="3" fillId="0" borderId="49" xfId="0" applyFont="1" applyBorder="1" applyAlignment="1">
      <alignment horizontal="center"/>
    </xf>
    <xf numFmtId="0" fontId="4" fillId="0" borderId="50" xfId="0" applyFont="1" applyFill="1" applyBorder="1" applyAlignment="1">
      <alignment horizontal="right"/>
    </xf>
    <xf numFmtId="166" fontId="4" fillId="0" borderId="51" xfId="20" applyNumberFormat="1" applyFont="1" applyFill="1" applyBorder="1" applyAlignment="1">
      <alignment horizontal="right"/>
    </xf>
    <xf numFmtId="0" fontId="4" fillId="0" borderId="57" xfId="0" applyFont="1" applyFill="1" applyBorder="1" applyAlignment="1">
      <alignment horizontal="right"/>
    </xf>
    <xf numFmtId="166" fontId="3" fillId="0" borderId="50" xfId="0" applyNumberFormat="1" applyFont="1" applyFill="1" applyBorder="1" applyAlignment="1">
      <alignment horizontal="right"/>
    </xf>
    <xf numFmtId="3" fontId="3" fillId="0" borderId="50" xfId="0" applyNumberFormat="1" applyFont="1" applyBorder="1" applyAlignment="1">
      <alignment horizontal="right"/>
    </xf>
    <xf numFmtId="0" fontId="4" fillId="0" borderId="52" xfId="0" applyFont="1" applyBorder="1" applyAlignment="1">
      <alignment horizontal="right"/>
    </xf>
    <xf numFmtId="166" fontId="4" fillId="0" borderId="59" xfId="20" applyNumberFormat="1" applyFont="1" applyFill="1" applyBorder="1" applyAlignment="1">
      <alignment horizontal="right"/>
    </xf>
    <xf numFmtId="166" fontId="4" fillId="0" borderId="2" xfId="20" applyNumberFormat="1" applyFont="1" applyFill="1" applyBorder="1" applyAlignment="1">
      <alignment horizontal="right"/>
    </xf>
    <xf numFmtId="166" fontId="4" fillId="0" borderId="61" xfId="20" applyNumberFormat="1" applyFont="1" applyFill="1" applyBorder="1" applyAlignment="1">
      <alignment horizontal="right"/>
    </xf>
    <xf numFmtId="3" fontId="3" fillId="0" borderId="60" xfId="0" applyNumberFormat="1" applyFont="1" applyBorder="1" applyAlignment="1">
      <alignment horizontal="right"/>
    </xf>
    <xf numFmtId="3" fontId="4" fillId="0" borderId="50" xfId="1" applyNumberFormat="1" applyFont="1" applyBorder="1" applyAlignment="1">
      <alignment horizontal="right"/>
    </xf>
    <xf numFmtId="3" fontId="4" fillId="0" borderId="50" xfId="1" applyNumberFormat="1" applyFont="1" applyFill="1" applyBorder="1" applyAlignment="1">
      <alignment horizontal="right"/>
    </xf>
    <xf numFmtId="3" fontId="4" fillId="0" borderId="51" xfId="1" applyNumberFormat="1" applyFont="1" applyBorder="1"/>
    <xf numFmtId="3" fontId="3" fillId="0" borderId="50" xfId="0" applyNumberFormat="1" applyFont="1" applyBorder="1"/>
    <xf numFmtId="3" fontId="3" fillId="0" borderId="51" xfId="1" applyNumberFormat="1" applyFont="1" applyBorder="1"/>
    <xf numFmtId="3" fontId="4" fillId="0" borderId="9" xfId="1" applyNumberFormat="1" applyFont="1" applyBorder="1"/>
    <xf numFmtId="3" fontId="4" fillId="0" borderId="4" xfId="1" applyNumberFormat="1" applyFont="1" applyBorder="1"/>
    <xf numFmtId="3" fontId="3" fillId="0" borderId="4" xfId="1" applyNumberFormat="1" applyFont="1" applyBorder="1"/>
    <xf numFmtId="3" fontId="4" fillId="0" borderId="51" xfId="0" applyNumberFormat="1" applyFont="1" applyFill="1" applyBorder="1"/>
    <xf numFmtId="0" fontId="4" fillId="0" borderId="28" xfId="0" applyFont="1" applyBorder="1" applyAlignment="1">
      <alignment horizontal="center"/>
    </xf>
    <xf numFmtId="168" fontId="4" fillId="0" borderId="49" xfId="1" applyNumberFormat="1" applyFont="1" applyFill="1" applyBorder="1"/>
    <xf numFmtId="5" fontId="4" fillId="0" borderId="49" xfId="0" applyNumberFormat="1" applyFont="1" applyFill="1" applyBorder="1" applyAlignment="1">
      <alignment horizontal="right"/>
    </xf>
    <xf numFmtId="3" fontId="4" fillId="0" borderId="44" xfId="1" applyNumberFormat="1" applyFont="1" applyFill="1" applyBorder="1" applyAlignment="1">
      <alignment horizontal="right"/>
    </xf>
    <xf numFmtId="0" fontId="4" fillId="0" borderId="0" xfId="0" applyFont="1" applyFill="1"/>
    <xf numFmtId="0" fontId="0" fillId="0" borderId="0" xfId="0" applyFill="1"/>
    <xf numFmtId="0" fontId="3" fillId="0" borderId="63" xfId="0" applyFont="1" applyFill="1" applyBorder="1" applyAlignment="1">
      <alignment horizontal="center"/>
    </xf>
    <xf numFmtId="0" fontId="3" fillId="0" borderId="64" xfId="0" applyFont="1" applyFill="1" applyBorder="1" applyAlignment="1">
      <alignment horizontal="center"/>
    </xf>
    <xf numFmtId="0" fontId="4" fillId="0" borderId="65" xfId="0" applyFont="1" applyFill="1" applyBorder="1"/>
    <xf numFmtId="0" fontId="4" fillId="0" borderId="63"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0" fontId="4" fillId="0" borderId="66" xfId="0" applyFont="1" applyFill="1" applyBorder="1"/>
    <xf numFmtId="0" fontId="4" fillId="0" borderId="4" xfId="0" applyFont="1" applyFill="1" applyBorder="1"/>
    <xf numFmtId="3" fontId="4" fillId="0" borderId="44" xfId="0" applyNumberFormat="1" applyFont="1" applyFill="1" applyBorder="1"/>
    <xf numFmtId="0" fontId="3" fillId="0" borderId="1" xfId="0" applyFont="1" applyFill="1" applyBorder="1"/>
    <xf numFmtId="3" fontId="3" fillId="0" borderId="1" xfId="0" applyNumberFormat="1" applyFont="1" applyFill="1" applyBorder="1"/>
    <xf numFmtId="0" fontId="4" fillId="0" borderId="0" xfId="0" applyFont="1" applyFill="1" applyBorder="1"/>
    <xf numFmtId="0" fontId="4" fillId="0" borderId="67" xfId="0" applyFont="1" applyFill="1" applyBorder="1"/>
    <xf numFmtId="0" fontId="4" fillId="0" borderId="68" xfId="0" applyFont="1" applyFill="1" applyBorder="1" applyAlignment="1">
      <alignment horizontal="center"/>
    </xf>
    <xf numFmtId="0" fontId="4" fillId="0" borderId="67" xfId="0" applyFont="1" applyFill="1" applyBorder="1" applyAlignment="1">
      <alignment horizontal="center"/>
    </xf>
    <xf numFmtId="164" fontId="4" fillId="0" borderId="0" xfId="0" applyNumberFormat="1" applyFont="1" applyFill="1" applyBorder="1"/>
    <xf numFmtId="0" fontId="4" fillId="0" borderId="69" xfId="0" applyFont="1" applyFill="1" applyBorder="1" applyAlignment="1">
      <alignment horizontal="center"/>
    </xf>
    <xf numFmtId="164" fontId="7" fillId="0" borderId="0" xfId="0" applyNumberFormat="1" applyFont="1" applyFill="1" applyBorder="1"/>
    <xf numFmtId="0" fontId="7" fillId="0" borderId="0" xfId="0" applyFont="1" applyFill="1" applyBorder="1" applyAlignment="1">
      <alignment horizontal="center"/>
    </xf>
    <xf numFmtId="0" fontId="3" fillId="0" borderId="13" xfId="0" applyFont="1" applyFill="1" applyBorder="1" applyAlignment="1">
      <alignment horizontal="center"/>
    </xf>
    <xf numFmtId="3" fontId="4" fillId="0" borderId="4" xfId="1" applyNumberFormat="1" applyFont="1" applyFill="1" applyBorder="1" applyAlignment="1">
      <alignment horizontal="right"/>
    </xf>
    <xf numFmtId="0" fontId="3" fillId="0" borderId="70" xfId="0" applyFont="1" applyFill="1" applyBorder="1" applyAlignment="1">
      <alignment horizontal="center"/>
    </xf>
    <xf numFmtId="0" fontId="4" fillId="0" borderId="12" xfId="0" applyFont="1" applyFill="1" applyBorder="1" applyAlignment="1">
      <alignment horizontal="right"/>
    </xf>
    <xf numFmtId="0" fontId="4" fillId="0" borderId="7" xfId="0" applyFont="1" applyFill="1" applyBorder="1"/>
    <xf numFmtId="0" fontId="4" fillId="0" borderId="43" xfId="0" applyFont="1" applyFill="1" applyBorder="1"/>
    <xf numFmtId="3" fontId="3" fillId="0" borderId="44" xfId="1" applyNumberFormat="1" applyFont="1" applyFill="1" applyBorder="1"/>
    <xf numFmtId="164" fontId="4" fillId="0" borderId="67" xfId="0" applyNumberFormat="1" applyFont="1" applyFill="1" applyBorder="1" applyAlignment="1">
      <alignment horizontal="center"/>
    </xf>
    <xf numFmtId="0" fontId="4" fillId="0" borderId="71" xfId="0" applyNumberFormat="1" applyFont="1" applyFill="1" applyBorder="1"/>
    <xf numFmtId="0" fontId="4" fillId="0" borderId="36" xfId="0" applyFont="1" applyFill="1" applyBorder="1"/>
    <xf numFmtId="3" fontId="4" fillId="0" borderId="0" xfId="1" applyNumberFormat="1" applyFont="1" applyFill="1" applyBorder="1" applyAlignment="1">
      <alignment horizontal="center"/>
    </xf>
    <xf numFmtId="3" fontId="4" fillId="0" borderId="20" xfId="1" applyNumberFormat="1" applyFont="1" applyBorder="1" applyAlignment="1">
      <alignment horizontal="center"/>
    </xf>
    <xf numFmtId="3" fontId="4" fillId="0" borderId="2" xfId="1" applyNumberFormat="1" applyFont="1" applyBorder="1" applyAlignment="1">
      <alignment horizontal="center"/>
    </xf>
    <xf numFmtId="0" fontId="3" fillId="0" borderId="17" xfId="0" applyFont="1" applyFill="1" applyBorder="1" applyAlignment="1">
      <alignment horizontal="centerContinuous"/>
    </xf>
    <xf numFmtId="0" fontId="3" fillId="0" borderId="19" xfId="0" applyFont="1" applyFill="1" applyBorder="1" applyAlignment="1">
      <alignment horizontal="center"/>
    </xf>
    <xf numFmtId="0" fontId="3" fillId="0" borderId="72" xfId="0" applyFont="1" applyFill="1" applyBorder="1" applyAlignment="1">
      <alignment horizontal="center"/>
    </xf>
    <xf numFmtId="0" fontId="4" fillId="0" borderId="73" xfId="0" applyFont="1" applyFill="1" applyBorder="1"/>
    <xf numFmtId="0" fontId="4" fillId="0" borderId="48" xfId="0" applyFont="1" applyFill="1" applyBorder="1"/>
    <xf numFmtId="0" fontId="4" fillId="0" borderId="50" xfId="0" applyFont="1" applyFill="1" applyBorder="1"/>
    <xf numFmtId="0" fontId="3" fillId="0" borderId="52" xfId="0" applyFont="1" applyFill="1" applyBorder="1"/>
    <xf numFmtId="0" fontId="4" fillId="0" borderId="47" xfId="0" applyNumberFormat="1" applyFont="1" applyBorder="1"/>
    <xf numFmtId="0" fontId="3" fillId="0" borderId="50" xfId="0" applyFont="1" applyFill="1" applyBorder="1"/>
    <xf numFmtId="0" fontId="4" fillId="0" borderId="53" xfId="0" applyFont="1" applyFill="1" applyBorder="1"/>
    <xf numFmtId="164" fontId="4" fillId="0" borderId="55" xfId="0" applyNumberFormat="1" applyFont="1" applyFill="1" applyBorder="1"/>
    <xf numFmtId="164" fontId="4" fillId="0" borderId="56" xfId="0" applyNumberFormat="1" applyFont="1" applyFill="1" applyBorder="1" applyAlignment="1">
      <alignment horizontal="center"/>
    </xf>
    <xf numFmtId="164" fontId="4" fillId="0" borderId="48" xfId="0" applyNumberFormat="1" applyFont="1" applyFill="1" applyBorder="1"/>
    <xf numFmtId="164" fontId="4" fillId="0" borderId="56" xfId="0" applyNumberFormat="1" applyFont="1" applyFill="1" applyBorder="1"/>
    <xf numFmtId="164" fontId="4" fillId="0" borderId="52" xfId="0" applyNumberFormat="1" applyFont="1" applyFill="1" applyBorder="1"/>
    <xf numFmtId="3" fontId="3" fillId="0" borderId="2" xfId="0" applyNumberFormat="1" applyFont="1" applyFill="1" applyBorder="1" applyAlignment="1"/>
    <xf numFmtId="166" fontId="4" fillId="0" borderId="2" xfId="20" applyNumberFormat="1" applyFont="1" applyBorder="1" applyAlignment="1"/>
    <xf numFmtId="3" fontId="4" fillId="0" borderId="2" xfId="0" applyNumberFormat="1" applyFont="1" applyBorder="1" applyAlignment="1"/>
    <xf numFmtId="166" fontId="4" fillId="0" borderId="61" xfId="20" applyNumberFormat="1" applyFont="1" applyBorder="1" applyAlignment="1"/>
    <xf numFmtId="0" fontId="3" fillId="0" borderId="74" xfId="0" applyFont="1" applyFill="1" applyBorder="1" applyAlignment="1">
      <alignment horizontal="center"/>
    </xf>
    <xf numFmtId="0" fontId="3" fillId="0" borderId="19" xfId="0" applyFont="1" applyFill="1" applyBorder="1" applyAlignment="1"/>
    <xf numFmtId="166" fontId="4" fillId="0" borderId="19" xfId="0" applyNumberFormat="1" applyFont="1" applyFill="1" applyBorder="1" applyAlignment="1"/>
    <xf numFmtId="3" fontId="4" fillId="0" borderId="7" xfId="1" applyNumberFormat="1" applyFont="1" applyFill="1" applyBorder="1"/>
    <xf numFmtId="3" fontId="4" fillId="0" borderId="23" xfId="1" applyNumberFormat="1" applyFont="1" applyFill="1" applyBorder="1" applyAlignment="1">
      <alignment horizontal="right"/>
    </xf>
    <xf numFmtId="0" fontId="4" fillId="0" borderId="75" xfId="0" applyFont="1" applyBorder="1" applyAlignment="1">
      <alignment horizontal="left"/>
    </xf>
    <xf numFmtId="0" fontId="9" fillId="0" borderId="0" xfId="0" applyFont="1" applyFill="1" applyBorder="1"/>
    <xf numFmtId="0" fontId="3" fillId="0" borderId="76" xfId="0" applyFont="1" applyBorder="1" applyAlignment="1">
      <alignment horizontal="center"/>
    </xf>
    <xf numFmtId="0" fontId="3" fillId="0" borderId="77" xfId="0" applyFont="1" applyFill="1" applyBorder="1" applyAlignment="1">
      <alignment horizontal="center"/>
    </xf>
    <xf numFmtId="0" fontId="4" fillId="0" borderId="74" xfId="0" applyFont="1" applyFill="1" applyBorder="1"/>
    <xf numFmtId="166" fontId="3" fillId="0" borderId="2" xfId="20" applyNumberFormat="1" applyFont="1" applyFill="1" applyBorder="1" applyAlignment="1">
      <alignment horizontal="right"/>
    </xf>
    <xf numFmtId="166" fontId="4" fillId="0" borderId="2" xfId="20" applyNumberFormat="1" applyFont="1" applyBorder="1" applyAlignment="1">
      <alignment horizontal="right"/>
    </xf>
    <xf numFmtId="166" fontId="4" fillId="0" borderId="61" xfId="20" applyNumberFormat="1" applyFont="1" applyBorder="1" applyAlignment="1">
      <alignment horizontal="right"/>
    </xf>
    <xf numFmtId="0" fontId="3" fillId="0" borderId="55" xfId="0" applyFont="1" applyFill="1" applyBorder="1" applyAlignment="1">
      <alignment horizontal="right"/>
    </xf>
    <xf numFmtId="0" fontId="3" fillId="0" borderId="73" xfId="0" applyFont="1" applyFill="1" applyBorder="1" applyAlignment="1">
      <alignment horizontal="center"/>
    </xf>
    <xf numFmtId="0" fontId="3" fillId="0" borderId="19" xfId="0" applyFont="1" applyFill="1" applyBorder="1" applyAlignment="1">
      <alignment horizontal="right"/>
    </xf>
    <xf numFmtId="166" fontId="4" fillId="0" borderId="19" xfId="0" applyNumberFormat="1" applyFont="1" applyFill="1" applyBorder="1" applyAlignment="1">
      <alignment horizontal="right"/>
    </xf>
    <xf numFmtId="170" fontId="4" fillId="0" borderId="11" xfId="0" applyNumberFormat="1" applyFont="1" applyBorder="1" applyAlignment="1">
      <alignment horizontal="center"/>
    </xf>
    <xf numFmtId="0" fontId="4" fillId="0" borderId="31" xfId="0" applyFont="1" applyBorder="1" applyAlignment="1">
      <alignment horizontal="center"/>
    </xf>
    <xf numFmtId="5" fontId="4" fillId="0" borderId="9" xfId="0" applyNumberFormat="1" applyFont="1" applyBorder="1" applyAlignment="1">
      <alignment horizontal="right"/>
    </xf>
    <xf numFmtId="3" fontId="4" fillId="0" borderId="48" xfId="0" applyNumberFormat="1" applyFont="1" applyFill="1" applyBorder="1"/>
    <xf numFmtId="164" fontId="4" fillId="0" borderId="50" xfId="0" applyNumberFormat="1" applyFont="1" applyFill="1" applyBorder="1"/>
    <xf numFmtId="164" fontId="4" fillId="0" borderId="53" xfId="0" applyNumberFormat="1" applyFont="1" applyFill="1" applyBorder="1"/>
    <xf numFmtId="0" fontId="4" fillId="0" borderId="78" xfId="0" applyFont="1" applyBorder="1"/>
    <xf numFmtId="0" fontId="4" fillId="0" borderId="42" xfId="0" applyFont="1" applyBorder="1"/>
    <xf numFmtId="0" fontId="4" fillId="0" borderId="79" xfId="0" applyFont="1" applyBorder="1"/>
    <xf numFmtId="0" fontId="3" fillId="0" borderId="80" xfId="0" applyFont="1" applyBorder="1" applyAlignment="1">
      <alignment horizontal="center"/>
    </xf>
    <xf numFmtId="0" fontId="3" fillId="0" borderId="24" xfId="0" applyFont="1" applyBorder="1"/>
    <xf numFmtId="0" fontId="3" fillId="0" borderId="42" xfId="0" applyFont="1" applyBorder="1" applyAlignment="1">
      <alignment horizontal="left" indent="1"/>
    </xf>
    <xf numFmtId="0" fontId="4" fillId="0" borderId="38" xfId="0" applyFont="1" applyBorder="1" applyAlignment="1">
      <alignment horizontal="left" indent="1"/>
    </xf>
    <xf numFmtId="0" fontId="4" fillId="0" borderId="80" xfId="0" applyFont="1" applyBorder="1" applyAlignment="1">
      <alignment horizontal="left" indent="1"/>
    </xf>
    <xf numFmtId="0" fontId="4" fillId="0" borderId="11" xfId="0" applyFont="1" applyBorder="1" applyAlignment="1">
      <alignment horizontal="center"/>
    </xf>
    <xf numFmtId="164" fontId="4" fillId="0" borderId="8" xfId="3" applyNumberFormat="1" applyFont="1" applyBorder="1" applyAlignment="1">
      <alignment horizontal="right"/>
    </xf>
    <xf numFmtId="3" fontId="4" fillId="0" borderId="50" xfId="0" applyNumberFormat="1" applyFont="1" applyFill="1" applyBorder="1"/>
    <xf numFmtId="3" fontId="3" fillId="0" borderId="50" xfId="0" applyNumberFormat="1" applyFont="1" applyFill="1" applyBorder="1"/>
    <xf numFmtId="0" fontId="4" fillId="0" borderId="40" xfId="0" applyFont="1" applyBorder="1" applyAlignment="1">
      <alignment horizontal="left" indent="1"/>
    </xf>
    <xf numFmtId="0" fontId="8" fillId="0" borderId="24" xfId="0" applyFont="1" applyBorder="1" applyAlignment="1">
      <alignment horizontal="left" indent="1"/>
    </xf>
    <xf numFmtId="0" fontId="8" fillId="0" borderId="40" xfId="0" applyFont="1" applyBorder="1" applyAlignment="1">
      <alignment horizontal="left" indent="1"/>
    </xf>
    <xf numFmtId="168" fontId="4" fillId="0" borderId="4" xfId="1" applyNumberFormat="1" applyFont="1" applyFill="1" applyBorder="1"/>
    <xf numFmtId="5" fontId="4" fillId="0" borderId="8" xfId="0" applyNumberFormat="1" applyFont="1" applyBorder="1" applyAlignment="1">
      <alignment horizontal="right"/>
    </xf>
    <xf numFmtId="3" fontId="3" fillId="0" borderId="11" xfId="0" applyNumberFormat="1" applyFont="1" applyFill="1" applyBorder="1" applyAlignment="1">
      <alignment horizontal="right"/>
    </xf>
    <xf numFmtId="168" fontId="3" fillId="0" borderId="0" xfId="1" applyNumberFormat="1" applyFont="1" applyBorder="1"/>
    <xf numFmtId="168" fontId="3" fillId="0" borderId="0" xfId="1" applyNumberFormat="1" applyFont="1" applyFill="1" applyBorder="1"/>
    <xf numFmtId="0" fontId="4" fillId="0" borderId="75" xfId="0" applyFont="1" applyBorder="1"/>
    <xf numFmtId="0" fontId="3" fillId="0" borderId="56" xfId="0" applyFont="1" applyBorder="1"/>
    <xf numFmtId="168" fontId="3" fillId="0" borderId="62" xfId="1" applyNumberFormat="1" applyFont="1" applyBorder="1"/>
    <xf numFmtId="0" fontId="3" fillId="0" borderId="0" xfId="0" applyFont="1" applyFill="1" applyBorder="1"/>
    <xf numFmtId="168" fontId="3" fillId="0" borderId="58" xfId="1" applyNumberFormat="1" applyFont="1" applyBorder="1"/>
    <xf numFmtId="0" fontId="4" fillId="0" borderId="74" xfId="0" applyFont="1" applyBorder="1"/>
    <xf numFmtId="0" fontId="4" fillId="0" borderId="34" xfId="0" applyFont="1" applyFill="1" applyBorder="1"/>
    <xf numFmtId="0" fontId="4" fillId="0" borderId="22" xfId="0" applyNumberFormat="1" applyFont="1" applyBorder="1" applyAlignment="1">
      <alignment horizontal="right"/>
    </xf>
    <xf numFmtId="0" fontId="4" fillId="0" borderId="22" xfId="0" applyNumberFormat="1" applyFont="1" applyBorder="1"/>
    <xf numFmtId="170" fontId="4" fillId="0" borderId="4" xfId="0" applyNumberFormat="1" applyFont="1" applyFill="1" applyBorder="1"/>
    <xf numFmtId="164" fontId="4" fillId="0" borderId="4" xfId="3" applyNumberFormat="1" applyFont="1" applyFill="1" applyBorder="1"/>
    <xf numFmtId="164" fontId="4" fillId="0" borderId="4" xfId="3" applyNumberFormat="1" applyFont="1" applyFill="1" applyBorder="1" applyAlignment="1">
      <alignment horizontal="center"/>
    </xf>
    <xf numFmtId="170" fontId="4" fillId="0" borderId="4" xfId="0" applyNumberFormat="1" applyFont="1" applyFill="1" applyBorder="1" applyAlignment="1">
      <alignment horizontal="center"/>
    </xf>
    <xf numFmtId="0" fontId="4" fillId="0" borderId="13" xfId="0" applyNumberFormat="1" applyFont="1" applyFill="1" applyBorder="1"/>
    <xf numFmtId="0" fontId="4" fillId="0" borderId="11" xfId="0" applyFont="1" applyFill="1" applyBorder="1" applyAlignment="1">
      <alignment horizontal="center"/>
    </xf>
    <xf numFmtId="3" fontId="4" fillId="0" borderId="20" xfId="1" applyNumberFormat="1" applyFont="1" applyFill="1" applyBorder="1" applyAlignment="1">
      <alignment horizontal="right"/>
    </xf>
    <xf numFmtId="3" fontId="4" fillId="0" borderId="6" xfId="1" applyNumberFormat="1" applyFont="1" applyFill="1" applyBorder="1"/>
    <xf numFmtId="0" fontId="11" fillId="0" borderId="39" xfId="0" applyFont="1" applyFill="1" applyBorder="1"/>
    <xf numFmtId="0" fontId="4" fillId="0" borderId="6" xfId="0" applyFont="1" applyFill="1" applyBorder="1"/>
    <xf numFmtId="0" fontId="4" fillId="0" borderId="20" xfId="0" applyFont="1" applyFill="1" applyBorder="1"/>
    <xf numFmtId="0" fontId="4" fillId="0" borderId="12" xfId="0" applyFont="1" applyFill="1" applyBorder="1"/>
    <xf numFmtId="0" fontId="4" fillId="0" borderId="22" xfId="0" applyFont="1" applyFill="1" applyBorder="1"/>
    <xf numFmtId="0" fontId="4" fillId="0" borderId="10" xfId="0" applyFont="1" applyFill="1" applyBorder="1"/>
    <xf numFmtId="0" fontId="4" fillId="0" borderId="39" xfId="0" applyFont="1" applyFill="1" applyBorder="1" applyAlignment="1">
      <alignment horizontal="right"/>
    </xf>
    <xf numFmtId="0" fontId="4" fillId="0" borderId="20" xfId="0" applyFont="1" applyFill="1" applyBorder="1" applyAlignment="1">
      <alignment horizontal="right"/>
    </xf>
    <xf numFmtId="0" fontId="4" fillId="0" borderId="2" xfId="0" applyFont="1" applyFill="1" applyBorder="1" applyAlignment="1">
      <alignment horizontal="right"/>
    </xf>
    <xf numFmtId="0" fontId="11" fillId="0" borderId="39" xfId="0" applyFont="1" applyFill="1" applyBorder="1" applyAlignment="1">
      <alignment horizontal="left"/>
    </xf>
    <xf numFmtId="0" fontId="4" fillId="0" borderId="2" xfId="0" applyFont="1" applyFill="1" applyBorder="1" applyAlignment="1">
      <alignment horizontal="center"/>
    </xf>
    <xf numFmtId="0" fontId="4" fillId="0" borderId="40" xfId="0" applyFont="1" applyFill="1" applyBorder="1" applyAlignment="1">
      <alignment horizontal="right"/>
    </xf>
    <xf numFmtId="0" fontId="4" fillId="0" borderId="76" xfId="0" applyFont="1" applyFill="1" applyBorder="1" applyAlignment="1">
      <alignment horizontal="right"/>
    </xf>
    <xf numFmtId="0" fontId="4" fillId="0" borderId="33" xfId="0" applyFont="1" applyFill="1" applyBorder="1" applyAlignment="1">
      <alignment horizontal="right"/>
    </xf>
    <xf numFmtId="3" fontId="4" fillId="0" borderId="2" xfId="0" applyNumberFormat="1" applyFont="1" applyFill="1" applyBorder="1" applyAlignment="1">
      <alignment horizontal="right"/>
    </xf>
    <xf numFmtId="3" fontId="4" fillId="0" borderId="20" xfId="0" applyNumberFormat="1" applyFont="1" applyFill="1" applyBorder="1" applyAlignment="1">
      <alignment horizontal="right"/>
    </xf>
    <xf numFmtId="0" fontId="4" fillId="0" borderId="81" xfId="0" applyFont="1" applyFill="1" applyBorder="1" applyAlignment="1">
      <alignment horizontal="right"/>
    </xf>
    <xf numFmtId="0" fontId="4" fillId="0" borderId="10" xfId="0" applyFont="1" applyFill="1" applyBorder="1" applyAlignment="1">
      <alignment horizontal="right"/>
    </xf>
    <xf numFmtId="0" fontId="4" fillId="0" borderId="6" xfId="0" applyFont="1" applyFill="1" applyBorder="1" applyAlignment="1">
      <alignment horizontal="right"/>
    </xf>
    <xf numFmtId="0" fontId="4" fillId="0" borderId="19" xfId="0" applyFont="1" applyFill="1" applyBorder="1" applyAlignment="1">
      <alignment horizontal="center"/>
    </xf>
    <xf numFmtId="0" fontId="4" fillId="0" borderId="80" xfId="0" applyFont="1" applyFill="1" applyBorder="1" applyAlignment="1">
      <alignment horizontal="right"/>
    </xf>
    <xf numFmtId="0" fontId="4" fillId="0" borderId="82" xfId="0" applyFont="1" applyFill="1" applyBorder="1"/>
    <xf numFmtId="0" fontId="4" fillId="0" borderId="7" xfId="0" applyFont="1" applyFill="1" applyBorder="1" applyAlignment="1">
      <alignment horizontal="right"/>
    </xf>
    <xf numFmtId="0" fontId="4" fillId="0" borderId="82" xfId="0" applyFont="1" applyFill="1" applyBorder="1" applyAlignment="1">
      <alignment horizontal="right"/>
    </xf>
    <xf numFmtId="0" fontId="4" fillId="0" borderId="19" xfId="0" applyFont="1" applyFill="1" applyBorder="1" applyAlignment="1">
      <alignment horizontal="right"/>
    </xf>
    <xf numFmtId="0" fontId="4" fillId="0" borderId="32" xfId="0" applyFont="1" applyFill="1" applyBorder="1" applyAlignment="1">
      <alignment horizontal="right"/>
    </xf>
    <xf numFmtId="0" fontId="4" fillId="0" borderId="77" xfId="0" applyFont="1" applyFill="1" applyBorder="1" applyAlignment="1">
      <alignment horizontal="right"/>
    </xf>
    <xf numFmtId="0" fontId="4" fillId="0" borderId="23" xfId="0" applyFont="1" applyFill="1" applyBorder="1"/>
    <xf numFmtId="0" fontId="4" fillId="0" borderId="61" xfId="0" applyFont="1" applyFill="1" applyBorder="1"/>
    <xf numFmtId="0" fontId="4" fillId="0" borderId="23" xfId="0" applyFont="1" applyFill="1" applyBorder="1" applyAlignment="1">
      <alignment horizontal="right"/>
    </xf>
    <xf numFmtId="0" fontId="4" fillId="0" borderId="61" xfId="0" applyFont="1" applyFill="1" applyBorder="1" applyAlignment="1">
      <alignment horizontal="right"/>
    </xf>
    <xf numFmtId="3" fontId="4" fillId="0" borderId="2" xfId="1" applyNumberFormat="1" applyFont="1" applyFill="1" applyBorder="1" applyAlignment="1">
      <alignment horizontal="right"/>
    </xf>
    <xf numFmtId="3" fontId="4" fillId="0" borderId="61" xfId="1" applyNumberFormat="1" applyFont="1" applyFill="1" applyBorder="1" applyAlignment="1">
      <alignment horizontal="right"/>
    </xf>
    <xf numFmtId="172" fontId="4" fillId="2" borderId="68" xfId="0" applyNumberFormat="1" applyFont="1" applyFill="1" applyBorder="1" applyAlignment="1">
      <alignment horizontal="center"/>
    </xf>
    <xf numFmtId="3" fontId="4" fillId="3" borderId="19" xfId="1" applyNumberFormat="1" applyFont="1" applyFill="1" applyBorder="1"/>
    <xf numFmtId="3" fontId="4" fillId="0" borderId="19" xfId="1" applyNumberFormat="1" applyFont="1" applyFill="1" applyBorder="1" applyAlignment="1">
      <alignment horizontal="right"/>
    </xf>
    <xf numFmtId="3" fontId="4" fillId="0" borderId="82" xfId="1" applyNumberFormat="1" applyFont="1" applyFill="1" applyBorder="1" applyAlignment="1">
      <alignment horizontal="right"/>
    </xf>
    <xf numFmtId="166" fontId="4" fillId="0" borderId="20" xfId="20" applyNumberFormat="1" applyFont="1" applyFill="1" applyBorder="1" applyAlignment="1">
      <alignment horizontal="right"/>
    </xf>
    <xf numFmtId="0" fontId="4" fillId="3" borderId="50" xfId="0" applyFont="1" applyFill="1" applyBorder="1" applyAlignment="1">
      <alignment horizontal="right"/>
    </xf>
    <xf numFmtId="0" fontId="4" fillId="3" borderId="57" xfId="0" applyFont="1" applyFill="1" applyBorder="1" applyAlignment="1">
      <alignment horizontal="right"/>
    </xf>
    <xf numFmtId="0" fontId="3" fillId="3" borderId="19" xfId="0" applyFont="1" applyFill="1" applyBorder="1" applyAlignment="1">
      <alignment horizontal="right"/>
    </xf>
    <xf numFmtId="3" fontId="4" fillId="3" borderId="50" xfId="1" applyNumberFormat="1" applyFont="1" applyFill="1" applyBorder="1" applyAlignment="1">
      <alignment horizontal="right"/>
    </xf>
    <xf numFmtId="3" fontId="4" fillId="3" borderId="19" xfId="1" applyNumberFormat="1" applyFont="1" applyFill="1" applyBorder="1" applyAlignment="1">
      <alignment horizontal="right"/>
    </xf>
    <xf numFmtId="166" fontId="4" fillId="3" borderId="19" xfId="0" applyNumberFormat="1" applyFont="1" applyFill="1" applyBorder="1" applyAlignment="1">
      <alignment horizontal="right"/>
    </xf>
    <xf numFmtId="3" fontId="4" fillId="3" borderId="82" xfId="1" applyNumberFormat="1" applyFont="1" applyFill="1" applyBorder="1" applyAlignment="1">
      <alignment horizontal="right"/>
    </xf>
    <xf numFmtId="0" fontId="4" fillId="0" borderId="50" xfId="0" applyFont="1" applyFill="1" applyBorder="1" applyAlignment="1"/>
    <xf numFmtId="0" fontId="4" fillId="0" borderId="57" xfId="0" applyFont="1" applyFill="1" applyBorder="1" applyAlignment="1"/>
    <xf numFmtId="3" fontId="4" fillId="0" borderId="50" xfId="1" applyNumberFormat="1" applyFont="1" applyFill="1" applyBorder="1" applyAlignment="1"/>
    <xf numFmtId="3" fontId="4" fillId="0" borderId="19" xfId="1" applyNumberFormat="1" applyFont="1" applyFill="1" applyBorder="1" applyAlignment="1"/>
    <xf numFmtId="3" fontId="4" fillId="0" borderId="82" xfId="1" applyNumberFormat="1" applyFont="1" applyFill="1" applyBorder="1" applyAlignment="1"/>
    <xf numFmtId="0" fontId="4" fillId="2" borderId="44" xfId="0" applyNumberFormat="1" applyFont="1" applyFill="1" applyBorder="1"/>
    <xf numFmtId="164" fontId="4" fillId="0" borderId="4" xfId="3" applyNumberFormat="1" applyFont="1" applyFill="1" applyBorder="1" applyAlignment="1">
      <alignment horizontal="right"/>
    </xf>
    <xf numFmtId="0" fontId="4" fillId="0" borderId="9" xfId="0" applyFont="1" applyFill="1" applyBorder="1"/>
    <xf numFmtId="0" fontId="3" fillId="0" borderId="4" xfId="0" applyFont="1" applyFill="1" applyBorder="1"/>
    <xf numFmtId="0" fontId="4" fillId="0" borderId="51" xfId="0" applyFont="1" applyFill="1" applyBorder="1"/>
    <xf numFmtId="168" fontId="3" fillId="0" borderId="49" xfId="1" applyNumberFormat="1" applyFont="1" applyFill="1" applyBorder="1"/>
    <xf numFmtId="0" fontId="3" fillId="0" borderId="56" xfId="0" applyFont="1" applyFill="1" applyBorder="1"/>
    <xf numFmtId="168" fontId="3" fillId="0" borderId="62" xfId="1" applyNumberFormat="1" applyFont="1" applyFill="1" applyBorder="1"/>
    <xf numFmtId="0" fontId="4" fillId="0" borderId="35" xfId="0" applyFont="1" applyFill="1" applyBorder="1"/>
    <xf numFmtId="0" fontId="4" fillId="0" borderId="73" xfId="0" applyNumberFormat="1" applyFont="1" applyFill="1" applyBorder="1"/>
    <xf numFmtId="0" fontId="4" fillId="0" borderId="22" xfId="0" applyNumberFormat="1" applyFont="1" applyFill="1" applyBorder="1"/>
    <xf numFmtId="0" fontId="3" fillId="0" borderId="11" xfId="0" applyFont="1" applyFill="1" applyBorder="1" applyAlignment="1">
      <alignment horizontal="right"/>
    </xf>
    <xf numFmtId="0" fontId="3" fillId="0" borderId="34" xfId="0" applyFont="1" applyFill="1" applyBorder="1" applyAlignment="1">
      <alignment horizontal="center"/>
    </xf>
    <xf numFmtId="3" fontId="4" fillId="0" borderId="4" xfId="1" applyNumberFormat="1" applyFont="1" applyFill="1" applyBorder="1" applyAlignment="1"/>
    <xf numFmtId="3" fontId="4" fillId="0" borderId="6" xfId="1" applyNumberFormat="1" applyFont="1" applyFill="1" applyBorder="1" applyAlignment="1"/>
    <xf numFmtId="166" fontId="4" fillId="0" borderId="6" xfId="0" applyNumberFormat="1" applyFont="1" applyFill="1" applyBorder="1" applyAlignment="1"/>
    <xf numFmtId="3" fontId="4" fillId="0" borderId="7" xfId="1" applyNumberFormat="1" applyFont="1" applyFill="1" applyBorder="1" applyAlignment="1"/>
    <xf numFmtId="0" fontId="3" fillId="0" borderId="6" xfId="0" applyFont="1" applyFill="1" applyBorder="1" applyAlignment="1">
      <alignment horizontal="center"/>
    </xf>
    <xf numFmtId="0" fontId="3" fillId="0" borderId="14" xfId="0" applyFont="1" applyFill="1" applyBorder="1" applyAlignment="1">
      <alignment horizontal="center"/>
    </xf>
    <xf numFmtId="0" fontId="3" fillId="0" borderId="8" xfId="0" applyFont="1" applyFill="1" applyBorder="1"/>
    <xf numFmtId="0" fontId="3" fillId="0" borderId="5" xfId="0" applyFont="1" applyFill="1" applyBorder="1" applyAlignment="1">
      <alignment horizontal="centerContinuous"/>
    </xf>
    <xf numFmtId="3" fontId="4" fillId="3" borderId="6" xfId="1" applyNumberFormat="1" applyFont="1" applyFill="1" applyBorder="1"/>
    <xf numFmtId="0" fontId="4" fillId="0" borderId="49" xfId="0" applyFont="1" applyFill="1" applyBorder="1"/>
    <xf numFmtId="3" fontId="4" fillId="0" borderId="51" xfId="1" applyNumberFormat="1" applyFont="1" applyFill="1" applyBorder="1" applyAlignment="1">
      <alignment horizontal="right"/>
    </xf>
    <xf numFmtId="3" fontId="3" fillId="0" borderId="60" xfId="0" applyNumberFormat="1" applyFont="1" applyFill="1" applyBorder="1" applyAlignment="1">
      <alignment horizontal="right"/>
    </xf>
    <xf numFmtId="0" fontId="3" fillId="0" borderId="35" xfId="0" applyFont="1" applyFill="1" applyBorder="1" applyAlignment="1">
      <alignment horizontal="center"/>
    </xf>
    <xf numFmtId="166" fontId="4" fillId="0" borderId="20" xfId="20" applyNumberFormat="1" applyFont="1" applyFill="1" applyBorder="1" applyAlignment="1"/>
    <xf numFmtId="3" fontId="3" fillId="0" borderId="20" xfId="0" applyNumberFormat="1" applyFont="1" applyFill="1" applyBorder="1" applyAlignment="1"/>
    <xf numFmtId="3" fontId="4" fillId="0" borderId="20" xfId="0" applyNumberFormat="1" applyFont="1" applyFill="1" applyBorder="1" applyAlignment="1"/>
    <xf numFmtId="166" fontId="4" fillId="0" borderId="23" xfId="20" applyNumberFormat="1" applyFont="1" applyFill="1" applyBorder="1" applyAlignment="1"/>
    <xf numFmtId="0" fontId="3" fillId="0" borderId="20" xfId="0" applyFont="1" applyFill="1" applyBorder="1" applyAlignment="1">
      <alignment horizontal="center"/>
    </xf>
    <xf numFmtId="0" fontId="3" fillId="0" borderId="21" xfId="0" applyFont="1" applyFill="1" applyBorder="1" applyAlignment="1">
      <alignment horizontal="center"/>
    </xf>
    <xf numFmtId="3" fontId="3" fillId="0" borderId="59" xfId="0" applyNumberFormat="1" applyFont="1" applyFill="1" applyBorder="1" applyAlignment="1">
      <alignment horizontal="right"/>
    </xf>
    <xf numFmtId="0" fontId="3" fillId="0" borderId="18" xfId="0" applyFont="1" applyFill="1" applyBorder="1" applyAlignment="1">
      <alignment horizontal="centerContinuous"/>
    </xf>
    <xf numFmtId="0" fontId="3" fillId="0" borderId="32" xfId="0" applyFont="1" applyFill="1" applyBorder="1" applyAlignment="1">
      <alignment horizontal="center"/>
    </xf>
    <xf numFmtId="3" fontId="4" fillId="0" borderId="9" xfId="0" applyNumberFormat="1" applyFont="1" applyFill="1" applyBorder="1"/>
    <xf numFmtId="164" fontId="4" fillId="0" borderId="4" xfId="0" applyNumberFormat="1" applyFont="1" applyFill="1" applyBorder="1"/>
    <xf numFmtId="164" fontId="4" fillId="0" borderId="11" xfId="0" applyNumberFormat="1" applyFont="1" applyFill="1" applyBorder="1"/>
    <xf numFmtId="164" fontId="4" fillId="0" borderId="0" xfId="0" applyNumberFormat="1" applyFont="1" applyFill="1" applyBorder="1" applyAlignment="1">
      <alignment horizontal="center"/>
    </xf>
    <xf numFmtId="164" fontId="4" fillId="0" borderId="31" xfId="0" applyNumberFormat="1" applyFont="1" applyFill="1" applyBorder="1"/>
    <xf numFmtId="164" fontId="4" fillId="0" borderId="9" xfId="0" applyNumberFormat="1" applyFont="1" applyFill="1" applyBorder="1"/>
    <xf numFmtId="164" fontId="4" fillId="0" borderId="8" xfId="0" applyNumberFormat="1" applyFont="1" applyFill="1" applyBorder="1"/>
    <xf numFmtId="0" fontId="3" fillId="0" borderId="12" xfId="0" applyFont="1" applyFill="1" applyBorder="1" applyAlignment="1">
      <alignment horizontal="center"/>
    </xf>
    <xf numFmtId="3" fontId="4" fillId="0" borderId="6" xfId="1" applyNumberFormat="1" applyFont="1" applyFill="1" applyBorder="1" applyAlignment="1">
      <alignment horizontal="right"/>
    </xf>
    <xf numFmtId="166" fontId="4" fillId="0" borderId="6" xfId="0" applyNumberFormat="1" applyFont="1" applyFill="1" applyBorder="1" applyAlignment="1">
      <alignment horizontal="right"/>
    </xf>
    <xf numFmtId="3" fontId="4" fillId="0" borderId="7" xfId="1" applyNumberFormat="1" applyFont="1" applyFill="1" applyBorder="1" applyAlignment="1">
      <alignment horizontal="right"/>
    </xf>
    <xf numFmtId="0" fontId="3" fillId="0" borderId="33" xfId="0" applyFont="1" applyFill="1" applyBorder="1" applyAlignment="1">
      <alignment horizontal="center"/>
    </xf>
    <xf numFmtId="3" fontId="3" fillId="0" borderId="59" xfId="0" applyNumberFormat="1" applyFont="1" applyFill="1" applyBorder="1"/>
    <xf numFmtId="168" fontId="4" fillId="0" borderId="51" xfId="1" applyNumberFormat="1" applyFont="1" applyFill="1" applyBorder="1"/>
    <xf numFmtId="168" fontId="3" fillId="0" borderId="51" xfId="1" applyNumberFormat="1" applyFont="1" applyFill="1" applyBorder="1"/>
    <xf numFmtId="0" fontId="4" fillId="0" borderId="54" xfId="0" applyFont="1" applyFill="1" applyBorder="1"/>
    <xf numFmtId="0" fontId="4" fillId="0" borderId="60" xfId="0" applyFont="1" applyFill="1" applyBorder="1" applyAlignment="1">
      <alignment horizontal="center"/>
    </xf>
    <xf numFmtId="164" fontId="4" fillId="0" borderId="54" xfId="0" applyNumberFormat="1" applyFont="1" applyFill="1" applyBorder="1" applyAlignment="1">
      <alignment horizontal="center"/>
    </xf>
    <xf numFmtId="164" fontId="4" fillId="0" borderId="51" xfId="0" applyNumberFormat="1" applyFont="1" applyFill="1" applyBorder="1"/>
    <xf numFmtId="0" fontId="4" fillId="0" borderId="54" xfId="0" applyFont="1" applyFill="1" applyBorder="1" applyAlignment="1">
      <alignment horizontal="center"/>
    </xf>
    <xf numFmtId="0" fontId="4" fillId="0" borderId="62" xfId="0" applyFont="1" applyFill="1" applyBorder="1" applyAlignment="1">
      <alignment horizontal="center"/>
    </xf>
    <xf numFmtId="0" fontId="3" fillId="0" borderId="22" xfId="0" applyFont="1" applyFill="1" applyBorder="1" applyAlignment="1">
      <alignment horizontal="center"/>
    </xf>
    <xf numFmtId="166" fontId="4" fillId="3" borderId="20" xfId="20" applyNumberFormat="1" applyFont="1" applyFill="1" applyBorder="1" applyAlignment="1">
      <alignment horizontal="right"/>
    </xf>
    <xf numFmtId="166" fontId="3" fillId="3" borderId="20" xfId="20" applyNumberFormat="1" applyFont="1" applyFill="1" applyBorder="1" applyAlignment="1">
      <alignment horizontal="right"/>
    </xf>
    <xf numFmtId="166" fontId="4" fillId="3" borderId="23" xfId="20" applyNumberFormat="1" applyFont="1" applyFill="1" applyBorder="1" applyAlignment="1">
      <alignment horizontal="right"/>
    </xf>
    <xf numFmtId="3" fontId="3" fillId="0" borderId="4" xfId="0" applyNumberFormat="1" applyFont="1" applyFill="1" applyBorder="1"/>
    <xf numFmtId="0" fontId="4" fillId="3" borderId="20" xfId="0" applyFont="1" applyFill="1" applyBorder="1" applyAlignment="1">
      <alignment horizontal="center"/>
    </xf>
    <xf numFmtId="3" fontId="4" fillId="0" borderId="49" xfId="1" applyNumberFormat="1" applyFont="1" applyFill="1" applyBorder="1"/>
    <xf numFmtId="3" fontId="4" fillId="0" borderId="51" xfId="1" applyNumberFormat="1" applyFont="1" applyFill="1" applyBorder="1"/>
    <xf numFmtId="3" fontId="3" fillId="0" borderId="51" xfId="1" applyNumberFormat="1" applyFont="1" applyFill="1" applyBorder="1"/>
    <xf numFmtId="0" fontId="4" fillId="0" borderId="58" xfId="0" applyNumberFormat="1" applyFont="1" applyFill="1" applyBorder="1"/>
    <xf numFmtId="164" fontId="4" fillId="0" borderId="59" xfId="3" applyNumberFormat="1" applyFont="1" applyBorder="1" applyAlignment="1">
      <alignment horizontal="right"/>
    </xf>
    <xf numFmtId="166" fontId="3" fillId="0" borderId="20" xfId="20" applyNumberFormat="1" applyFont="1" applyFill="1" applyBorder="1" applyAlignment="1">
      <alignment horizontal="right"/>
    </xf>
    <xf numFmtId="166" fontId="4" fillId="0" borderId="23" xfId="20" applyNumberFormat="1" applyFont="1" applyFill="1" applyBorder="1" applyAlignment="1">
      <alignment horizontal="right"/>
    </xf>
    <xf numFmtId="170" fontId="4" fillId="0" borderId="51" xfId="0" applyNumberFormat="1" applyFont="1" applyFill="1" applyBorder="1"/>
    <xf numFmtId="164" fontId="4" fillId="0" borderId="59" xfId="3" applyNumberFormat="1" applyFont="1" applyFill="1" applyBorder="1" applyAlignment="1">
      <alignment horizontal="right"/>
    </xf>
    <xf numFmtId="0" fontId="4" fillId="3" borderId="20" xfId="0" applyFont="1" applyFill="1" applyBorder="1"/>
    <xf numFmtId="0" fontId="4" fillId="0" borderId="22" xfId="0" applyFont="1" applyFill="1" applyBorder="1" applyAlignment="1">
      <alignment horizontal="right"/>
    </xf>
    <xf numFmtId="0" fontId="4" fillId="0" borderId="73" xfId="0" applyFont="1" applyFill="1" applyBorder="1" applyAlignment="1">
      <alignment horizontal="right"/>
    </xf>
    <xf numFmtId="0" fontId="4" fillId="0" borderId="83" xfId="0" applyFont="1" applyFill="1" applyBorder="1" applyAlignment="1">
      <alignment horizontal="right"/>
    </xf>
    <xf numFmtId="0" fontId="4" fillId="0" borderId="84" xfId="0" applyFont="1" applyFill="1" applyBorder="1" applyAlignment="1">
      <alignment horizontal="right"/>
    </xf>
    <xf numFmtId="0" fontId="4" fillId="0" borderId="85" xfId="0" applyFont="1" applyFill="1" applyBorder="1" applyAlignment="1">
      <alignment horizontal="right"/>
    </xf>
    <xf numFmtId="170" fontId="4" fillId="0" borderId="4" xfId="0" applyNumberFormat="1" applyFont="1" applyFill="1" applyBorder="1" applyAlignment="1">
      <alignment horizontal="right"/>
    </xf>
    <xf numFmtId="0" fontId="0" fillId="0" borderId="50" xfId="0" applyFill="1" applyBorder="1"/>
    <xf numFmtId="0" fontId="3" fillId="0" borderId="40" xfId="0" applyFont="1" applyFill="1" applyBorder="1" applyAlignment="1">
      <alignment horizontal="left"/>
    </xf>
    <xf numFmtId="0" fontId="4" fillId="2" borderId="7" xfId="0" applyFont="1" applyFill="1" applyBorder="1" applyAlignment="1">
      <alignment horizontal="right"/>
    </xf>
    <xf numFmtId="0" fontId="4" fillId="2" borderId="23" xfId="0" applyFont="1" applyFill="1" applyBorder="1" applyAlignment="1">
      <alignment horizontal="right"/>
    </xf>
    <xf numFmtId="0" fontId="4" fillId="2" borderId="61" xfId="0" applyFont="1" applyFill="1" applyBorder="1" applyAlignment="1">
      <alignment horizontal="right"/>
    </xf>
    <xf numFmtId="0" fontId="4" fillId="2" borderId="82" xfId="0" applyFont="1" applyFill="1" applyBorder="1" applyAlignment="1">
      <alignment horizontal="right"/>
    </xf>
    <xf numFmtId="0" fontId="3" fillId="0" borderId="3" xfId="0" applyFont="1" applyFill="1" applyBorder="1" applyAlignment="1">
      <alignment horizontal="centerContinuous"/>
    </xf>
    <xf numFmtId="0" fontId="3" fillId="0" borderId="2" xfId="0" applyFont="1" applyFill="1" applyBorder="1" applyAlignment="1">
      <alignment horizontal="center"/>
    </xf>
    <xf numFmtId="0" fontId="3" fillId="0" borderId="76" xfId="0" applyFont="1" applyFill="1" applyBorder="1" applyAlignment="1">
      <alignment horizontal="center"/>
    </xf>
    <xf numFmtId="0" fontId="4" fillId="0" borderId="16" xfId="0" applyFont="1" applyFill="1" applyBorder="1"/>
    <xf numFmtId="3" fontId="3" fillId="0" borderId="8" xfId="0" applyNumberFormat="1" applyFont="1" applyFill="1" applyBorder="1"/>
    <xf numFmtId="168" fontId="3" fillId="0" borderId="4" xfId="1" applyNumberFormat="1" applyFont="1" applyFill="1" applyBorder="1"/>
    <xf numFmtId="164" fontId="4" fillId="0" borderId="31" xfId="0" applyNumberFormat="1" applyFont="1" applyFill="1" applyBorder="1" applyAlignment="1">
      <alignment horizontal="center"/>
    </xf>
    <xf numFmtId="0" fontId="4" fillId="0" borderId="31" xfId="0" applyFont="1" applyFill="1" applyBorder="1" applyAlignment="1">
      <alignment horizontal="center"/>
    </xf>
    <xf numFmtId="0" fontId="3" fillId="0" borderId="10" xfId="0" applyFont="1" applyFill="1" applyBorder="1" applyAlignment="1">
      <alignment horizontal="center"/>
    </xf>
    <xf numFmtId="166" fontId="4" fillId="3" borderId="2" xfId="20" applyNumberFormat="1" applyFont="1" applyFill="1" applyBorder="1" applyAlignment="1">
      <alignment horizontal="right"/>
    </xf>
    <xf numFmtId="166" fontId="4" fillId="3" borderId="61" xfId="20" applyNumberFormat="1" applyFont="1" applyFill="1" applyBorder="1" applyAlignment="1">
      <alignment horizontal="right"/>
    </xf>
    <xf numFmtId="0" fontId="3" fillId="0" borderId="15" xfId="0" applyFont="1" applyFill="1" applyBorder="1" applyAlignment="1">
      <alignment horizontal="center"/>
    </xf>
    <xf numFmtId="0" fontId="4" fillId="3" borderId="2" xfId="0" applyFont="1" applyFill="1" applyBorder="1" applyAlignment="1">
      <alignment horizontal="center"/>
    </xf>
    <xf numFmtId="3" fontId="4" fillId="0" borderId="4" xfId="1" applyNumberFormat="1" applyFont="1" applyFill="1" applyBorder="1"/>
    <xf numFmtId="3" fontId="3" fillId="0" borderId="4" xfId="1" applyNumberFormat="1" applyFont="1" applyFill="1" applyBorder="1"/>
    <xf numFmtId="0" fontId="4" fillId="0" borderId="47" xfId="0" applyNumberFormat="1" applyFont="1" applyFill="1" applyBorder="1"/>
    <xf numFmtId="166" fontId="4" fillId="0" borderId="4" xfId="20" applyNumberFormat="1" applyFont="1" applyFill="1" applyBorder="1" applyAlignment="1">
      <alignment horizontal="right"/>
    </xf>
    <xf numFmtId="166" fontId="4" fillId="0" borderId="8" xfId="20" applyNumberFormat="1" applyFont="1" applyFill="1" applyBorder="1" applyAlignment="1">
      <alignment horizontal="right"/>
    </xf>
    <xf numFmtId="3" fontId="4" fillId="0" borderId="9" xfId="1" applyNumberFormat="1" applyFont="1" applyFill="1" applyBorder="1"/>
    <xf numFmtId="168" fontId="4" fillId="0" borderId="9" xfId="1" applyNumberFormat="1" applyFont="1" applyFill="1" applyBorder="1"/>
    <xf numFmtId="3" fontId="3" fillId="0" borderId="0" xfId="0" applyNumberFormat="1" applyFont="1" applyFill="1" applyBorder="1"/>
    <xf numFmtId="164" fontId="4" fillId="0" borderId="8" xfId="3" applyNumberFormat="1" applyFont="1" applyFill="1" applyBorder="1" applyAlignment="1">
      <alignment horizontal="right"/>
    </xf>
    <xf numFmtId="0" fontId="3" fillId="0" borderId="50" xfId="0" applyFont="1" applyFill="1" applyBorder="1" applyAlignment="1">
      <alignment horizontal="right"/>
    </xf>
    <xf numFmtId="3" fontId="3" fillId="0" borderId="8" xfId="0" applyNumberFormat="1" applyFont="1" applyFill="1" applyBorder="1" applyAlignment="1">
      <alignment horizontal="right"/>
    </xf>
    <xf numFmtId="168" fontId="3" fillId="0" borderId="9" xfId="1" applyNumberFormat="1" applyFont="1" applyFill="1" applyBorder="1"/>
    <xf numFmtId="0" fontId="4" fillId="0" borderId="10" xfId="0" applyNumberFormat="1" applyFont="1" applyFill="1" applyBorder="1"/>
    <xf numFmtId="0" fontId="3" fillId="0" borderId="16" xfId="0" applyFont="1" applyFill="1" applyBorder="1" applyAlignment="1">
      <alignment horizontal="center"/>
    </xf>
    <xf numFmtId="3" fontId="4" fillId="0" borderId="2" xfId="0" applyNumberFormat="1" applyFont="1" applyFill="1" applyBorder="1" applyAlignment="1"/>
    <xf numFmtId="3" fontId="4" fillId="0" borderId="19" xfId="1" applyNumberFormat="1" applyFont="1" applyFill="1" applyBorder="1"/>
    <xf numFmtId="3" fontId="4" fillId="0" borderId="82" xfId="1" applyNumberFormat="1" applyFont="1" applyFill="1" applyBorder="1"/>
    <xf numFmtId="3" fontId="13" fillId="0" borderId="0" xfId="0" applyNumberFormat="1" applyFont="1" applyFill="1"/>
    <xf numFmtId="0" fontId="4" fillId="0" borderId="86" xfId="0" applyFont="1" applyBorder="1" applyAlignment="1">
      <alignment horizontal="left" wrapText="1"/>
    </xf>
    <xf numFmtId="170" fontId="13" fillId="0" borderId="0" xfId="0" applyNumberFormat="1" applyFont="1" applyFill="1"/>
    <xf numFmtId="170" fontId="13" fillId="0" borderId="4" xfId="0" applyNumberFormat="1" applyFont="1" applyBorder="1" applyAlignment="1">
      <alignment horizontal="right"/>
    </xf>
    <xf numFmtId="170" fontId="4" fillId="0" borderId="51" xfId="0" applyNumberFormat="1" applyFont="1" applyFill="1" applyBorder="1" applyAlignment="1">
      <alignment horizontal="right"/>
    </xf>
    <xf numFmtId="0" fontId="13" fillId="0" borderId="0" xfId="0" applyFont="1"/>
    <xf numFmtId="3" fontId="4" fillId="0" borderId="2" xfId="1" applyNumberFormat="1" applyFont="1" applyFill="1" applyBorder="1" applyAlignment="1">
      <alignment horizontal="center"/>
    </xf>
    <xf numFmtId="3" fontId="4" fillId="0" borderId="0" xfId="0" applyNumberFormat="1" applyFont="1"/>
    <xf numFmtId="0" fontId="4" fillId="0" borderId="29" xfId="0" applyFont="1" applyBorder="1" applyAlignment="1">
      <alignment horizontal="right" wrapText="1"/>
    </xf>
    <xf numFmtId="0" fontId="3" fillId="0" borderId="87" xfId="0" applyFont="1" applyBorder="1"/>
    <xf numFmtId="170" fontId="3" fillId="0" borderId="88" xfId="0" applyNumberFormat="1" applyFont="1" applyBorder="1" applyAlignment="1">
      <alignment horizontal="left"/>
    </xf>
    <xf numFmtId="0" fontId="3" fillId="0" borderId="89" xfId="0" applyFont="1" applyBorder="1"/>
    <xf numFmtId="164" fontId="13" fillId="0" borderId="0" xfId="3" applyNumberFormat="1" applyFont="1" applyFill="1"/>
    <xf numFmtId="170" fontId="4" fillId="0" borderId="0" xfId="14" applyNumberFormat="1"/>
    <xf numFmtId="170" fontId="4" fillId="0" borderId="0" xfId="15" applyNumberFormat="1"/>
    <xf numFmtId="170" fontId="4" fillId="0" borderId="0" xfId="12" applyNumberFormat="1"/>
    <xf numFmtId="6" fontId="4" fillId="0" borderId="51" xfId="0" applyNumberFormat="1" applyFont="1" applyBorder="1" applyAlignment="1">
      <alignment horizontal="right"/>
    </xf>
    <xf numFmtId="170" fontId="4" fillId="0" borderId="0" xfId="14" applyNumberFormat="1" applyFill="1"/>
    <xf numFmtId="170" fontId="4" fillId="0" borderId="0" xfId="15" applyNumberFormat="1" applyFill="1"/>
    <xf numFmtId="170" fontId="4" fillId="0" borderId="0" xfId="12" applyNumberFormat="1" applyFill="1"/>
    <xf numFmtId="164" fontId="3" fillId="0" borderId="90" xfId="0" applyNumberFormat="1" applyFont="1" applyFill="1" applyBorder="1" applyAlignment="1">
      <alignment horizontal="right"/>
    </xf>
    <xf numFmtId="170" fontId="3" fillId="0" borderId="21" xfId="0" applyNumberFormat="1" applyFont="1" applyFill="1" applyBorder="1" applyAlignment="1">
      <alignment horizontal="right"/>
    </xf>
    <xf numFmtId="164" fontId="4" fillId="0" borderId="62" xfId="0" applyNumberFormat="1" applyFont="1" applyFill="1" applyBorder="1" applyAlignment="1">
      <alignment horizontal="right"/>
    </xf>
    <xf numFmtId="170" fontId="4" fillId="0" borderId="22" xfId="0" applyNumberFormat="1" applyFont="1" applyBorder="1" applyAlignment="1">
      <alignment horizontal="right"/>
    </xf>
    <xf numFmtId="170" fontId="4" fillId="0" borderId="22" xfId="0" applyNumberFormat="1" applyFont="1" applyFill="1" applyBorder="1" applyAlignment="1">
      <alignment horizontal="right"/>
    </xf>
    <xf numFmtId="0" fontId="4" fillId="0" borderId="16" xfId="0" applyNumberFormat="1" applyFont="1" applyFill="1" applyBorder="1" applyAlignment="1">
      <alignment horizontal="right"/>
    </xf>
    <xf numFmtId="0" fontId="4" fillId="0" borderId="74" xfId="0" applyNumberFormat="1" applyFont="1" applyFill="1" applyBorder="1" applyAlignment="1">
      <alignment horizontal="right"/>
    </xf>
    <xf numFmtId="0" fontId="4" fillId="0" borderId="65" xfId="0" applyNumberFormat="1" applyFont="1" applyFill="1" applyBorder="1" applyAlignment="1">
      <alignment horizontal="right"/>
    </xf>
    <xf numFmtId="164" fontId="3" fillId="0" borderId="59" xfId="3" applyNumberFormat="1" applyFont="1" applyBorder="1" applyAlignment="1">
      <alignment horizontal="right"/>
    </xf>
    <xf numFmtId="0" fontId="4" fillId="0" borderId="4" xfId="0" applyFont="1" applyBorder="1" applyAlignment="1">
      <alignment horizontal="right"/>
    </xf>
    <xf numFmtId="170" fontId="13" fillId="0" borderId="62" xfId="0" applyNumberFormat="1" applyFont="1" applyBorder="1"/>
    <xf numFmtId="3" fontId="4" fillId="0" borderId="0" xfId="0" applyNumberFormat="1" applyFont="1" applyFill="1" applyBorder="1" applyAlignment="1">
      <alignment horizontal="center"/>
    </xf>
    <xf numFmtId="3" fontId="4" fillId="0" borderId="0" xfId="0" applyNumberFormat="1" applyFont="1" applyFill="1" applyBorder="1"/>
    <xf numFmtId="170" fontId="4" fillId="0" borderId="9" xfId="0" applyNumberFormat="1" applyFont="1" applyFill="1" applyBorder="1" applyAlignment="1">
      <alignment horizontal="right"/>
    </xf>
    <xf numFmtId="170" fontId="4" fillId="0" borderId="49" xfId="0" applyNumberFormat="1" applyFont="1" applyBorder="1"/>
    <xf numFmtId="170" fontId="13" fillId="0" borderId="91" xfId="0" applyNumberFormat="1" applyFont="1" applyFill="1" applyBorder="1" applyAlignment="1" applyProtection="1"/>
    <xf numFmtId="170" fontId="13" fillId="0" borderId="9" xfId="0" applyNumberFormat="1" applyFont="1" applyBorder="1"/>
    <xf numFmtId="170" fontId="13" fillId="0" borderId="0" xfId="0" applyNumberFormat="1" applyFont="1"/>
    <xf numFmtId="170" fontId="4" fillId="0" borderId="11" xfId="0" applyNumberFormat="1" applyFont="1" applyBorder="1" applyAlignment="1">
      <alignment horizontal="right"/>
    </xf>
    <xf numFmtId="170" fontId="13" fillId="0" borderId="9" xfId="0" applyNumberFormat="1" applyFont="1" applyFill="1" applyBorder="1"/>
    <xf numFmtId="0" fontId="3" fillId="0" borderId="65" xfId="0" applyFont="1" applyFill="1" applyBorder="1" applyAlignment="1">
      <alignment horizontal="center"/>
    </xf>
    <xf numFmtId="3" fontId="4" fillId="0" borderId="20" xfId="1" applyNumberFormat="1" applyFont="1" applyFill="1" applyBorder="1" applyAlignment="1">
      <alignment horizontal="center"/>
    </xf>
    <xf numFmtId="164" fontId="4" fillId="0" borderId="9" xfId="0" applyNumberFormat="1" applyFont="1" applyFill="1" applyBorder="1" applyAlignment="1">
      <alignment horizontal="right"/>
    </xf>
    <xf numFmtId="5" fontId="4" fillId="0" borderId="9" xfId="0" applyNumberFormat="1" applyFont="1" applyFill="1" applyBorder="1" applyAlignment="1">
      <alignment horizontal="right"/>
    </xf>
    <xf numFmtId="164" fontId="4" fillId="0" borderId="8" xfId="0" applyNumberFormat="1" applyFont="1" applyFill="1" applyBorder="1" applyAlignment="1">
      <alignment horizontal="right"/>
    </xf>
    <xf numFmtId="5" fontId="4" fillId="0" borderId="59" xfId="0" applyNumberFormat="1" applyFont="1" applyFill="1" applyBorder="1" applyAlignment="1">
      <alignment horizontal="right"/>
    </xf>
    <xf numFmtId="170" fontId="4" fillId="0" borderId="49" xfId="15" applyNumberFormat="1" applyBorder="1"/>
    <xf numFmtId="164" fontId="4" fillId="0" borderId="51" xfId="3" applyNumberFormat="1" applyFont="1" applyFill="1" applyBorder="1"/>
    <xf numFmtId="3" fontId="4" fillId="0" borderId="62" xfId="0" applyNumberFormat="1" applyFont="1" applyFill="1" applyBorder="1" applyAlignment="1">
      <alignment horizontal="center"/>
    </xf>
    <xf numFmtId="170" fontId="4" fillId="0" borderId="49" xfId="0" applyNumberFormat="1" applyFont="1" applyFill="1" applyBorder="1"/>
    <xf numFmtId="0" fontId="4" fillId="0" borderId="1" xfId="0" applyFont="1" applyFill="1" applyBorder="1"/>
    <xf numFmtId="3" fontId="4" fillId="0" borderId="0" xfId="0" applyNumberFormat="1" applyFont="1" applyBorder="1"/>
    <xf numFmtId="5" fontId="4" fillId="0" borderId="60" xfId="0" applyNumberFormat="1" applyFont="1" applyBorder="1" applyAlignment="1"/>
    <xf numFmtId="170" fontId="4" fillId="0" borderId="11" xfId="0" applyNumberFormat="1" applyFont="1" applyBorder="1" applyAlignment="1"/>
    <xf numFmtId="172" fontId="4" fillId="0" borderId="60" xfId="0" applyNumberFormat="1" applyFont="1" applyFill="1" applyBorder="1" applyAlignment="1"/>
    <xf numFmtId="3" fontId="4" fillId="0" borderId="20" xfId="0" applyNumberFormat="1" applyFont="1" applyBorder="1" applyAlignment="1">
      <alignment horizontal="right"/>
    </xf>
    <xf numFmtId="164" fontId="4" fillId="0" borderId="4" xfId="3" applyNumberFormat="1" applyFont="1" applyBorder="1" applyAlignment="1">
      <alignment horizontal="right"/>
    </xf>
    <xf numFmtId="164" fontId="4" fillId="0" borderId="50"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48" xfId="0" applyNumberFormat="1" applyFont="1" applyFill="1" applyBorder="1" applyAlignment="1">
      <alignment horizontal="right"/>
    </xf>
    <xf numFmtId="170" fontId="13" fillId="0" borderId="0" xfId="0" applyNumberFormat="1" applyFont="1" applyFill="1" applyAlignment="1">
      <alignment horizontal="right"/>
    </xf>
    <xf numFmtId="164" fontId="4" fillId="0" borderId="52" xfId="0" applyNumberFormat="1" applyFont="1" applyFill="1" applyBorder="1" applyAlignment="1">
      <alignment horizontal="right"/>
    </xf>
    <xf numFmtId="0" fontId="3" fillId="0" borderId="77" xfId="0" applyFont="1" applyBorder="1" applyAlignment="1">
      <alignment horizontal="center"/>
    </xf>
    <xf numFmtId="170" fontId="4" fillId="0" borderId="0" xfId="13" applyNumberFormat="1" applyAlignment="1">
      <alignment horizontal="right"/>
    </xf>
    <xf numFmtId="170" fontId="4" fillId="0" borderId="0" xfId="13" applyNumberFormat="1" applyFill="1" applyAlignment="1">
      <alignment horizontal="right"/>
    </xf>
    <xf numFmtId="0" fontId="4" fillId="0" borderId="58" xfId="0" applyNumberFormat="1" applyFont="1" applyFill="1" applyBorder="1" applyAlignment="1">
      <alignment horizontal="right"/>
    </xf>
    <xf numFmtId="0" fontId="4" fillId="0" borderId="47" xfId="0" applyNumberFormat="1" applyFont="1" applyFill="1" applyBorder="1" applyAlignment="1">
      <alignment horizontal="right"/>
    </xf>
    <xf numFmtId="164" fontId="13" fillId="0" borderId="44" xfId="0" applyNumberFormat="1" applyFont="1" applyFill="1" applyBorder="1"/>
    <xf numFmtId="0" fontId="3" fillId="0" borderId="74" xfId="0" applyFont="1" applyBorder="1" applyAlignment="1">
      <alignment horizontal="center"/>
    </xf>
    <xf numFmtId="0" fontId="3" fillId="0" borderId="35" xfId="0" applyFont="1" applyBorder="1" applyAlignment="1">
      <alignment horizontal="center"/>
    </xf>
    <xf numFmtId="166" fontId="3" fillId="0" borderId="19" xfId="0" applyNumberFormat="1" applyFont="1" applyFill="1" applyBorder="1" applyAlignment="1">
      <alignment horizontal="right"/>
    </xf>
    <xf numFmtId="3" fontId="3" fillId="0" borderId="19" xfId="0" applyNumberFormat="1" applyFont="1" applyBorder="1" applyAlignment="1">
      <alignment horizontal="right"/>
    </xf>
    <xf numFmtId="3" fontId="4" fillId="0" borderId="19" xfId="1" applyNumberFormat="1" applyFont="1" applyBorder="1" applyAlignment="1">
      <alignment horizontal="right"/>
    </xf>
    <xf numFmtId="0" fontId="4" fillId="0" borderId="82" xfId="0" applyFont="1" applyBorder="1" applyAlignment="1">
      <alignment horizontal="right"/>
    </xf>
    <xf numFmtId="170" fontId="4" fillId="0" borderId="0" xfId="16" applyNumberFormat="1" applyAlignment="1">
      <alignment horizontal="right"/>
    </xf>
    <xf numFmtId="170" fontId="4" fillId="0" borderId="0" xfId="16" applyNumberFormat="1" applyFill="1" applyAlignment="1">
      <alignment horizontal="right"/>
    </xf>
    <xf numFmtId="173" fontId="4" fillId="0" borderId="11" xfId="0" applyNumberFormat="1" applyFont="1" applyFill="1" applyBorder="1" applyAlignment="1">
      <alignment horizontal="right"/>
    </xf>
    <xf numFmtId="0" fontId="4" fillId="0" borderId="11" xfId="0" applyFont="1" applyBorder="1" applyAlignment="1">
      <alignment horizontal="right"/>
    </xf>
    <xf numFmtId="164" fontId="4" fillId="0" borderId="55" xfId="0" applyNumberFormat="1" applyFont="1" applyFill="1" applyBorder="1" applyAlignment="1">
      <alignment horizontal="right"/>
    </xf>
    <xf numFmtId="0" fontId="4" fillId="0" borderId="60" xfId="0" applyFont="1" applyFill="1" applyBorder="1" applyAlignment="1">
      <alignment horizontal="right"/>
    </xf>
    <xf numFmtId="164" fontId="4" fillId="0" borderId="11" xfId="0" applyNumberFormat="1" applyFont="1" applyFill="1" applyBorder="1" applyAlignment="1">
      <alignment horizontal="right"/>
    </xf>
    <xf numFmtId="0" fontId="4" fillId="0" borderId="11" xfId="0" applyFont="1" applyFill="1" applyBorder="1" applyAlignment="1">
      <alignment horizontal="right"/>
    </xf>
    <xf numFmtId="164" fontId="4" fillId="0" borderId="56"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31" xfId="0" applyNumberFormat="1" applyFont="1" applyFill="1" applyBorder="1" applyAlignment="1">
      <alignment horizontal="right"/>
    </xf>
    <xf numFmtId="170" fontId="4" fillId="0" borderId="0" xfId="17" applyNumberFormat="1" applyAlignment="1">
      <alignment horizontal="right"/>
    </xf>
    <xf numFmtId="170" fontId="4" fillId="0" borderId="0" xfId="17" applyNumberFormat="1" applyFill="1" applyAlignment="1">
      <alignment horizontal="right"/>
    </xf>
    <xf numFmtId="0" fontId="4" fillId="0" borderId="31" xfId="0" applyFont="1" applyBorder="1" applyAlignment="1">
      <alignment horizontal="right"/>
    </xf>
    <xf numFmtId="164" fontId="4" fillId="0" borderId="53" xfId="0" applyNumberFormat="1" applyFont="1" applyFill="1" applyBorder="1" applyAlignment="1">
      <alignment horizontal="right"/>
    </xf>
    <xf numFmtId="0" fontId="4" fillId="0" borderId="54" xfId="0" applyFont="1" applyFill="1" applyBorder="1" applyAlignment="1">
      <alignment horizontal="right"/>
    </xf>
    <xf numFmtId="0" fontId="4" fillId="0" borderId="31" xfId="0" applyFont="1" applyFill="1" applyBorder="1" applyAlignment="1">
      <alignment horizontal="right"/>
    </xf>
    <xf numFmtId="0" fontId="4" fillId="0" borderId="62" xfId="0" applyFont="1" applyFill="1" applyBorder="1" applyAlignment="1">
      <alignment horizontal="right"/>
    </xf>
    <xf numFmtId="170" fontId="13" fillId="0" borderId="62" xfId="0" applyNumberFormat="1" applyFont="1" applyBorder="1" applyAlignment="1">
      <alignment horizontal="right"/>
    </xf>
    <xf numFmtId="170" fontId="13" fillId="0" borderId="0" xfId="0" applyNumberFormat="1" applyFont="1" applyAlignment="1">
      <alignment horizontal="right"/>
    </xf>
    <xf numFmtId="0" fontId="11" fillId="0" borderId="29" xfId="0" applyFont="1" applyFill="1" applyBorder="1"/>
    <xf numFmtId="0" fontId="4" fillId="0" borderId="29" xfId="0" applyFont="1" applyFill="1" applyBorder="1" applyAlignment="1">
      <alignment horizontal="right"/>
    </xf>
    <xf numFmtId="0" fontId="4" fillId="0" borderId="30" xfId="0" applyFont="1" applyFill="1" applyBorder="1" applyAlignment="1">
      <alignment horizontal="right"/>
    </xf>
    <xf numFmtId="0" fontId="11" fillId="0" borderId="29" xfId="0" applyFont="1" applyFill="1" applyBorder="1" applyAlignment="1">
      <alignment horizontal="left"/>
    </xf>
    <xf numFmtId="170" fontId="4" fillId="0" borderId="0" xfId="18" applyNumberFormat="1" applyAlignment="1">
      <alignment horizontal="right"/>
    </xf>
    <xf numFmtId="170" fontId="4" fillId="0" borderId="0" xfId="18" applyNumberFormat="1" applyFill="1" applyAlignment="1">
      <alignment horizontal="right"/>
    </xf>
    <xf numFmtId="170" fontId="13" fillId="0" borderId="49" xfId="0" applyNumberFormat="1" applyFont="1" applyBorder="1"/>
    <xf numFmtId="0" fontId="3" fillId="0" borderId="73" xfId="0" applyFont="1" applyBorder="1" applyAlignment="1">
      <alignment horizontal="center"/>
    </xf>
    <xf numFmtId="0" fontId="3" fillId="0" borderId="22" xfId="0" applyFont="1" applyBorder="1" applyAlignment="1">
      <alignment horizontal="center"/>
    </xf>
    <xf numFmtId="170" fontId="4" fillId="0" borderId="0" xfId="19" applyNumberFormat="1" applyFill="1" applyAlignment="1">
      <alignment horizontal="right"/>
    </xf>
    <xf numFmtId="170" fontId="4" fillId="0" borderId="62" xfId="19" applyNumberFormat="1" applyBorder="1" applyAlignment="1">
      <alignment horizontal="right"/>
    </xf>
    <xf numFmtId="173" fontId="4" fillId="0" borderId="60" xfId="0" applyNumberFormat="1" applyFont="1" applyFill="1" applyBorder="1" applyAlignment="1">
      <alignment horizontal="right"/>
    </xf>
    <xf numFmtId="168" fontId="4" fillId="0" borderId="51" xfId="1" applyNumberFormat="1" applyFont="1" applyBorder="1" applyAlignment="1">
      <alignment horizontal="right"/>
    </xf>
    <xf numFmtId="168" fontId="4" fillId="0" borderId="4" xfId="1" applyNumberFormat="1" applyFont="1" applyBorder="1" applyAlignment="1">
      <alignment horizontal="right"/>
    </xf>
    <xf numFmtId="168" fontId="4" fillId="0" borderId="51" xfId="1" applyNumberFormat="1" applyFont="1" applyFill="1" applyBorder="1" applyAlignment="1">
      <alignment horizontal="right"/>
    </xf>
    <xf numFmtId="168" fontId="3" fillId="0" borderId="51" xfId="1" applyNumberFormat="1" applyFont="1" applyBorder="1" applyAlignment="1">
      <alignment horizontal="right"/>
    </xf>
    <xf numFmtId="0" fontId="3" fillId="0" borderId="4" xfId="0" applyFont="1" applyBorder="1" applyAlignment="1">
      <alignment horizontal="right"/>
    </xf>
    <xf numFmtId="168" fontId="3" fillId="0" borderId="4" xfId="1" applyNumberFormat="1" applyFont="1" applyBorder="1" applyAlignment="1">
      <alignment horizontal="right"/>
    </xf>
    <xf numFmtId="168" fontId="3" fillId="0" borderId="51" xfId="1" applyNumberFormat="1" applyFont="1" applyFill="1" applyBorder="1" applyAlignment="1">
      <alignment horizontal="right"/>
    </xf>
    <xf numFmtId="0" fontId="4" fillId="0" borderId="54" xfId="0" applyFont="1" applyBorder="1" applyAlignment="1">
      <alignment horizontal="right"/>
    </xf>
    <xf numFmtId="0" fontId="4" fillId="0" borderId="53" xfId="0" applyFont="1" applyFill="1" applyBorder="1" applyAlignment="1">
      <alignment horizontal="right"/>
    </xf>
    <xf numFmtId="1" fontId="4" fillId="0" borderId="19" xfId="0" applyNumberFormat="1" applyFont="1" applyFill="1" applyBorder="1" applyAlignment="1"/>
    <xf numFmtId="1" fontId="4" fillId="0" borderId="82" xfId="0" applyNumberFormat="1" applyFont="1" applyFill="1" applyBorder="1" applyAlignment="1"/>
    <xf numFmtId="170" fontId="13" fillId="0" borderId="0" xfId="0" applyNumberFormat="1" applyFont="1" applyFill="1" applyBorder="1" applyAlignment="1">
      <alignment horizontal="right"/>
    </xf>
    <xf numFmtId="0" fontId="4" fillId="3" borderId="10" xfId="0" applyFont="1" applyFill="1" applyBorder="1"/>
    <xf numFmtId="0" fontId="4" fillId="3" borderId="2" xfId="0" applyFont="1" applyFill="1" applyBorder="1"/>
    <xf numFmtId="170" fontId="13" fillId="0" borderId="0" xfId="0" applyNumberFormat="1" applyFont="1" applyBorder="1"/>
    <xf numFmtId="5" fontId="4" fillId="0" borderId="8" xfId="0" applyNumberFormat="1" applyFont="1" applyFill="1" applyBorder="1" applyAlignment="1">
      <alignment horizontal="right"/>
    </xf>
    <xf numFmtId="0" fontId="4" fillId="3" borderId="2" xfId="0" applyFont="1" applyFill="1" applyBorder="1" applyAlignment="1">
      <alignment horizontal="right"/>
    </xf>
    <xf numFmtId="170" fontId="13" fillId="0" borderId="36" xfId="0" applyNumberFormat="1" applyFont="1" applyFill="1" applyBorder="1" applyAlignment="1" applyProtection="1"/>
    <xf numFmtId="164" fontId="4" fillId="0" borderId="1" xfId="0" applyNumberFormat="1" applyFont="1" applyFill="1" applyBorder="1"/>
    <xf numFmtId="164" fontId="4" fillId="0" borderId="36" xfId="0" applyNumberFormat="1" applyFont="1" applyFill="1" applyBorder="1"/>
    <xf numFmtId="3" fontId="4" fillId="0" borderId="55" xfId="0" applyNumberFormat="1" applyFont="1" applyFill="1" applyBorder="1"/>
    <xf numFmtId="3" fontId="4" fillId="0" borderId="66" xfId="0" applyNumberFormat="1" applyFont="1" applyFill="1" applyBorder="1"/>
    <xf numFmtId="0" fontId="4" fillId="0" borderId="1" xfId="0" applyFont="1" applyFill="1" applyBorder="1" applyAlignment="1">
      <alignment horizontal="right"/>
    </xf>
    <xf numFmtId="0" fontId="4" fillId="0" borderId="36" xfId="0" applyFont="1" applyFill="1" applyBorder="1" applyAlignment="1">
      <alignment horizontal="right"/>
    </xf>
    <xf numFmtId="3" fontId="13" fillId="0" borderId="0" xfId="0" applyNumberFormat="1" applyFont="1" applyFill="1" applyBorder="1"/>
    <xf numFmtId="164" fontId="4" fillId="0" borderId="48" xfId="0" applyNumberFormat="1" applyFont="1" applyFill="1" applyBorder="1" applyAlignment="1">
      <alignment horizontal="center"/>
    </xf>
    <xf numFmtId="170" fontId="13" fillId="0" borderId="48" xfId="0" applyNumberFormat="1" applyFont="1" applyFill="1" applyBorder="1"/>
    <xf numFmtId="170" fontId="4" fillId="0" borderId="60" xfId="0" applyNumberFormat="1" applyFont="1" applyFill="1" applyBorder="1" applyAlignment="1">
      <alignment horizontal="right"/>
    </xf>
    <xf numFmtId="170" fontId="4" fillId="0" borderId="11" xfId="0" applyNumberFormat="1" applyFont="1" applyFill="1" applyBorder="1" applyAlignment="1">
      <alignment horizontal="right"/>
    </xf>
    <xf numFmtId="5" fontId="4" fillId="0" borderId="9" xfId="0" applyNumberFormat="1" applyFont="1" applyBorder="1" applyAlignment="1"/>
    <xf numFmtId="170" fontId="3" fillId="0" borderId="15" xfId="0" applyNumberFormat="1" applyFont="1" applyFill="1" applyBorder="1" applyAlignment="1">
      <alignment horizontal="right"/>
    </xf>
    <xf numFmtId="170" fontId="4" fillId="0" borderId="58" xfId="15" applyNumberFormat="1" applyBorder="1"/>
    <xf numFmtId="3" fontId="4" fillId="0" borderId="51" xfId="0" applyNumberFormat="1" applyFont="1" applyFill="1" applyBorder="1" applyAlignment="1">
      <alignment horizontal="right"/>
    </xf>
    <xf numFmtId="170" fontId="4" fillId="0" borderId="51" xfId="17" applyNumberFormat="1" applyBorder="1" applyAlignment="1">
      <alignment horizontal="right"/>
    </xf>
    <xf numFmtId="170" fontId="4" fillId="0" borderId="51" xfId="12" applyNumberFormat="1" applyBorder="1"/>
    <xf numFmtId="170" fontId="4" fillId="0" borderId="58" xfId="12" applyNumberFormat="1" applyBorder="1"/>
    <xf numFmtId="170" fontId="4" fillId="0" borderId="58" xfId="16" applyNumberFormat="1" applyBorder="1" applyAlignment="1">
      <alignment horizontal="right"/>
    </xf>
    <xf numFmtId="170" fontId="4" fillId="0" borderId="51" xfId="16" applyNumberFormat="1" applyBorder="1" applyAlignment="1">
      <alignment horizontal="right"/>
    </xf>
    <xf numFmtId="170" fontId="4" fillId="0" borderId="58" xfId="18" applyNumberFormat="1" applyBorder="1" applyAlignment="1">
      <alignment horizontal="right"/>
    </xf>
    <xf numFmtId="170" fontId="4" fillId="0" borderId="58" xfId="0" applyNumberFormat="1" applyFont="1" applyFill="1" applyBorder="1" applyAlignment="1">
      <alignment horizontal="right"/>
    </xf>
    <xf numFmtId="170" fontId="4" fillId="0" borderId="51" xfId="19" applyNumberFormat="1" applyBorder="1" applyAlignment="1">
      <alignment horizontal="right"/>
    </xf>
    <xf numFmtId="3" fontId="4" fillId="0" borderId="49" xfId="0" applyNumberFormat="1" applyFont="1" applyFill="1" applyBorder="1" applyAlignment="1">
      <alignment horizontal="right"/>
    </xf>
    <xf numFmtId="173" fontId="4" fillId="0" borderId="11" xfId="0" applyNumberFormat="1" applyFont="1" applyFill="1" applyBorder="1" applyAlignment="1"/>
    <xf numFmtId="0" fontId="3" fillId="0" borderId="92" xfId="0" applyFont="1" applyBorder="1" applyAlignment="1">
      <alignment horizontal="center"/>
    </xf>
    <xf numFmtId="0" fontId="3" fillId="0" borderId="75" xfId="0" applyFont="1" applyBorder="1" applyAlignment="1">
      <alignment horizontal="center"/>
    </xf>
    <xf numFmtId="0" fontId="3" fillId="0" borderId="93" xfId="0" applyFont="1" applyFill="1" applyBorder="1" applyAlignment="1">
      <alignment horizontal="center"/>
    </xf>
    <xf numFmtId="0" fontId="3" fillId="0" borderId="94" xfId="0" applyFont="1" applyFill="1" applyBorder="1" applyAlignment="1">
      <alignment horizontal="center"/>
    </xf>
    <xf numFmtId="0" fontId="4" fillId="0" borderId="69" xfId="0" applyFont="1" applyBorder="1"/>
    <xf numFmtId="1" fontId="4" fillId="0" borderId="69" xfId="0" applyNumberFormat="1" applyFont="1" applyBorder="1"/>
    <xf numFmtId="1" fontId="4" fillId="0" borderId="95" xfId="0" applyNumberFormat="1" applyFont="1" applyBorder="1"/>
    <xf numFmtId="0" fontId="4" fillId="2" borderId="0" xfId="0" applyFont="1" applyFill="1"/>
    <xf numFmtId="0" fontId="4" fillId="0" borderId="96" xfId="0" applyFont="1" applyBorder="1"/>
    <xf numFmtId="0" fontId="4" fillId="0" borderId="97" xfId="0" applyFont="1" applyBorder="1"/>
    <xf numFmtId="3" fontId="4" fillId="0" borderId="69" xfId="0" applyNumberFormat="1" applyFont="1" applyBorder="1"/>
    <xf numFmtId="0" fontId="4" fillId="0" borderId="95" xfId="0" applyFont="1" applyBorder="1"/>
    <xf numFmtId="0" fontId="4" fillId="0" borderId="98" xfId="0" applyFont="1" applyBorder="1"/>
    <xf numFmtId="170" fontId="4" fillId="0" borderId="69" xfId="0" applyNumberFormat="1" applyFont="1" applyBorder="1"/>
    <xf numFmtId="0" fontId="4" fillId="0" borderId="97" xfId="0" applyFont="1" applyFill="1" applyBorder="1"/>
    <xf numFmtId="0" fontId="4" fillId="0" borderId="99" xfId="0" applyFont="1" applyBorder="1"/>
    <xf numFmtId="170" fontId="4" fillId="0" borderId="1" xfId="0" applyNumberFormat="1" applyFont="1" applyBorder="1"/>
    <xf numFmtId="0" fontId="4" fillId="0" borderId="100" xfId="0" applyFont="1" applyBorder="1"/>
    <xf numFmtId="170" fontId="4" fillId="0" borderId="101" xfId="0" applyNumberFormat="1" applyFont="1" applyBorder="1"/>
    <xf numFmtId="164" fontId="4" fillId="0" borderId="96" xfId="0" applyNumberFormat="1" applyFont="1" applyFill="1" applyBorder="1" applyAlignment="1">
      <alignment horizontal="center"/>
    </xf>
    <xf numFmtId="3" fontId="4" fillId="0" borderId="101" xfId="0" applyNumberFormat="1" applyFont="1" applyBorder="1"/>
    <xf numFmtId="0" fontId="3" fillId="0" borderId="25" xfId="0" applyFont="1" applyBorder="1" applyAlignment="1">
      <alignment horizontal="left"/>
    </xf>
    <xf numFmtId="166" fontId="4" fillId="0" borderId="102" xfId="20" applyNumberFormat="1" applyFont="1" applyFill="1" applyBorder="1" applyAlignment="1">
      <alignment horizontal="right"/>
    </xf>
    <xf numFmtId="166" fontId="4" fillId="0" borderId="102" xfId="20" applyNumberFormat="1" applyFont="1" applyBorder="1" applyAlignment="1">
      <alignment horizontal="right"/>
    </xf>
    <xf numFmtId="3" fontId="4" fillId="0" borderId="0" xfId="1" applyNumberFormat="1" applyFont="1" applyFill="1" applyBorder="1" applyAlignment="1">
      <alignment horizontal="right"/>
    </xf>
    <xf numFmtId="166" fontId="4" fillId="0" borderId="97" xfId="20" applyNumberFormat="1" applyFont="1" applyFill="1" applyBorder="1" applyAlignment="1">
      <alignment horizontal="right"/>
    </xf>
    <xf numFmtId="0" fontId="3" fillId="0" borderId="99" xfId="0" applyFont="1" applyBorder="1" applyAlignment="1">
      <alignment horizontal="center"/>
    </xf>
    <xf numFmtId="0" fontId="7" fillId="0" borderId="69" xfId="0" applyFont="1" applyBorder="1" applyAlignment="1"/>
    <xf numFmtId="0" fontId="3" fillId="0" borderId="26" xfId="0" applyFont="1" applyBorder="1" applyAlignment="1">
      <alignment horizontal="left"/>
    </xf>
    <xf numFmtId="166" fontId="4" fillId="0" borderId="62" xfId="20" applyNumberFormat="1" applyFont="1" applyFill="1" applyBorder="1" applyAlignment="1">
      <alignment horizontal="center"/>
    </xf>
    <xf numFmtId="166" fontId="4" fillId="0" borderId="69" xfId="20" applyNumberFormat="1" applyFont="1" applyFill="1" applyBorder="1" applyAlignment="1">
      <alignment horizontal="center"/>
    </xf>
    <xf numFmtId="166" fontId="4" fillId="0" borderId="97" xfId="20" applyNumberFormat="1" applyFont="1" applyFill="1" applyBorder="1" applyAlignment="1">
      <alignment horizontal="center"/>
    </xf>
    <xf numFmtId="0" fontId="4" fillId="0" borderId="26" xfId="0" applyFont="1" applyBorder="1" applyAlignment="1">
      <alignment horizontal="right"/>
    </xf>
    <xf numFmtId="171" fontId="4" fillId="0" borderId="97" xfId="20" applyNumberFormat="1" applyFont="1" applyFill="1" applyBorder="1" applyAlignment="1">
      <alignment horizontal="center"/>
    </xf>
    <xf numFmtId="0" fontId="4" fillId="0" borderId="89" xfId="0" applyFont="1" applyBorder="1" applyAlignment="1">
      <alignment horizontal="right"/>
    </xf>
    <xf numFmtId="3" fontId="4" fillId="0" borderId="36" xfId="1" applyNumberFormat="1" applyFont="1" applyBorder="1" applyAlignment="1">
      <alignment horizontal="center"/>
    </xf>
    <xf numFmtId="166" fontId="4" fillId="0" borderId="0" xfId="20" applyNumberFormat="1" applyFont="1" applyFill="1" applyBorder="1" applyAlignment="1">
      <alignment horizontal="center"/>
    </xf>
    <xf numFmtId="166" fontId="4" fillId="0" borderId="69" xfId="0" applyNumberFormat="1" applyFont="1" applyBorder="1"/>
    <xf numFmtId="166" fontId="4" fillId="0" borderId="104" xfId="0" applyNumberFormat="1" applyFont="1" applyBorder="1"/>
    <xf numFmtId="1" fontId="4" fillId="0" borderId="40" xfId="0" applyNumberFormat="1" applyFont="1" applyBorder="1"/>
    <xf numFmtId="1" fontId="4" fillId="0" borderId="42" xfId="0" applyNumberFormat="1" applyFont="1" applyBorder="1"/>
    <xf numFmtId="1" fontId="4" fillId="0" borderId="46" xfId="0" applyNumberFormat="1" applyFont="1" applyBorder="1"/>
    <xf numFmtId="164" fontId="13" fillId="0" borderId="0" xfId="3" applyNumberFormat="1" applyFont="1" applyFill="1" applyBorder="1"/>
    <xf numFmtId="0" fontId="3" fillId="0" borderId="105" xfId="11" applyFont="1" applyBorder="1"/>
    <xf numFmtId="0" fontId="0" fillId="0" borderId="97" xfId="0" applyBorder="1" applyAlignment="1">
      <alignment horizontal="center"/>
    </xf>
    <xf numFmtId="3" fontId="3" fillId="0" borderId="106" xfId="11" applyNumberFormat="1" applyFont="1" applyBorder="1" applyAlignment="1">
      <alignment horizontal="center"/>
    </xf>
    <xf numFmtId="3" fontId="3" fillId="0" borderId="103" xfId="11" applyNumberFormat="1" applyFont="1" applyBorder="1" applyAlignment="1">
      <alignment horizontal="center"/>
    </xf>
    <xf numFmtId="0" fontId="4" fillId="0" borderId="107" xfId="11" applyFont="1" applyBorder="1"/>
    <xf numFmtId="166" fontId="4" fillId="0" borderId="53" xfId="21" applyNumberFormat="1" applyFont="1" applyBorder="1"/>
    <xf numFmtId="166" fontId="4" fillId="0" borderId="54" xfId="21" applyNumberFormat="1" applyFont="1" applyBorder="1"/>
    <xf numFmtId="166" fontId="4" fillId="0" borderId="48" xfId="21" applyNumberFormat="1" applyFont="1" applyBorder="1"/>
    <xf numFmtId="166" fontId="4" fillId="0" borderId="97" xfId="11" applyNumberFormat="1" applyFont="1" applyBorder="1"/>
    <xf numFmtId="0" fontId="4" fillId="0" borderId="108" xfId="11" applyFont="1" applyBorder="1"/>
    <xf numFmtId="166" fontId="4" fillId="0" borderId="50" xfId="21" applyNumberFormat="1" applyFont="1" applyBorder="1"/>
    <xf numFmtId="166" fontId="4" fillId="0" borderId="51" xfId="21" applyNumberFormat="1" applyFont="1" applyBorder="1"/>
    <xf numFmtId="0" fontId="4" fillId="0" borderId="30" xfId="11" applyFont="1" applyBorder="1"/>
    <xf numFmtId="3" fontId="3" fillId="0" borderId="99" xfId="0" applyNumberFormat="1" applyFont="1" applyFill="1" applyBorder="1"/>
    <xf numFmtId="166" fontId="4" fillId="0" borderId="1" xfId="20" applyNumberFormat="1" applyFont="1" applyFill="1" applyBorder="1" applyAlignment="1">
      <alignment horizontal="right"/>
    </xf>
    <xf numFmtId="171" fontId="4" fillId="0" borderId="62" xfId="20" applyNumberFormat="1" applyFont="1" applyFill="1" applyBorder="1" applyAlignment="1">
      <alignment horizontal="center"/>
    </xf>
    <xf numFmtId="171" fontId="4" fillId="0" borderId="91" xfId="20" applyNumberFormat="1" applyFont="1" applyFill="1" applyBorder="1" applyAlignment="1">
      <alignment horizontal="center"/>
    </xf>
    <xf numFmtId="0" fontId="12" fillId="0" borderId="0" xfId="11" applyFont="1" applyBorder="1"/>
    <xf numFmtId="0" fontId="4" fillId="0" borderId="27" xfId="0" applyFont="1" applyBorder="1" applyAlignment="1">
      <alignment horizontal="right"/>
    </xf>
    <xf numFmtId="0" fontId="3" fillId="0" borderId="28" xfId="0" applyFont="1" applyBorder="1" applyAlignment="1">
      <alignment horizontal="left"/>
    </xf>
    <xf numFmtId="0" fontId="0" fillId="0" borderId="62" xfId="0" applyBorder="1" applyAlignment="1"/>
    <xf numFmtId="0" fontId="3" fillId="2" borderId="0" xfId="11" quotePrefix="1" applyFont="1" applyFill="1" applyBorder="1" applyAlignment="1">
      <alignment horizontal="center"/>
    </xf>
    <xf numFmtId="0" fontId="0" fillId="2" borderId="109" xfId="0" applyFill="1" applyBorder="1" applyAlignment="1"/>
    <xf numFmtId="0" fontId="3" fillId="2" borderId="0" xfId="11" applyFont="1" applyFill="1" applyBorder="1" applyAlignment="1">
      <alignment horizontal="center"/>
    </xf>
    <xf numFmtId="0" fontId="0" fillId="2" borderId="109" xfId="0" applyFill="1" applyBorder="1" applyAlignment="1">
      <alignment horizontal="center"/>
    </xf>
    <xf numFmtId="0" fontId="3" fillId="0" borderId="0" xfId="11" applyFont="1" applyBorder="1" applyAlignment="1">
      <alignment horizontal="center"/>
    </xf>
    <xf numFmtId="0" fontId="4" fillId="0" borderId="62" xfId="0" applyFont="1" applyBorder="1" applyAlignment="1">
      <alignment horizontal="center"/>
    </xf>
    <xf numFmtId="0" fontId="4" fillId="2" borderId="109" xfId="0" applyFont="1" applyFill="1" applyBorder="1"/>
    <xf numFmtId="0" fontId="4" fillId="0" borderId="49" xfId="11" applyFont="1" applyBorder="1"/>
    <xf numFmtId="0" fontId="4" fillId="2" borderId="0" xfId="11" applyFont="1" applyFill="1" applyBorder="1" applyAlignment="1">
      <alignment horizontal="right"/>
    </xf>
    <xf numFmtId="0" fontId="4" fillId="2" borderId="62" xfId="11" applyFont="1" applyFill="1" applyBorder="1" applyAlignment="1">
      <alignment horizontal="right"/>
    </xf>
    <xf numFmtId="0" fontId="4" fillId="2" borderId="62" xfId="0" applyFont="1" applyFill="1" applyBorder="1"/>
    <xf numFmtId="0" fontId="4" fillId="2" borderId="0" xfId="0" applyFont="1" applyFill="1" applyBorder="1"/>
    <xf numFmtId="0" fontId="4" fillId="2" borderId="62" xfId="11" applyFont="1" applyFill="1" applyBorder="1" applyAlignment="1"/>
    <xf numFmtId="0" fontId="4" fillId="0" borderId="62" xfId="11" applyFont="1" applyBorder="1"/>
    <xf numFmtId="0" fontId="4" fillId="0" borderId="51" xfId="11" applyFont="1" applyBorder="1"/>
    <xf numFmtId="0" fontId="3" fillId="0" borderId="90" xfId="11" applyFont="1" applyBorder="1"/>
    <xf numFmtId="171" fontId="4" fillId="2" borderId="0" xfId="11" applyNumberFormat="1" applyFont="1" applyFill="1" applyBorder="1" applyAlignment="1">
      <alignment horizontal="right"/>
    </xf>
    <xf numFmtId="171" fontId="4" fillId="2" borderId="62" xfId="11" applyNumberFormat="1" applyFont="1" applyFill="1" applyBorder="1" applyAlignment="1">
      <alignment horizontal="right"/>
    </xf>
    <xf numFmtId="171" fontId="4" fillId="2" borderId="0" xfId="0" applyNumberFormat="1" applyFont="1" applyFill="1"/>
    <xf numFmtId="171" fontId="4" fillId="2" borderId="62" xfId="0" applyNumberFormat="1" applyFont="1" applyFill="1" applyBorder="1"/>
    <xf numFmtId="2" fontId="4" fillId="2" borderId="62" xfId="11" applyNumberFormat="1" applyFont="1" applyFill="1" applyBorder="1" applyAlignment="1"/>
    <xf numFmtId="0" fontId="4" fillId="0" borderId="91" xfId="11" applyFont="1" applyBorder="1"/>
    <xf numFmtId="171" fontId="4" fillId="2" borderId="36" xfId="11" applyNumberFormat="1" applyFont="1" applyFill="1" applyBorder="1" applyAlignment="1">
      <alignment horizontal="right"/>
    </xf>
    <xf numFmtId="171" fontId="4" fillId="2" borderId="91" xfId="11" applyNumberFormat="1" applyFont="1" applyFill="1" applyBorder="1" applyAlignment="1">
      <alignment horizontal="right"/>
    </xf>
    <xf numFmtId="171" fontId="4" fillId="2" borderId="36" xfId="0" applyNumberFormat="1" applyFont="1" applyFill="1" applyBorder="1"/>
    <xf numFmtId="171" fontId="4" fillId="2" borderId="91" xfId="0" applyNumberFormat="1" applyFont="1" applyFill="1" applyBorder="1"/>
    <xf numFmtId="0" fontId="4" fillId="2" borderId="36" xfId="0" applyFont="1" applyFill="1" applyBorder="1"/>
    <xf numFmtId="0" fontId="4" fillId="2" borderId="91" xfId="0" applyFont="1" applyFill="1" applyBorder="1"/>
    <xf numFmtId="2" fontId="4" fillId="0" borderId="0" xfId="0" applyNumberFormat="1" applyFont="1" applyBorder="1"/>
    <xf numFmtId="0" fontId="3" fillId="0" borderId="110" xfId="0" applyFont="1" applyBorder="1" applyAlignment="1">
      <alignment horizontal="center"/>
    </xf>
    <xf numFmtId="1" fontId="4" fillId="0" borderId="38" xfId="0" applyNumberFormat="1" applyFont="1" applyBorder="1"/>
    <xf numFmtId="166" fontId="4" fillId="0" borderId="66" xfId="0" applyNumberFormat="1" applyFont="1" applyBorder="1"/>
    <xf numFmtId="0" fontId="4" fillId="0" borderId="111" xfId="0" applyFont="1" applyBorder="1"/>
    <xf numFmtId="0" fontId="4" fillId="0" borderId="67" xfId="0" applyFont="1" applyBorder="1"/>
    <xf numFmtId="168" fontId="4" fillId="0" borderId="44" xfId="0" applyNumberFormat="1" applyFont="1" applyBorder="1"/>
    <xf numFmtId="168" fontId="4" fillId="0" borderId="66" xfId="0" applyNumberFormat="1" applyFont="1" applyBorder="1"/>
    <xf numFmtId="0" fontId="4" fillId="0" borderId="112" xfId="0" applyFont="1" applyBorder="1"/>
    <xf numFmtId="164" fontId="4" fillId="0" borderId="111" xfId="0" applyNumberFormat="1" applyFont="1" applyFill="1" applyBorder="1" applyAlignment="1">
      <alignment horizontal="center"/>
    </xf>
    <xf numFmtId="170" fontId="4" fillId="0" borderId="66" xfId="0" applyNumberFormat="1" applyFont="1" applyBorder="1"/>
    <xf numFmtId="1" fontId="4" fillId="0" borderId="11" xfId="0" applyNumberFormat="1" applyFont="1" applyBorder="1" applyAlignment="1">
      <alignment horizontal="center"/>
    </xf>
    <xf numFmtId="3" fontId="4" fillId="0" borderId="66" xfId="0" applyNumberFormat="1" applyFont="1" applyBorder="1"/>
    <xf numFmtId="3" fontId="4" fillId="0" borderId="44" xfId="0" applyNumberFormat="1" applyFont="1" applyBorder="1"/>
    <xf numFmtId="0" fontId="3" fillId="0" borderId="66" xfId="0" applyFont="1" applyBorder="1" applyAlignment="1">
      <alignment horizontal="center"/>
    </xf>
    <xf numFmtId="0" fontId="3" fillId="0" borderId="40" xfId="0" applyFont="1" applyFill="1" applyBorder="1" applyAlignment="1">
      <alignment horizontal="center"/>
    </xf>
    <xf numFmtId="0" fontId="3" fillId="0" borderId="71" xfId="0" applyFont="1" applyFill="1" applyBorder="1" applyAlignment="1">
      <alignment horizontal="center"/>
    </xf>
    <xf numFmtId="0" fontId="3" fillId="0" borderId="79" xfId="0" applyFont="1" applyFill="1" applyBorder="1" applyAlignment="1">
      <alignment horizontal="center"/>
    </xf>
    <xf numFmtId="0" fontId="3" fillId="0" borderId="101" xfId="0" applyFont="1" applyFill="1" applyBorder="1" applyAlignment="1">
      <alignment horizontal="center"/>
    </xf>
    <xf numFmtId="1" fontId="4" fillId="0" borderId="66" xfId="0" applyNumberFormat="1" applyFont="1" applyBorder="1"/>
    <xf numFmtId="1" fontId="4" fillId="0" borderId="0" xfId="0" applyNumberFormat="1" applyFont="1" applyBorder="1" applyAlignment="1">
      <alignment horizontal="right"/>
    </xf>
    <xf numFmtId="1" fontId="4" fillId="0" borderId="80" xfId="0" applyNumberFormat="1" applyFont="1" applyBorder="1"/>
    <xf numFmtId="0" fontId="3" fillId="0" borderId="113" xfId="0" applyFont="1" applyFill="1" applyBorder="1" applyAlignment="1">
      <alignment horizontal="center"/>
    </xf>
    <xf numFmtId="0" fontId="3" fillId="0" borderId="96" xfId="0" applyFont="1" applyFill="1" applyBorder="1" applyAlignment="1">
      <alignment horizontal="center"/>
    </xf>
    <xf numFmtId="0" fontId="4" fillId="0" borderId="50" xfId="0" applyNumberFormat="1" applyFont="1" applyBorder="1" applyAlignment="1">
      <alignment horizontal="center"/>
    </xf>
    <xf numFmtId="164" fontId="4" fillId="0" borderId="57" xfId="0" applyNumberFormat="1" applyFont="1" applyBorder="1" applyAlignment="1">
      <alignment horizontal="center"/>
    </xf>
    <xf numFmtId="0" fontId="4" fillId="0" borderId="55" xfId="0" applyNumberFormat="1" applyFont="1" applyBorder="1" applyAlignment="1">
      <alignment horizontal="center"/>
    </xf>
    <xf numFmtId="1" fontId="4" fillId="0" borderId="47" xfId="0" applyNumberFormat="1" applyFont="1" applyBorder="1" applyAlignment="1">
      <alignment horizontal="center"/>
    </xf>
    <xf numFmtId="0" fontId="4" fillId="0" borderId="50" xfId="0" applyNumberFormat="1" applyFont="1" applyFill="1" applyBorder="1" applyAlignment="1">
      <alignment horizontal="center"/>
    </xf>
    <xf numFmtId="164" fontId="4" fillId="0" borderId="57" xfId="0" applyNumberFormat="1" applyFont="1" applyFill="1" applyBorder="1" applyAlignment="1">
      <alignment horizontal="center"/>
    </xf>
    <xf numFmtId="1" fontId="4" fillId="0" borderId="55" xfId="0" applyNumberFormat="1" applyFont="1" applyFill="1" applyBorder="1" applyAlignment="1">
      <alignment horizontal="center"/>
    </xf>
    <xf numFmtId="0" fontId="4" fillId="0" borderId="4" xfId="0" applyNumberFormat="1" applyFont="1" applyFill="1" applyBorder="1" applyAlignment="1">
      <alignment horizontal="center"/>
    </xf>
    <xf numFmtId="164" fontId="4" fillId="0" borderId="47" xfId="0" applyNumberFormat="1" applyFont="1" applyFill="1" applyBorder="1" applyAlignment="1">
      <alignment horizontal="center"/>
    </xf>
    <xf numFmtId="1" fontId="4" fillId="0" borderId="11" xfId="0" applyNumberFormat="1" applyFont="1" applyFill="1" applyBorder="1" applyAlignment="1">
      <alignment horizontal="center"/>
    </xf>
    <xf numFmtId="1" fontId="4" fillId="0" borderId="0" xfId="0" applyNumberFormat="1" applyFont="1" applyBorder="1"/>
    <xf numFmtId="0" fontId="4" fillId="0" borderId="66" xfId="0" applyFont="1" applyBorder="1"/>
    <xf numFmtId="0" fontId="3" fillId="0" borderId="102" xfId="0" applyFont="1" applyBorder="1" applyAlignment="1">
      <alignment horizontal="left"/>
    </xf>
    <xf numFmtId="0" fontId="3" fillId="0" borderId="62" xfId="0" applyFont="1" applyBorder="1" applyAlignment="1">
      <alignment horizontal="left"/>
    </xf>
    <xf numFmtId="0" fontId="4" fillId="0" borderId="62" xfId="0" applyFont="1" applyBorder="1" applyAlignment="1">
      <alignment horizontal="right"/>
    </xf>
    <xf numFmtId="0" fontId="4" fillId="0" borderId="91" xfId="0" applyFont="1" applyBorder="1" applyAlignment="1">
      <alignment horizontal="right"/>
    </xf>
    <xf numFmtId="0" fontId="4" fillId="0" borderId="90" xfId="0" applyFont="1" applyBorder="1" applyAlignment="1">
      <alignment horizontal="right"/>
    </xf>
    <xf numFmtId="0" fontId="3" fillId="0" borderId="49" xfId="0" applyFont="1" applyBorder="1" applyAlignment="1">
      <alignment horizontal="left"/>
    </xf>
    <xf numFmtId="0" fontId="7" fillId="0" borderId="69" xfId="0" applyFont="1" applyBorder="1"/>
    <xf numFmtId="170" fontId="4" fillId="0" borderId="62" xfId="17" applyNumberFormat="1" applyBorder="1" applyAlignment="1">
      <alignment horizontal="right"/>
    </xf>
    <xf numFmtId="166" fontId="4" fillId="0" borderId="0" xfId="21" applyNumberFormat="1" applyFont="1" applyFill="1" applyBorder="1"/>
    <xf numFmtId="166" fontId="4" fillId="0" borderId="0" xfId="11" applyNumberFormat="1" applyFont="1" applyBorder="1"/>
    <xf numFmtId="3" fontId="3" fillId="0" borderId="69" xfId="0" applyNumberFormat="1" applyFont="1" applyBorder="1"/>
    <xf numFmtId="174" fontId="4" fillId="0" borderId="9" xfId="0" applyNumberFormat="1" applyFont="1" applyFill="1" applyBorder="1"/>
    <xf numFmtId="164" fontId="13" fillId="0" borderId="47" xfId="3" applyNumberFormat="1" applyFont="1" applyFill="1" applyBorder="1" applyAlignment="1">
      <alignment horizontal="right"/>
    </xf>
    <xf numFmtId="0" fontId="13" fillId="0" borderId="50" xfId="0" applyFont="1" applyFill="1" applyBorder="1" applyAlignment="1">
      <alignment horizontal="right"/>
    </xf>
    <xf numFmtId="1" fontId="4" fillId="0" borderId="50" xfId="0" applyNumberFormat="1" applyFont="1" applyBorder="1" applyAlignment="1">
      <alignment horizontal="center"/>
    </xf>
    <xf numFmtId="170" fontId="13" fillId="0" borderId="0" xfId="3" applyNumberFormat="1" applyFont="1" applyFill="1" applyBorder="1"/>
    <xf numFmtId="164" fontId="13" fillId="0" borderId="0" xfId="3" applyNumberFormat="1" applyFont="1" applyFill="1" applyAlignment="1">
      <alignment horizontal="right"/>
    </xf>
    <xf numFmtId="0" fontId="13" fillId="0" borderId="50" xfId="0" applyFont="1" applyFill="1" applyBorder="1" applyAlignment="1"/>
    <xf numFmtId="170" fontId="13" fillId="0" borderId="0" xfId="3" applyNumberFormat="1" applyFont="1" applyFill="1" applyBorder="1" applyAlignment="1"/>
    <xf numFmtId="170" fontId="13" fillId="0" borderId="4" xfId="0" applyNumberFormat="1" applyFont="1" applyFill="1" applyBorder="1" applyAlignment="1"/>
    <xf numFmtId="164" fontId="13" fillId="0" borderId="50" xfId="0" applyNumberFormat="1" applyFont="1" applyFill="1" applyBorder="1" applyAlignment="1"/>
    <xf numFmtId="164" fontId="4" fillId="0" borderId="50" xfId="0" applyNumberFormat="1" applyFont="1" applyBorder="1" applyAlignment="1">
      <alignment horizontal="center"/>
    </xf>
    <xf numFmtId="164" fontId="4" fillId="0" borderId="50" xfId="0" applyNumberFormat="1" applyFont="1" applyFill="1" applyBorder="1" applyAlignment="1">
      <alignment horizontal="center"/>
    </xf>
    <xf numFmtId="1" fontId="4" fillId="0" borderId="4" xfId="0" applyNumberFormat="1" applyFont="1" applyFill="1" applyBorder="1" applyAlignment="1">
      <alignment horizontal="center"/>
    </xf>
    <xf numFmtId="0" fontId="4" fillId="0" borderId="55" xfId="0" applyNumberFormat="1" applyFont="1" applyFill="1" applyBorder="1" applyAlignment="1">
      <alignment horizontal="center"/>
    </xf>
    <xf numFmtId="3" fontId="4" fillId="0" borderId="99" xfId="0" applyNumberFormat="1" applyFont="1" applyBorder="1" applyAlignment="1">
      <alignment horizontal="center"/>
    </xf>
    <xf numFmtId="3" fontId="4" fillId="0" borderId="100" xfId="0" applyNumberFormat="1" applyFont="1" applyBorder="1" applyAlignment="1">
      <alignment horizontal="center"/>
    </xf>
    <xf numFmtId="1" fontId="4" fillId="0" borderId="83" xfId="0" applyNumberFormat="1" applyFont="1" applyBorder="1"/>
    <xf numFmtId="168" fontId="3" fillId="0" borderId="44" xfId="0" applyNumberFormat="1" applyFont="1" applyBorder="1"/>
    <xf numFmtId="170" fontId="13" fillId="0" borderId="0" xfId="3" applyNumberFormat="1" applyFont="1" applyFill="1"/>
    <xf numFmtId="170" fontId="13" fillId="0" borderId="4" xfId="3" applyNumberFormat="1" applyFont="1" applyBorder="1" applyAlignment="1">
      <alignment horizontal="right"/>
    </xf>
    <xf numFmtId="170" fontId="4" fillId="0" borderId="11" xfId="0" applyNumberFormat="1" applyFont="1" applyFill="1" applyBorder="1" applyAlignment="1">
      <alignment horizontal="center"/>
    </xf>
    <xf numFmtId="170" fontId="4" fillId="0" borderId="31" xfId="0" applyNumberFormat="1" applyFont="1" applyFill="1" applyBorder="1" applyAlignment="1">
      <alignment horizontal="center"/>
    </xf>
    <xf numFmtId="170" fontId="4" fillId="0" borderId="47" xfId="0" applyNumberFormat="1" applyFont="1" applyFill="1" applyBorder="1" applyAlignment="1">
      <alignment horizontal="right"/>
    </xf>
    <xf numFmtId="170" fontId="4" fillId="0" borderId="4" xfId="0" applyNumberFormat="1" applyFont="1" applyBorder="1" applyAlignment="1">
      <alignment horizontal="right"/>
    </xf>
    <xf numFmtId="170" fontId="4" fillId="0" borderId="47" xfId="0" applyNumberFormat="1" applyFont="1" applyFill="1" applyBorder="1"/>
    <xf numFmtId="0" fontId="4" fillId="0" borderId="77" xfId="0" applyNumberFormat="1" applyFont="1" applyBorder="1" applyAlignment="1">
      <alignment horizontal="center"/>
    </xf>
    <xf numFmtId="1" fontId="4" fillId="0" borderId="19" xfId="0" applyNumberFormat="1" applyFont="1" applyFill="1" applyBorder="1" applyAlignment="1">
      <alignment horizontal="center"/>
    </xf>
    <xf numFmtId="164" fontId="4" fillId="0" borderId="114" xfId="0" applyNumberFormat="1" applyFont="1" applyFill="1" applyBorder="1" applyAlignment="1">
      <alignment horizontal="center"/>
    </xf>
    <xf numFmtId="1" fontId="4" fillId="0" borderId="85" xfId="0" applyNumberFormat="1" applyFont="1" applyBorder="1" applyAlignment="1">
      <alignment horizontal="center"/>
    </xf>
    <xf numFmtId="0" fontId="3" fillId="0" borderId="82" xfId="0" applyFont="1" applyBorder="1" applyAlignment="1">
      <alignment horizontal="center"/>
    </xf>
    <xf numFmtId="0" fontId="4" fillId="0" borderId="19" xfId="0" applyNumberFormat="1" applyFont="1" applyBorder="1" applyAlignment="1">
      <alignment horizontal="center"/>
    </xf>
    <xf numFmtId="1" fontId="4" fillId="0" borderId="6" xfId="0" applyNumberFormat="1" applyFont="1" applyFill="1" applyBorder="1" applyAlignment="1">
      <alignment horizontal="center"/>
    </xf>
    <xf numFmtId="0" fontId="4" fillId="0" borderId="19" xfId="0" applyNumberFormat="1" applyFont="1" applyFill="1" applyBorder="1" applyAlignment="1">
      <alignment horizontal="center"/>
    </xf>
    <xf numFmtId="0" fontId="3" fillId="0" borderId="72" xfId="0" applyNumberFormat="1" applyFont="1" applyFill="1" applyBorder="1" applyAlignment="1">
      <alignment horizontal="center"/>
    </xf>
    <xf numFmtId="0" fontId="4" fillId="0" borderId="73" xfId="0" applyNumberFormat="1" applyFont="1" applyFill="1" applyBorder="1" applyAlignment="1">
      <alignment horizontal="center"/>
    </xf>
    <xf numFmtId="0" fontId="4" fillId="0" borderId="12" xfId="0" applyNumberFormat="1" applyFont="1" applyFill="1" applyBorder="1" applyAlignment="1">
      <alignment horizontal="center"/>
    </xf>
    <xf numFmtId="1" fontId="4" fillId="0" borderId="19" xfId="0" applyNumberFormat="1" applyFont="1" applyBorder="1" applyAlignment="1">
      <alignment horizontal="center"/>
    </xf>
    <xf numFmtId="0" fontId="4" fillId="0" borderId="34" xfId="0" applyNumberFormat="1" applyFont="1" applyFill="1" applyBorder="1" applyAlignment="1">
      <alignment horizontal="center"/>
    </xf>
    <xf numFmtId="0" fontId="4" fillId="0" borderId="74" xfId="0" applyNumberFormat="1" applyFont="1" applyFill="1" applyBorder="1" applyAlignment="1">
      <alignment horizontal="center"/>
    </xf>
    <xf numFmtId="170" fontId="13" fillId="0" borderId="52" xfId="0" applyNumberFormat="1" applyFont="1" applyFill="1" applyBorder="1"/>
    <xf numFmtId="170" fontId="4" fillId="0" borderId="52" xfId="0" applyNumberFormat="1" applyFont="1" applyFill="1" applyBorder="1"/>
    <xf numFmtId="170" fontId="4" fillId="0" borderId="48" xfId="0" applyNumberFormat="1" applyFont="1" applyFill="1" applyBorder="1"/>
    <xf numFmtId="164" fontId="4" fillId="0" borderId="115" xfId="0" applyNumberFormat="1" applyFont="1" applyBorder="1" applyAlignment="1">
      <alignment horizontal="center"/>
    </xf>
    <xf numFmtId="164" fontId="4" fillId="0" borderId="109" xfId="0" applyNumberFormat="1" applyFont="1" applyBorder="1" applyAlignment="1">
      <alignment horizontal="center"/>
    </xf>
    <xf numFmtId="164" fontId="4" fillId="0" borderId="115" xfId="0" applyNumberFormat="1" applyFont="1" applyFill="1" applyBorder="1" applyAlignment="1">
      <alignment horizontal="center"/>
    </xf>
    <xf numFmtId="164" fontId="4" fillId="0" borderId="109" xfId="0" applyNumberFormat="1" applyFont="1" applyFill="1" applyBorder="1" applyAlignment="1">
      <alignment horizontal="center"/>
    </xf>
    <xf numFmtId="164" fontId="4" fillId="0" borderId="98" xfId="0" applyNumberFormat="1" applyFont="1" applyFill="1" applyBorder="1" applyAlignment="1">
      <alignment horizontal="center"/>
    </xf>
    <xf numFmtId="0" fontId="3" fillId="0" borderId="116" xfId="0" applyFont="1" applyBorder="1"/>
    <xf numFmtId="1" fontId="4" fillId="0" borderId="0" xfId="0" applyNumberFormat="1" applyFont="1" applyFill="1" applyBorder="1" applyAlignment="1"/>
    <xf numFmtId="166" fontId="4" fillId="0" borderId="0" xfId="20" applyNumberFormat="1" applyFont="1" applyFill="1" applyBorder="1" applyAlignment="1"/>
    <xf numFmtId="3" fontId="4" fillId="0" borderId="0" xfId="1" applyNumberFormat="1" applyFont="1" applyBorder="1" applyAlignment="1"/>
    <xf numFmtId="166" fontId="4" fillId="0" borderId="0" xfId="20" applyNumberFormat="1" applyFont="1" applyBorder="1" applyAlignment="1"/>
    <xf numFmtId="3" fontId="4" fillId="0" borderId="0" xfId="1" applyNumberFormat="1" applyFont="1" applyFill="1" applyBorder="1" applyAlignment="1"/>
    <xf numFmtId="1" fontId="4" fillId="0" borderId="0" xfId="20" applyNumberFormat="1" applyFont="1" applyFill="1" applyBorder="1" applyAlignment="1">
      <alignment horizontal="center"/>
    </xf>
    <xf numFmtId="2" fontId="4" fillId="0" borderId="62" xfId="20" applyNumberFormat="1" applyFont="1" applyFill="1" applyBorder="1" applyAlignment="1">
      <alignment horizontal="center"/>
    </xf>
    <xf numFmtId="2" fontId="4" fillId="0" borderId="91" xfId="20" applyNumberFormat="1" applyFont="1" applyFill="1" applyBorder="1" applyAlignment="1">
      <alignment horizontal="center"/>
    </xf>
    <xf numFmtId="1" fontId="4" fillId="0" borderId="36" xfId="20" applyNumberFormat="1" applyFont="1" applyFill="1" applyBorder="1" applyAlignment="1">
      <alignment horizontal="center"/>
    </xf>
    <xf numFmtId="3" fontId="4" fillId="2" borderId="0" xfId="11" applyNumberFormat="1" applyFont="1" applyFill="1" applyBorder="1" applyAlignment="1">
      <alignment horizontal="right"/>
    </xf>
    <xf numFmtId="3" fontId="4" fillId="2" borderId="62" xfId="11" applyNumberFormat="1" applyFont="1" applyFill="1" applyBorder="1" applyAlignment="1">
      <alignment horizontal="right"/>
    </xf>
    <xf numFmtId="3" fontId="4" fillId="2" borderId="0" xfId="0" applyNumberFormat="1" applyFont="1" applyFill="1"/>
    <xf numFmtId="3" fontId="4" fillId="2" borderId="62" xfId="0" applyNumberFormat="1" applyFont="1" applyFill="1" applyBorder="1"/>
    <xf numFmtId="1" fontId="4" fillId="0" borderId="75" xfId="0" applyNumberFormat="1" applyFont="1" applyBorder="1"/>
    <xf numFmtId="0" fontId="4" fillId="0" borderId="117" xfId="0" applyFont="1" applyBorder="1"/>
    <xf numFmtId="164" fontId="4" fillId="0" borderId="68" xfId="0" applyNumberFormat="1" applyFont="1" applyBorder="1"/>
    <xf numFmtId="1" fontId="4" fillId="0" borderId="111" xfId="0" applyNumberFormat="1" applyFont="1" applyBorder="1" applyAlignment="1">
      <alignment horizontal="center"/>
    </xf>
    <xf numFmtId="170" fontId="4" fillId="0" borderId="67" xfId="0" applyNumberFormat="1" applyFont="1" applyBorder="1" applyAlignment="1">
      <alignment horizontal="center"/>
    </xf>
    <xf numFmtId="168" fontId="3" fillId="0" borderId="68" xfId="0" applyNumberFormat="1" applyFont="1" applyBorder="1"/>
    <xf numFmtId="170" fontId="4" fillId="0" borderId="44" xfId="0" applyNumberFormat="1" applyFont="1" applyBorder="1"/>
    <xf numFmtId="3" fontId="4" fillId="0" borderId="4" xfId="0" applyNumberFormat="1" applyFont="1" applyBorder="1" applyAlignment="1">
      <alignment horizontal="center"/>
    </xf>
    <xf numFmtId="3" fontId="4" fillId="0" borderId="11" xfId="0" applyNumberFormat="1" applyFont="1" applyBorder="1" applyAlignment="1">
      <alignment horizontal="center"/>
    </xf>
    <xf numFmtId="166" fontId="4" fillId="0" borderId="118" xfId="0" applyNumberFormat="1" applyFont="1" applyBorder="1"/>
    <xf numFmtId="168" fontId="4" fillId="0" borderId="71" xfId="0" applyNumberFormat="1" applyFont="1" applyBorder="1"/>
    <xf numFmtId="3" fontId="3" fillId="0" borderId="66" xfId="0" applyNumberFormat="1" applyFont="1" applyBorder="1"/>
    <xf numFmtId="3" fontId="3" fillId="0" borderId="68" xfId="0" applyNumberFormat="1" applyFont="1" applyBorder="1"/>
    <xf numFmtId="0" fontId="3" fillId="0" borderId="97" xfId="0" applyFont="1" applyBorder="1"/>
    <xf numFmtId="169" fontId="4" fillId="0" borderId="97" xfId="0" applyNumberFormat="1" applyFont="1" applyBorder="1"/>
    <xf numFmtId="170" fontId="4" fillId="0" borderId="97" xfId="0" applyNumberFormat="1" applyFont="1" applyBorder="1"/>
    <xf numFmtId="0" fontId="3" fillId="0" borderId="36" xfId="0" applyFont="1" applyBorder="1" applyAlignment="1">
      <alignment horizontal="center"/>
    </xf>
    <xf numFmtId="169" fontId="4" fillId="0" borderId="0" xfId="0" applyNumberFormat="1" applyFont="1" applyBorder="1"/>
    <xf numFmtId="3" fontId="4" fillId="0" borderId="0" xfId="0" applyNumberFormat="1" applyFont="1" applyBorder="1" applyAlignment="1">
      <alignment horizontal="center"/>
    </xf>
    <xf numFmtId="1" fontId="4" fillId="0" borderId="0" xfId="0" applyNumberFormat="1" applyFont="1" applyBorder="1" applyAlignment="1">
      <alignment horizontal="center"/>
    </xf>
    <xf numFmtId="170" fontId="4" fillId="0" borderId="68" xfId="0" applyNumberFormat="1" applyFont="1" applyBorder="1"/>
    <xf numFmtId="164" fontId="4" fillId="0" borderId="16" xfId="0" applyNumberFormat="1" applyFont="1" applyFill="1" applyBorder="1" applyAlignment="1">
      <alignment horizontal="center"/>
    </xf>
    <xf numFmtId="164" fontId="4" fillId="0" borderId="74" xfId="0" applyNumberFormat="1" applyFont="1" applyFill="1" applyBorder="1" applyAlignment="1">
      <alignment horizontal="center"/>
    </xf>
    <xf numFmtId="164" fontId="4" fillId="0" borderId="65" xfId="0" applyNumberFormat="1" applyFont="1" applyFill="1" applyBorder="1" applyAlignment="1">
      <alignment horizontal="center"/>
    </xf>
    <xf numFmtId="164" fontId="4" fillId="0" borderId="74" xfId="0" applyNumberFormat="1" applyFont="1" applyBorder="1" applyAlignment="1">
      <alignment horizontal="center"/>
    </xf>
    <xf numFmtId="164" fontId="4" fillId="0" borderId="35" xfId="0" applyNumberFormat="1" applyFont="1" applyBorder="1" applyAlignment="1">
      <alignment horizontal="center"/>
    </xf>
    <xf numFmtId="164" fontId="4" fillId="0" borderId="34" xfId="0" applyNumberFormat="1" applyFont="1" applyBorder="1" applyAlignment="1">
      <alignment horizontal="center"/>
    </xf>
    <xf numFmtId="164" fontId="4" fillId="0" borderId="35" xfId="0" applyNumberFormat="1" applyFont="1" applyFill="1" applyBorder="1" applyAlignment="1">
      <alignment horizontal="center"/>
    </xf>
    <xf numFmtId="164" fontId="4" fillId="0" borderId="34" xfId="0" applyNumberFormat="1" applyFont="1" applyFill="1" applyBorder="1" applyAlignment="1">
      <alignment horizontal="center"/>
    </xf>
    <xf numFmtId="3" fontId="4" fillId="0" borderId="0" xfId="0" applyNumberFormat="1" applyFont="1" applyAlignment="1">
      <alignment horizontal="center"/>
    </xf>
    <xf numFmtId="3" fontId="4" fillId="0" borderId="36" xfId="1" applyNumberFormat="1" applyFont="1" applyFill="1" applyBorder="1" applyAlignment="1">
      <alignment horizontal="center"/>
    </xf>
    <xf numFmtId="1" fontId="4" fillId="2" borderId="0" xfId="0" applyNumberFormat="1" applyFont="1" applyFill="1" applyBorder="1"/>
    <xf numFmtId="1" fontId="4" fillId="2" borderId="62" xfId="11" applyNumberFormat="1" applyFont="1" applyFill="1" applyBorder="1" applyAlignment="1"/>
    <xf numFmtId="1" fontId="4" fillId="2" borderId="36" xfId="0" applyNumberFormat="1" applyFont="1" applyFill="1" applyBorder="1"/>
    <xf numFmtId="1" fontId="4" fillId="2" borderId="91" xfId="0" applyNumberFormat="1" applyFont="1" applyFill="1" applyBorder="1"/>
    <xf numFmtId="3" fontId="4" fillId="2" borderId="2" xfId="1" applyNumberFormat="1" applyFont="1" applyFill="1" applyBorder="1" applyAlignment="1">
      <alignment horizontal="center"/>
    </xf>
    <xf numFmtId="0" fontId="4" fillId="2" borderId="12" xfId="0" applyFont="1" applyFill="1" applyBorder="1" applyAlignment="1">
      <alignment horizontal="right"/>
    </xf>
    <xf numFmtId="0" fontId="4" fillId="2" borderId="22" xfId="0" applyFont="1" applyFill="1" applyBorder="1" applyAlignment="1">
      <alignment horizontal="right"/>
    </xf>
    <xf numFmtId="0" fontId="4" fillId="2" borderId="10" xfId="0" applyFont="1" applyFill="1" applyBorder="1" applyAlignment="1">
      <alignment horizontal="right"/>
    </xf>
    <xf numFmtId="170" fontId="4" fillId="0" borderId="51" xfId="0" applyNumberFormat="1" applyFont="1" applyFill="1" applyBorder="1" applyAlignment="1"/>
    <xf numFmtId="170" fontId="4" fillId="0" borderId="51" xfId="0" applyNumberFormat="1" applyFont="1" applyBorder="1" applyAlignment="1"/>
    <xf numFmtId="170" fontId="4" fillId="0" borderId="2" xfId="0" applyNumberFormat="1" applyFont="1" applyFill="1" applyBorder="1"/>
    <xf numFmtId="164" fontId="4" fillId="0" borderId="51" xfId="3" applyNumberFormat="1" applyFont="1" applyFill="1" applyBorder="1" applyAlignment="1">
      <alignment horizontal="right"/>
    </xf>
    <xf numFmtId="164" fontId="4" fillId="0" borderId="58" xfId="0" applyNumberFormat="1" applyFont="1" applyBorder="1" applyAlignment="1">
      <alignment horizontal="center"/>
    </xf>
    <xf numFmtId="169" fontId="4" fillId="0" borderId="50" xfId="0" applyNumberFormat="1" applyFont="1" applyBorder="1" applyAlignment="1"/>
    <xf numFmtId="169" fontId="4" fillId="0" borderId="50" xfId="0" applyNumberFormat="1" applyFont="1" applyFill="1" applyBorder="1" applyAlignment="1"/>
    <xf numFmtId="169" fontId="4" fillId="0" borderId="50" xfId="0" applyNumberFormat="1" applyFont="1" applyFill="1" applyBorder="1"/>
    <xf numFmtId="170" fontId="4" fillId="0" borderId="4" xfId="0" applyNumberFormat="1" applyFont="1" applyFill="1" applyBorder="1" applyAlignment="1"/>
    <xf numFmtId="167" fontId="4" fillId="0" borderId="69" xfId="0" applyNumberFormat="1" applyFont="1" applyBorder="1" applyAlignment="1">
      <alignment horizontal="center"/>
    </xf>
    <xf numFmtId="3" fontId="4" fillId="0" borderId="95" xfId="0" applyNumberFormat="1" applyFont="1" applyBorder="1" applyAlignment="1">
      <alignment horizontal="center"/>
    </xf>
    <xf numFmtId="167" fontId="4" fillId="0" borderId="104" xfId="0" applyNumberFormat="1" applyFont="1" applyBorder="1" applyAlignment="1">
      <alignment horizontal="center"/>
    </xf>
    <xf numFmtId="171" fontId="4" fillId="0" borderId="62" xfId="20" applyNumberFormat="1" applyFont="1" applyBorder="1" applyAlignment="1">
      <alignment horizontal="center"/>
    </xf>
    <xf numFmtId="0" fontId="4" fillId="0" borderId="69" xfId="0" applyFont="1" applyBorder="1" applyAlignment="1">
      <alignment horizontal="center"/>
    </xf>
    <xf numFmtId="0" fontId="4" fillId="0" borderId="97" xfId="0" applyFont="1" applyBorder="1" applyAlignment="1">
      <alignment horizontal="center"/>
    </xf>
    <xf numFmtId="171" fontId="4" fillId="0" borderId="91" xfId="20" applyNumberFormat="1" applyFont="1" applyBorder="1" applyAlignment="1">
      <alignment horizontal="center"/>
    </xf>
    <xf numFmtId="4" fontId="4" fillId="0" borderId="69" xfId="0" applyNumberFormat="1" applyFont="1" applyBorder="1" applyAlignment="1">
      <alignment horizontal="center"/>
    </xf>
    <xf numFmtId="4" fontId="4" fillId="0" borderId="104" xfId="0" applyNumberFormat="1" applyFont="1" applyBorder="1" applyAlignment="1">
      <alignment horizontal="center"/>
    </xf>
    <xf numFmtId="3" fontId="4" fillId="2" borderId="36" xfId="11" applyNumberFormat="1" applyFont="1" applyFill="1" applyBorder="1" applyAlignment="1">
      <alignment horizontal="right"/>
    </xf>
    <xf numFmtId="3" fontId="4" fillId="2" borderId="91" xfId="11" applyNumberFormat="1" applyFont="1" applyFill="1" applyBorder="1" applyAlignment="1">
      <alignment horizontal="right"/>
    </xf>
    <xf numFmtId="3" fontId="4" fillId="2" borderId="36" xfId="0" applyNumberFormat="1" applyFont="1" applyFill="1" applyBorder="1"/>
    <xf numFmtId="3" fontId="4" fillId="2" borderId="91" xfId="0" applyNumberFormat="1" applyFont="1" applyFill="1" applyBorder="1"/>
    <xf numFmtId="0" fontId="16" fillId="0" borderId="0" xfId="0" applyFont="1"/>
    <xf numFmtId="0" fontId="16" fillId="0" borderId="74" xfId="0" applyFont="1" applyBorder="1"/>
    <xf numFmtId="0" fontId="16" fillId="0" borderId="35" xfId="0" applyFont="1" applyBorder="1"/>
    <xf numFmtId="0" fontId="16" fillId="0" borderId="34" xfId="0" applyFont="1" applyBorder="1"/>
    <xf numFmtId="0" fontId="16" fillId="0" borderId="16" xfId="0" applyFont="1" applyBorder="1"/>
    <xf numFmtId="0" fontId="16" fillId="0" borderId="74" xfId="0" applyFont="1" applyFill="1" applyBorder="1"/>
    <xf numFmtId="0" fontId="16" fillId="0" borderId="35" xfId="0" applyFont="1" applyFill="1" applyBorder="1"/>
    <xf numFmtId="0" fontId="16" fillId="0" borderId="34" xfId="0" applyFont="1" applyFill="1" applyBorder="1"/>
    <xf numFmtId="0" fontId="16" fillId="0" borderId="16" xfId="0" applyFont="1" applyFill="1" applyBorder="1"/>
    <xf numFmtId="0" fontId="16" fillId="0" borderId="65" xfId="0" applyFont="1" applyFill="1" applyBorder="1"/>
    <xf numFmtId="0" fontId="16" fillId="0" borderId="97" xfId="0" applyFont="1" applyBorder="1"/>
    <xf numFmtId="0" fontId="16" fillId="0" borderId="96" xfId="0" applyFont="1" applyBorder="1"/>
    <xf numFmtId="0" fontId="16" fillId="0" borderId="73" xfId="0" applyFont="1" applyFill="1" applyBorder="1"/>
    <xf numFmtId="0" fontId="16" fillId="0" borderId="22" xfId="0" applyFont="1" applyFill="1" applyBorder="1"/>
    <xf numFmtId="0" fontId="16" fillId="0" borderId="12" xfId="0" applyFont="1" applyFill="1" applyBorder="1"/>
    <xf numFmtId="0" fontId="16" fillId="0" borderId="10" xfId="0" applyFont="1" applyFill="1" applyBorder="1"/>
    <xf numFmtId="0" fontId="16" fillId="0" borderId="19" xfId="0" applyFont="1" applyFill="1" applyBorder="1"/>
    <xf numFmtId="0" fontId="16" fillId="0" borderId="20" xfId="0" applyFont="1" applyFill="1" applyBorder="1"/>
    <xf numFmtId="0" fontId="16" fillId="0" borderId="6" xfId="0" applyFont="1" applyFill="1" applyBorder="1"/>
    <xf numFmtId="0" fontId="16" fillId="0" borderId="2" xfId="0" applyFont="1" applyFill="1" applyBorder="1"/>
    <xf numFmtId="0" fontId="16" fillId="0" borderId="63" xfId="0" applyFont="1" applyFill="1" applyBorder="1"/>
    <xf numFmtId="0" fontId="16" fillId="0" borderId="69" xfId="0" applyFont="1" applyBorder="1"/>
    <xf numFmtId="1" fontId="16" fillId="0" borderId="0" xfId="0" applyNumberFormat="1" applyFont="1"/>
    <xf numFmtId="1" fontId="16" fillId="0" borderId="69" xfId="0" applyNumberFormat="1" applyFont="1" applyBorder="1"/>
    <xf numFmtId="0" fontId="16" fillId="0" borderId="20" xfId="0" applyFont="1" applyFill="1" applyBorder="1" applyAlignment="1">
      <alignment horizontal="center"/>
    </xf>
    <xf numFmtId="0" fontId="16" fillId="0" borderId="2" xfId="0" applyFont="1" applyFill="1" applyBorder="1" applyAlignment="1">
      <alignment horizontal="center"/>
    </xf>
    <xf numFmtId="0" fontId="16" fillId="2" borderId="73" xfId="0" applyFont="1" applyFill="1" applyBorder="1"/>
    <xf numFmtId="0" fontId="16" fillId="2" borderId="22" xfId="0" applyFont="1" applyFill="1" applyBorder="1"/>
    <xf numFmtId="0" fontId="16" fillId="2" borderId="12" xfId="0" applyFont="1" applyFill="1" applyBorder="1"/>
    <xf numFmtId="0" fontId="16" fillId="2" borderId="10" xfId="0" applyFont="1" applyFill="1" applyBorder="1"/>
    <xf numFmtId="0" fontId="16" fillId="2" borderId="19" xfId="0" applyFont="1" applyFill="1" applyBorder="1"/>
    <xf numFmtId="0" fontId="16" fillId="2" borderId="20" xfId="0" applyFont="1" applyFill="1" applyBorder="1"/>
    <xf numFmtId="0" fontId="16" fillId="2" borderId="6" xfId="0" applyFont="1" applyFill="1" applyBorder="1"/>
    <xf numFmtId="0" fontId="16" fillId="2" borderId="2" xfId="0" applyFont="1" applyFill="1" applyBorder="1"/>
    <xf numFmtId="0" fontId="16" fillId="0" borderId="19" xfId="0" applyFont="1" applyFill="1" applyBorder="1" applyAlignment="1">
      <alignment horizontal="right"/>
    </xf>
    <xf numFmtId="0" fontId="16" fillId="0" borderId="20" xfId="0" applyFont="1" applyFill="1" applyBorder="1" applyAlignment="1">
      <alignment horizontal="right"/>
    </xf>
    <xf numFmtId="0" fontId="16" fillId="0" borderId="6" xfId="0" applyFont="1" applyFill="1" applyBorder="1" applyAlignment="1">
      <alignment horizontal="right"/>
    </xf>
    <xf numFmtId="0" fontId="16" fillId="0" borderId="19" xfId="0" applyFont="1" applyFill="1" applyBorder="1" applyAlignment="1">
      <alignment horizontal="center"/>
    </xf>
    <xf numFmtId="0" fontId="16" fillId="0" borderId="6" xfId="0" applyFont="1" applyFill="1" applyBorder="1" applyAlignment="1">
      <alignment horizontal="center"/>
    </xf>
    <xf numFmtId="0" fontId="16" fillId="0" borderId="77" xfId="0" applyFont="1" applyFill="1" applyBorder="1" applyAlignment="1">
      <alignment horizontal="right"/>
    </xf>
    <xf numFmtId="0" fontId="16" fillId="0" borderId="33" xfId="0" applyFont="1" applyFill="1" applyBorder="1" applyAlignment="1">
      <alignment horizontal="center"/>
    </xf>
    <xf numFmtId="0" fontId="16" fillId="0" borderId="32" xfId="0" applyFont="1" applyFill="1" applyBorder="1" applyAlignment="1">
      <alignment horizontal="right"/>
    </xf>
    <xf numFmtId="0" fontId="16" fillId="0" borderId="76" xfId="0" applyFont="1" applyFill="1" applyBorder="1" applyAlignment="1">
      <alignment horizontal="center"/>
    </xf>
    <xf numFmtId="0" fontId="16" fillId="0" borderId="30" xfId="0" applyFont="1" applyFill="1" applyBorder="1" applyAlignment="1">
      <alignment horizontal="right"/>
    </xf>
    <xf numFmtId="0" fontId="16" fillId="0" borderId="52" xfId="0" applyFont="1" applyFill="1" applyBorder="1" applyAlignment="1">
      <alignment horizontal="right"/>
    </xf>
    <xf numFmtId="0" fontId="16" fillId="0" borderId="8" xfId="0" applyFont="1" applyFill="1" applyBorder="1" applyAlignment="1">
      <alignment horizontal="center"/>
    </xf>
    <xf numFmtId="0" fontId="16" fillId="2" borderId="82" xfId="0" applyFont="1" applyFill="1" applyBorder="1" applyAlignment="1">
      <alignment horizontal="right"/>
    </xf>
    <xf numFmtId="0" fontId="16" fillId="2" borderId="23" xfId="0" applyFont="1" applyFill="1" applyBorder="1" applyAlignment="1">
      <alignment horizontal="center"/>
    </xf>
    <xf numFmtId="0" fontId="16" fillId="0" borderId="82" xfId="0" applyFont="1" applyFill="1" applyBorder="1" applyAlignment="1">
      <alignment horizontal="right"/>
    </xf>
    <xf numFmtId="0" fontId="16" fillId="0" borderId="48" xfId="0" applyFont="1" applyBorder="1"/>
    <xf numFmtId="0" fontId="16" fillId="0" borderId="49" xfId="0" applyFont="1" applyBorder="1"/>
    <xf numFmtId="0" fontId="16" fillId="0" borderId="9" xfId="0" applyFont="1" applyBorder="1"/>
    <xf numFmtId="0" fontId="16" fillId="0" borderId="48" xfId="0" applyFont="1" applyFill="1" applyBorder="1"/>
    <xf numFmtId="0" fontId="16" fillId="0" borderId="49" xfId="0" applyFont="1" applyFill="1" applyBorder="1"/>
    <xf numFmtId="0" fontId="16" fillId="0" borderId="9" xfId="0" applyFont="1" applyFill="1" applyBorder="1"/>
    <xf numFmtId="0" fontId="16" fillId="0" borderId="66" xfId="0" applyFont="1" applyFill="1" applyBorder="1"/>
    <xf numFmtId="0" fontId="16" fillId="0" borderId="50" xfId="0" applyFont="1" applyBorder="1"/>
    <xf numFmtId="0" fontId="16" fillId="0" borderId="51" xfId="0" applyFont="1" applyBorder="1"/>
    <xf numFmtId="0" fontId="16" fillId="0" borderId="4" xfId="0" applyFont="1" applyBorder="1"/>
    <xf numFmtId="0" fontId="16" fillId="0" borderId="50" xfId="0" applyFont="1" applyFill="1" applyBorder="1"/>
    <xf numFmtId="0" fontId="16" fillId="0" borderId="51" xfId="0" applyFont="1" applyFill="1" applyBorder="1"/>
    <xf numFmtId="0" fontId="16" fillId="0" borderId="4" xfId="0" applyFont="1" applyFill="1" applyBorder="1"/>
    <xf numFmtId="0" fontId="16" fillId="0" borderId="44" xfId="0" applyFont="1" applyFill="1" applyBorder="1"/>
    <xf numFmtId="3" fontId="16" fillId="0" borderId="51" xfId="0" applyNumberFormat="1" applyFont="1" applyBorder="1" applyAlignment="1">
      <alignment horizontal="right"/>
    </xf>
    <xf numFmtId="3" fontId="16" fillId="0" borderId="4" xfId="1" applyNumberFormat="1" applyFont="1" applyBorder="1" applyAlignment="1">
      <alignment horizontal="right"/>
    </xf>
    <xf numFmtId="3" fontId="16" fillId="0" borderId="51"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69" xfId="0" applyNumberFormat="1" applyFont="1" applyBorder="1"/>
    <xf numFmtId="3" fontId="16" fillId="0" borderId="51" xfId="0" applyNumberFormat="1" applyFont="1" applyBorder="1"/>
    <xf numFmtId="3" fontId="16" fillId="0" borderId="4" xfId="0" applyNumberFormat="1" applyFont="1" applyBorder="1"/>
    <xf numFmtId="3" fontId="16" fillId="0" borderId="51" xfId="0" applyNumberFormat="1" applyFont="1" applyFill="1" applyBorder="1"/>
    <xf numFmtId="3" fontId="16" fillId="0" borderId="4" xfId="0" applyNumberFormat="1" applyFont="1" applyFill="1" applyBorder="1"/>
    <xf numFmtId="0" fontId="7" fillId="0" borderId="52" xfId="0" applyFont="1" applyBorder="1"/>
    <xf numFmtId="3" fontId="7" fillId="0" borderId="59" xfId="0" applyNumberFormat="1" applyFont="1" applyBorder="1"/>
    <xf numFmtId="0" fontId="7" fillId="0" borderId="8" xfId="0" applyFont="1" applyBorder="1"/>
    <xf numFmtId="3" fontId="7" fillId="0" borderId="8" xfId="0" applyNumberFormat="1" applyFont="1" applyBorder="1"/>
    <xf numFmtId="0" fontId="7" fillId="0" borderId="52" xfId="0" applyFont="1" applyFill="1" applyBorder="1"/>
    <xf numFmtId="3" fontId="7" fillId="0" borderId="59" xfId="0" applyNumberFormat="1" applyFont="1" applyFill="1" applyBorder="1"/>
    <xf numFmtId="0" fontId="7" fillId="0" borderId="8" xfId="0" applyFont="1" applyFill="1" applyBorder="1"/>
    <xf numFmtId="3" fontId="7" fillId="0" borderId="8" xfId="0" applyNumberFormat="1" applyFont="1" applyFill="1" applyBorder="1"/>
    <xf numFmtId="0" fontId="16" fillId="0" borderId="95" xfId="0" applyFont="1" applyBorder="1"/>
    <xf numFmtId="164" fontId="4" fillId="2" borderId="44" xfId="0" applyNumberFormat="1" applyFont="1" applyFill="1" applyBorder="1"/>
    <xf numFmtId="0" fontId="16" fillId="0" borderId="7" xfId="0" applyFont="1" applyFill="1" applyBorder="1" applyAlignment="1">
      <alignment horizontal="right"/>
    </xf>
    <xf numFmtId="0" fontId="4" fillId="2" borderId="4" xfId="0" applyNumberFormat="1" applyFont="1" applyFill="1" applyBorder="1"/>
    <xf numFmtId="164" fontId="4" fillId="2" borderId="11" xfId="0" applyNumberFormat="1" applyFont="1" applyFill="1" applyBorder="1"/>
    <xf numFmtId="0" fontId="16" fillId="0" borderId="97" xfId="0" applyFont="1" applyBorder="1" applyAlignment="1">
      <alignment horizontal="right"/>
    </xf>
    <xf numFmtId="166" fontId="4" fillId="0" borderId="9" xfId="21" applyNumberFormat="1" applyFont="1" applyBorder="1"/>
    <xf numFmtId="166" fontId="4" fillId="0" borderId="4" xfId="21" applyNumberFormat="1" applyFont="1" applyBorder="1"/>
    <xf numFmtId="166" fontId="4" fillId="0" borderId="49" xfId="21" applyNumberFormat="1" applyFont="1" applyFill="1" applyBorder="1"/>
    <xf numFmtId="166" fontId="4" fillId="0" borderId="51" xfId="21" applyNumberFormat="1" applyFont="1" applyFill="1" applyBorder="1"/>
    <xf numFmtId="3" fontId="4" fillId="0" borderId="11" xfId="0" applyNumberFormat="1" applyFont="1" applyFill="1" applyBorder="1"/>
    <xf numFmtId="3" fontId="4" fillId="0" borderId="49" xfId="0" applyNumberFormat="1" applyFont="1" applyFill="1" applyBorder="1"/>
    <xf numFmtId="0" fontId="4" fillId="0" borderId="91" xfId="0" applyFont="1" applyFill="1" applyBorder="1" applyAlignment="1">
      <alignment horizontal="center"/>
    </xf>
    <xf numFmtId="3" fontId="4" fillId="3" borderId="51" xfId="1" applyNumberFormat="1" applyFont="1" applyFill="1" applyBorder="1" applyAlignment="1">
      <alignment horizontal="right"/>
    </xf>
    <xf numFmtId="3" fontId="4" fillId="3" borderId="51" xfId="0" applyNumberFormat="1" applyFont="1" applyFill="1" applyBorder="1"/>
    <xf numFmtId="3" fontId="3" fillId="3" borderId="59" xfId="0" applyNumberFormat="1" applyFont="1" applyFill="1" applyBorder="1"/>
    <xf numFmtId="3" fontId="4" fillId="3" borderId="4" xfId="1" applyNumberFormat="1" applyFont="1" applyFill="1" applyBorder="1" applyAlignment="1">
      <alignment horizontal="right"/>
    </xf>
    <xf numFmtId="3" fontId="4" fillId="3" borderId="4" xfId="0" applyNumberFormat="1" applyFont="1" applyFill="1" applyBorder="1"/>
    <xf numFmtId="3" fontId="3" fillId="3" borderId="8" xfId="0" applyNumberFormat="1" applyFont="1" applyFill="1" applyBorder="1"/>
    <xf numFmtId="3" fontId="4" fillId="0" borderId="71" xfId="0" applyNumberFormat="1" applyFont="1" applyBorder="1"/>
    <xf numFmtId="3" fontId="4" fillId="0" borderId="103" xfId="0" applyNumberFormat="1" applyFont="1" applyBorder="1"/>
    <xf numFmtId="170" fontId="13" fillId="0" borderId="62" xfId="0" applyNumberFormat="1" applyFont="1" applyFill="1" applyBorder="1"/>
    <xf numFmtId="168" fontId="4" fillId="0" borderId="67" xfId="0" applyNumberFormat="1" applyFont="1" applyBorder="1"/>
    <xf numFmtId="0" fontId="4" fillId="0" borderId="4" xfId="0" applyNumberFormat="1" applyFont="1" applyBorder="1" applyAlignment="1">
      <alignment horizontal="center"/>
    </xf>
    <xf numFmtId="170" fontId="4" fillId="0" borderId="51" xfId="14" applyNumberFormat="1" applyBorder="1" applyAlignment="1">
      <alignment horizontal="right"/>
    </xf>
    <xf numFmtId="0" fontId="4" fillId="0" borderId="120" xfId="0" applyFont="1" applyBorder="1"/>
    <xf numFmtId="170" fontId="4" fillId="0" borderId="96" xfId="0" applyNumberFormat="1" applyFont="1" applyBorder="1"/>
    <xf numFmtId="3" fontId="4" fillId="0" borderId="117" xfId="0" applyNumberFormat="1" applyFont="1" applyBorder="1" applyAlignment="1">
      <alignment horizontal="center"/>
    </xf>
    <xf numFmtId="0" fontId="3" fillId="0" borderId="106" xfId="0" applyFont="1" applyBorder="1" applyAlignment="1">
      <alignment horizontal="center"/>
    </xf>
    <xf numFmtId="1" fontId="4" fillId="0" borderId="121" xfId="0" applyNumberFormat="1" applyFont="1" applyBorder="1"/>
    <xf numFmtId="166" fontId="4" fillId="0" borderId="9" xfId="21" applyNumberFormat="1" applyFont="1" applyFill="1" applyBorder="1"/>
    <xf numFmtId="166" fontId="4" fillId="0" borderId="4" xfId="21" applyNumberFormat="1" applyFont="1" applyFill="1" applyBorder="1"/>
    <xf numFmtId="3" fontId="4" fillId="0" borderId="99" xfId="1" applyNumberFormat="1" applyFont="1" applyBorder="1" applyAlignment="1">
      <alignment horizontal="center"/>
    </xf>
    <xf numFmtId="0" fontId="4" fillId="0" borderId="20" xfId="0" applyFont="1" applyFill="1" applyBorder="1" applyAlignment="1">
      <alignment horizontal="center"/>
    </xf>
    <xf numFmtId="3" fontId="13" fillId="0" borderId="62" xfId="0" applyNumberFormat="1" applyFont="1" applyFill="1" applyBorder="1"/>
    <xf numFmtId="170" fontId="13" fillId="0" borderId="49" xfId="0" applyNumberFormat="1" applyFont="1" applyFill="1" applyBorder="1"/>
    <xf numFmtId="0" fontId="3" fillId="0" borderId="102" xfId="0" applyFont="1" applyBorder="1" applyAlignment="1">
      <alignment horizontal="center"/>
    </xf>
    <xf numFmtId="171" fontId="4" fillId="0" borderId="91" xfId="0" applyNumberFormat="1" applyFont="1" applyBorder="1" applyAlignment="1">
      <alignment horizontal="center"/>
    </xf>
    <xf numFmtId="170" fontId="4" fillId="0" borderId="71" xfId="0" applyNumberFormat="1" applyFont="1" applyBorder="1"/>
    <xf numFmtId="3" fontId="3" fillId="0" borderId="119" xfId="0" applyNumberFormat="1" applyFont="1" applyBorder="1"/>
    <xf numFmtId="164" fontId="4" fillId="0" borderId="47" xfId="0" applyNumberFormat="1" applyFont="1" applyFill="1" applyBorder="1"/>
    <xf numFmtId="171" fontId="4" fillId="0" borderId="62" xfId="0" applyNumberFormat="1" applyFont="1" applyBorder="1" applyAlignment="1">
      <alignment horizontal="center"/>
    </xf>
    <xf numFmtId="1" fontId="4" fillId="0" borderId="106" xfId="0" applyNumberFormat="1" applyFont="1" applyBorder="1"/>
    <xf numFmtId="1" fontId="16" fillId="0" borderId="42" xfId="0" applyNumberFormat="1" applyFont="1" applyBorder="1"/>
    <xf numFmtId="164" fontId="4" fillId="0" borderId="9" xfId="0" applyNumberFormat="1" applyFont="1" applyFill="1" applyBorder="1" applyAlignment="1">
      <alignment horizontal="center"/>
    </xf>
    <xf numFmtId="0" fontId="4" fillId="0" borderId="122" xfId="0" applyFont="1" applyFill="1" applyBorder="1"/>
    <xf numFmtId="0" fontId="4" fillId="0" borderId="103" xfId="0" applyFont="1" applyBorder="1"/>
    <xf numFmtId="0" fontId="4" fillId="0" borderId="91" xfId="0" applyFont="1" applyBorder="1" applyAlignment="1">
      <alignment horizontal="center"/>
    </xf>
    <xf numFmtId="0" fontId="13" fillId="0" borderId="50" xfId="0" applyFont="1" applyFill="1" applyBorder="1"/>
    <xf numFmtId="0" fontId="4" fillId="0" borderId="89" xfId="0" applyFont="1" applyFill="1" applyBorder="1" applyAlignment="1">
      <alignment horizontal="right"/>
    </xf>
    <xf numFmtId="0" fontId="4" fillId="0" borderId="123" xfId="0" applyFont="1" applyFill="1" applyBorder="1" applyAlignment="1">
      <alignment horizontal="right"/>
    </xf>
    <xf numFmtId="0" fontId="4" fillId="0" borderId="124" xfId="0" applyFont="1" applyFill="1" applyBorder="1" applyAlignment="1">
      <alignment horizontal="right"/>
    </xf>
    <xf numFmtId="0" fontId="4" fillId="0" borderId="125" xfId="0" applyFont="1" applyFill="1" applyBorder="1" applyAlignment="1">
      <alignment horizontal="center"/>
    </xf>
    <xf numFmtId="0" fontId="4" fillId="0" borderId="126" xfId="0" applyFont="1" applyFill="1" applyBorder="1" applyAlignment="1">
      <alignment horizontal="right"/>
    </xf>
    <xf numFmtId="0" fontId="10" fillId="0" borderId="29" xfId="0" applyFont="1" applyBorder="1" applyAlignment="1">
      <alignment horizontal="left" indent="1"/>
    </xf>
    <xf numFmtId="0" fontId="4" fillId="0" borderId="29" xfId="0" applyFont="1" applyBorder="1" applyAlignment="1">
      <alignment horizontal="left" indent="1"/>
    </xf>
    <xf numFmtId="0" fontId="4" fillId="0" borderId="29" xfId="0" applyFont="1" applyBorder="1" applyAlignment="1">
      <alignment horizontal="left" wrapText="1" indent="1"/>
    </xf>
    <xf numFmtId="0" fontId="3" fillId="0" borderId="29" xfId="0" applyFont="1" applyBorder="1" applyAlignment="1">
      <alignment horizontal="left" indent="1"/>
    </xf>
    <xf numFmtId="0" fontId="3" fillId="0" borderId="116" xfId="0" applyFont="1" applyBorder="1" applyAlignment="1">
      <alignment horizontal="left" indent="1"/>
    </xf>
    <xf numFmtId="0" fontId="3" fillId="0" borderId="88" xfId="0" applyFont="1" applyBorder="1"/>
    <xf numFmtId="1" fontId="4" fillId="0" borderId="57" xfId="0" applyNumberFormat="1" applyFont="1" applyBorder="1" applyAlignment="1">
      <alignment horizontal="center"/>
    </xf>
    <xf numFmtId="1" fontId="4" fillId="0" borderId="55" xfId="0" applyNumberFormat="1" applyFont="1" applyBorder="1" applyAlignment="1">
      <alignment horizontal="center"/>
    </xf>
    <xf numFmtId="164" fontId="4" fillId="0" borderId="53" xfId="0" applyNumberFormat="1" applyFont="1" applyBorder="1" applyAlignment="1">
      <alignment horizontal="right"/>
    </xf>
    <xf numFmtId="164" fontId="4" fillId="0" borderId="56" xfId="0" applyNumberFormat="1" applyFont="1" applyBorder="1" applyAlignment="1">
      <alignment horizontal="right"/>
    </xf>
    <xf numFmtId="164" fontId="4" fillId="0" borderId="48" xfId="0" applyNumberFormat="1" applyFont="1" applyBorder="1" applyAlignment="1">
      <alignment horizontal="right"/>
    </xf>
    <xf numFmtId="164" fontId="4" fillId="0" borderId="52" xfId="0" applyNumberFormat="1" applyFont="1" applyBorder="1" applyAlignment="1">
      <alignment horizontal="right"/>
    </xf>
    <xf numFmtId="0" fontId="4" fillId="0" borderId="127" xfId="0" applyFont="1" applyBorder="1"/>
    <xf numFmtId="0" fontId="3" fillId="0" borderId="128" xfId="0" applyFont="1" applyBorder="1" applyAlignment="1">
      <alignment horizontal="center"/>
    </xf>
    <xf numFmtId="0" fontId="4" fillId="0" borderId="116" xfId="0" applyFont="1" applyBorder="1" applyAlignment="1">
      <alignment horizontal="right"/>
    </xf>
    <xf numFmtId="0" fontId="3" fillId="0" borderId="29" xfId="0" applyFont="1" applyBorder="1" applyAlignment="1">
      <alignment horizontal="left"/>
    </xf>
    <xf numFmtId="0" fontId="4" fillId="0" borderId="28" xfId="11" applyFont="1" applyBorder="1"/>
    <xf numFmtId="0" fontId="4" fillId="0" borderId="26" xfId="11" applyFont="1" applyBorder="1"/>
    <xf numFmtId="0" fontId="4" fillId="0" borderId="29" xfId="11" applyFont="1" applyBorder="1"/>
    <xf numFmtId="0" fontId="3" fillId="0" borderId="27" xfId="11" applyFont="1" applyBorder="1"/>
    <xf numFmtId="0" fontId="4" fillId="0" borderId="89" xfId="11" applyFont="1" applyBorder="1"/>
    <xf numFmtId="0" fontId="9" fillId="0" borderId="1" xfId="0" applyFont="1" applyFill="1" applyBorder="1" applyAlignment="1">
      <alignment horizontal="left"/>
    </xf>
    <xf numFmtId="0" fontId="4" fillId="0" borderId="1" xfId="0" applyFont="1" applyBorder="1" applyAlignment="1">
      <alignment horizontal="right"/>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4" xfId="0" applyFill="1" applyBorder="1"/>
    <xf numFmtId="174" fontId="4" fillId="0" borderId="49" xfId="0" applyNumberFormat="1" applyFont="1" applyFill="1" applyBorder="1"/>
    <xf numFmtId="0" fontId="3" fillId="0" borderId="128" xfId="0" applyFont="1" applyBorder="1" applyAlignment="1">
      <alignment horizontal="left" indent="1"/>
    </xf>
    <xf numFmtId="0" fontId="8" fillId="0" borderId="129" xfId="0" applyFont="1" applyBorder="1" applyAlignment="1">
      <alignment horizontal="left"/>
    </xf>
    <xf numFmtId="0" fontId="3" fillId="0" borderId="29" xfId="0" applyFont="1" applyBorder="1"/>
    <xf numFmtId="0" fontId="3" fillId="0" borderId="128" xfId="0" applyFont="1" applyBorder="1"/>
    <xf numFmtId="0" fontId="4" fillId="0" borderId="28" xfId="0" applyFont="1" applyBorder="1" applyAlignment="1">
      <alignment horizontal="left" indent="1"/>
    </xf>
    <xf numFmtId="0" fontId="4" fillId="0" borderId="30" xfId="0" applyFont="1" applyBorder="1" applyAlignment="1">
      <alignment horizontal="left" indent="1"/>
    </xf>
    <xf numFmtId="0" fontId="4" fillId="0" borderId="121" xfId="0" applyFont="1" applyBorder="1"/>
    <xf numFmtId="1" fontId="4" fillId="2" borderId="7" xfId="0" applyNumberFormat="1" applyFont="1" applyFill="1" applyBorder="1" applyAlignment="1">
      <alignment horizontal="right"/>
    </xf>
    <xf numFmtId="1" fontId="4" fillId="2" borderId="61" xfId="0" applyNumberFormat="1" applyFont="1" applyFill="1" applyBorder="1" applyAlignment="1">
      <alignment horizontal="right"/>
    </xf>
    <xf numFmtId="1" fontId="4" fillId="2" borderId="82" xfId="0" applyNumberFormat="1" applyFont="1" applyFill="1" applyBorder="1" applyAlignment="1">
      <alignment horizontal="right"/>
    </xf>
    <xf numFmtId="1" fontId="4" fillId="2" borderId="23" xfId="0" applyNumberFormat="1" applyFont="1" applyFill="1" applyBorder="1" applyAlignment="1">
      <alignment horizontal="right"/>
    </xf>
    <xf numFmtId="3" fontId="4" fillId="0" borderId="50" xfId="1" applyNumberFormat="1" applyFont="1" applyFill="1" applyBorder="1"/>
    <xf numFmtId="3" fontId="4" fillId="0" borderId="20" xfId="1" applyNumberFormat="1" applyFont="1" applyFill="1" applyBorder="1"/>
    <xf numFmtId="3" fontId="4" fillId="0" borderId="52" xfId="1" applyNumberFormat="1" applyFont="1" applyFill="1" applyBorder="1"/>
    <xf numFmtId="3" fontId="4" fillId="2" borderId="19" xfId="1" applyNumberFormat="1" applyFont="1" applyFill="1" applyBorder="1" applyAlignment="1">
      <alignment horizontal="right"/>
    </xf>
    <xf numFmtId="3" fontId="4" fillId="2" borderId="2" xfId="1" applyNumberFormat="1" applyFont="1" applyFill="1" applyBorder="1" applyAlignment="1">
      <alignment horizontal="right"/>
    </xf>
    <xf numFmtId="170" fontId="4" fillId="0" borderId="9" xfId="0" applyNumberFormat="1" applyFont="1" applyFill="1" applyBorder="1"/>
    <xf numFmtId="170" fontId="4" fillId="0" borderId="8" xfId="0" applyNumberFormat="1" applyFont="1" applyFill="1" applyBorder="1"/>
    <xf numFmtId="0" fontId="4" fillId="0" borderId="12" xfId="0" applyNumberFormat="1" applyFont="1" applyFill="1" applyBorder="1"/>
    <xf numFmtId="0" fontId="4" fillId="0" borderId="34" xfId="0" applyNumberFormat="1" applyFont="1" applyFill="1" applyBorder="1" applyAlignment="1">
      <alignment horizontal="right"/>
    </xf>
    <xf numFmtId="0" fontId="4" fillId="0" borderId="35" xfId="0" applyNumberFormat="1" applyFont="1" applyFill="1" applyBorder="1" applyAlignment="1">
      <alignment horizontal="right"/>
    </xf>
    <xf numFmtId="1" fontId="4" fillId="2" borderId="62" xfId="0" applyNumberFormat="1" applyFont="1" applyFill="1" applyBorder="1"/>
    <xf numFmtId="164" fontId="4" fillId="0" borderId="59" xfId="0" applyNumberFormat="1" applyFont="1" applyFill="1" applyBorder="1" applyAlignment="1">
      <alignment horizontal="right"/>
    </xf>
    <xf numFmtId="1" fontId="4" fillId="0" borderId="50" xfId="0" applyNumberFormat="1" applyFont="1" applyFill="1" applyBorder="1" applyAlignment="1">
      <alignment horizontal="center"/>
    </xf>
    <xf numFmtId="170" fontId="4" fillId="0" borderId="58" xfId="0" applyNumberFormat="1" applyFont="1" applyFill="1" applyBorder="1"/>
    <xf numFmtId="1" fontId="4" fillId="0" borderId="57" xfId="0" applyNumberFormat="1" applyFont="1" applyFill="1" applyBorder="1" applyAlignment="1">
      <alignment horizontal="center"/>
    </xf>
    <xf numFmtId="164" fontId="3" fillId="0" borderId="59" xfId="3" applyNumberFormat="1" applyFont="1" applyBorder="1" applyAlignment="1"/>
    <xf numFmtId="1" fontId="3" fillId="0" borderId="72" xfId="0" applyNumberFormat="1" applyFont="1" applyFill="1" applyBorder="1" applyAlignment="1">
      <alignment horizontal="center"/>
    </xf>
    <xf numFmtId="0" fontId="13" fillId="0" borderId="19" xfId="0" applyFont="1" applyFill="1" applyBorder="1" applyAlignment="1">
      <alignment horizontal="center"/>
    </xf>
    <xf numFmtId="3" fontId="13" fillId="0" borderId="20" xfId="0" applyNumberFormat="1" applyFont="1" applyFill="1" applyBorder="1" applyAlignment="1">
      <alignment horizontal="right"/>
    </xf>
    <xf numFmtId="0" fontId="6"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4" fillId="0" borderId="0" xfId="0" applyFont="1" applyFill="1" applyAlignment="1">
      <alignment horizontal="centerContinuous"/>
    </xf>
    <xf numFmtId="166" fontId="4" fillId="0" borderId="63" xfId="0" applyNumberFormat="1" applyFont="1" applyBorder="1"/>
    <xf numFmtId="0" fontId="3" fillId="0" borderId="67" xfId="0" applyFont="1" applyBorder="1" applyAlignment="1">
      <alignment horizontal="center"/>
    </xf>
    <xf numFmtId="166" fontId="4" fillId="0" borderId="64" xfId="0" applyNumberFormat="1" applyFont="1" applyBorder="1"/>
    <xf numFmtId="166" fontId="4" fillId="0" borderId="43" xfId="0" applyNumberFormat="1" applyFont="1" applyBorder="1"/>
    <xf numFmtId="166" fontId="4" fillId="0" borderId="48" xfId="21" applyNumberFormat="1" applyFont="1" applyFill="1" applyBorder="1"/>
    <xf numFmtId="166" fontId="4" fillId="0" borderId="50" xfId="21" applyNumberFormat="1" applyFont="1" applyFill="1" applyBorder="1"/>
    <xf numFmtId="164" fontId="4" fillId="0" borderId="112" xfId="0" applyNumberFormat="1" applyFont="1" applyFill="1" applyBorder="1" applyAlignment="1">
      <alignment horizontal="center"/>
    </xf>
    <xf numFmtId="0" fontId="4" fillId="0" borderId="86" xfId="0" applyFont="1" applyBorder="1"/>
    <xf numFmtId="3" fontId="4" fillId="0" borderId="1" xfId="0" applyNumberFormat="1" applyFont="1" applyBorder="1"/>
    <xf numFmtId="3" fontId="4" fillId="0" borderId="121" xfId="0" applyNumberFormat="1" applyFont="1" applyBorder="1" applyAlignment="1">
      <alignment horizontal="center"/>
    </xf>
    <xf numFmtId="164" fontId="4" fillId="0" borderId="41" xfId="0" applyNumberFormat="1" applyFont="1" applyFill="1" applyBorder="1" applyAlignment="1">
      <alignment horizontal="center"/>
    </xf>
    <xf numFmtId="0" fontId="4" fillId="2" borderId="73" xfId="0" applyFont="1" applyFill="1" applyBorder="1" applyAlignment="1">
      <alignment horizontal="right"/>
    </xf>
    <xf numFmtId="0" fontId="9" fillId="0" borderId="1" xfId="0" applyFont="1" applyBorder="1" applyAlignment="1">
      <alignment horizontal="left"/>
    </xf>
    <xf numFmtId="170" fontId="13" fillId="0" borderId="51" xfId="0" applyNumberFormat="1" applyFont="1" applyFill="1" applyBorder="1" applyAlignment="1">
      <alignment horizontal="right"/>
    </xf>
    <xf numFmtId="0" fontId="16" fillId="0" borderId="23" xfId="0" applyFont="1" applyFill="1" applyBorder="1" applyAlignment="1">
      <alignment horizontal="center"/>
    </xf>
    <xf numFmtId="170" fontId="13" fillId="0" borderId="62" xfId="0" applyNumberFormat="1" applyFont="1" applyFill="1" applyBorder="1" applyAlignment="1">
      <alignment horizontal="right"/>
    </xf>
    <xf numFmtId="0" fontId="4" fillId="0" borderId="97" xfId="0" applyFont="1" applyFill="1" applyBorder="1" applyAlignment="1">
      <alignment horizontal="right"/>
    </xf>
    <xf numFmtId="0" fontId="4" fillId="0" borderId="99" xfId="0" applyFont="1" applyFill="1" applyBorder="1" applyAlignment="1">
      <alignment horizontal="right"/>
    </xf>
    <xf numFmtId="0" fontId="16" fillId="2" borderId="52" xfId="0" applyFont="1" applyFill="1" applyBorder="1" applyAlignment="1">
      <alignment horizontal="right"/>
    </xf>
    <xf numFmtId="0" fontId="16" fillId="2" borderId="59" xfId="0" applyFont="1" applyFill="1" applyBorder="1" applyAlignment="1">
      <alignment horizontal="center"/>
    </xf>
    <xf numFmtId="0" fontId="16" fillId="2" borderId="8" xfId="0" applyFont="1" applyFill="1" applyBorder="1" applyAlignment="1">
      <alignment horizontal="right"/>
    </xf>
    <xf numFmtId="0" fontId="16" fillId="2" borderId="8" xfId="0" applyFont="1" applyFill="1" applyBorder="1" applyAlignment="1">
      <alignment horizontal="center"/>
    </xf>
    <xf numFmtId="0" fontId="16" fillId="2" borderId="7" xfId="0" applyFont="1" applyFill="1" applyBorder="1" applyAlignment="1">
      <alignment horizontal="right"/>
    </xf>
    <xf numFmtId="0" fontId="3" fillId="0" borderId="127" xfId="0" applyFont="1" applyBorder="1"/>
    <xf numFmtId="0" fontId="10" fillId="0" borderId="28" xfId="0" applyFont="1" applyBorder="1" applyAlignment="1">
      <alignment horizontal="left" indent="1"/>
    </xf>
    <xf numFmtId="0" fontId="4" fillId="0" borderId="116" xfId="0" applyFont="1" applyBorder="1"/>
    <xf numFmtId="0" fontId="8" fillId="0" borderId="128" xfId="0" applyFont="1" applyBorder="1" applyAlignment="1">
      <alignment horizontal="left"/>
    </xf>
    <xf numFmtId="0" fontId="8" fillId="0" borderId="26" xfId="0" applyFont="1" applyBorder="1" applyAlignment="1">
      <alignment horizontal="left"/>
    </xf>
    <xf numFmtId="0" fontId="3" fillId="0" borderId="26" xfId="0" applyFont="1" applyBorder="1" applyAlignment="1">
      <alignment horizontal="left" indent="1"/>
    </xf>
    <xf numFmtId="0" fontId="4" fillId="0" borderId="28" xfId="0" applyFont="1" applyFill="1" applyBorder="1" applyAlignment="1">
      <alignment horizontal="left" indent="1"/>
    </xf>
    <xf numFmtId="0" fontId="4" fillId="0" borderId="30" xfId="0" applyFont="1" applyFill="1" applyBorder="1" applyAlignment="1">
      <alignment horizontal="left" indent="1"/>
    </xf>
    <xf numFmtId="0" fontId="16" fillId="0" borderId="127" xfId="0" applyFont="1" applyBorder="1"/>
    <xf numFmtId="0" fontId="7" fillId="0" borderId="28" xfId="0" applyFont="1" applyBorder="1"/>
    <xf numFmtId="0" fontId="16" fillId="0" borderId="29" xfId="0" applyFont="1" applyBorder="1"/>
    <xf numFmtId="0" fontId="7" fillId="0" borderId="30" xfId="0" applyFont="1" applyBorder="1" applyAlignment="1">
      <alignment horizontal="center"/>
    </xf>
    <xf numFmtId="164" fontId="4" fillId="0" borderId="47" xfId="0" applyNumberFormat="1" applyFont="1" applyBorder="1" applyAlignment="1">
      <alignment horizontal="right"/>
    </xf>
    <xf numFmtId="5" fontId="4" fillId="0" borderId="11" xfId="0" applyNumberFormat="1" applyFont="1" applyBorder="1" applyAlignment="1">
      <alignment horizontal="right"/>
    </xf>
    <xf numFmtId="5" fontId="4" fillId="0" borderId="4" xfId="0" applyNumberFormat="1" applyFont="1" applyBorder="1" applyAlignment="1">
      <alignment horizontal="right"/>
    </xf>
    <xf numFmtId="5" fontId="4" fillId="0" borderId="31" xfId="0" applyNumberFormat="1" applyFont="1" applyBorder="1" applyAlignment="1">
      <alignment horizontal="right"/>
    </xf>
    <xf numFmtId="3" fontId="4" fillId="0" borderId="53" xfId="0" applyNumberFormat="1" applyFont="1" applyBorder="1"/>
    <xf numFmtId="0" fontId="3" fillId="2" borderId="115" xfId="11" quotePrefix="1" applyFont="1" applyFill="1" applyBorder="1" applyAlignment="1">
      <alignment horizontal="center"/>
    </xf>
    <xf numFmtId="0" fontId="4" fillId="2" borderId="56" xfId="11" applyFont="1" applyFill="1" applyBorder="1" applyAlignment="1">
      <alignment horizontal="right"/>
    </xf>
    <xf numFmtId="3" fontId="4" fillId="0" borderId="115" xfId="1" applyNumberFormat="1" applyFont="1" applyBorder="1" applyAlignment="1">
      <alignment horizontal="center"/>
    </xf>
    <xf numFmtId="3" fontId="4" fillId="0" borderId="56" xfId="1" applyNumberFormat="1" applyFont="1" applyFill="1" applyBorder="1" applyAlignment="1">
      <alignment horizontal="center"/>
    </xf>
    <xf numFmtId="3" fontId="4" fillId="0" borderId="122" xfId="1" applyNumberFormat="1" applyFont="1" applyFill="1" applyBorder="1" applyAlignment="1">
      <alignment horizontal="center"/>
    </xf>
    <xf numFmtId="166" fontId="4" fillId="0" borderId="19" xfId="0" applyNumberFormat="1" applyFont="1" applyBorder="1" applyAlignment="1">
      <alignment horizontal="right"/>
    </xf>
    <xf numFmtId="3" fontId="4" fillId="0" borderId="82" xfId="1" applyNumberFormat="1" applyFont="1" applyBorder="1" applyAlignment="1">
      <alignment horizontal="right"/>
    </xf>
    <xf numFmtId="0" fontId="4" fillId="0" borderId="116" xfId="0" applyFont="1" applyFill="1" applyBorder="1" applyAlignment="1">
      <alignment horizontal="right"/>
    </xf>
    <xf numFmtId="0" fontId="3" fillId="0" borderId="25" xfId="0" applyFont="1" applyBorder="1"/>
    <xf numFmtId="0" fontId="10" fillId="0" borderId="88" xfId="0" applyFont="1" applyBorder="1" applyAlignment="1">
      <alignment horizontal="left" indent="1"/>
    </xf>
    <xf numFmtId="0" fontId="4" fillId="0" borderId="53" xfId="0" applyFont="1" applyBorder="1" applyAlignment="1">
      <alignment horizontal="right"/>
    </xf>
    <xf numFmtId="0" fontId="4" fillId="0" borderId="50" xfId="0" applyFont="1" applyBorder="1" applyAlignment="1">
      <alignment horizontal="right"/>
    </xf>
    <xf numFmtId="164" fontId="4" fillId="0" borderId="50" xfId="0" applyNumberFormat="1" applyFont="1" applyBorder="1" applyAlignment="1">
      <alignment horizontal="right"/>
    </xf>
    <xf numFmtId="0" fontId="3" fillId="0" borderId="130" xfId="0" applyFont="1" applyBorder="1"/>
    <xf numFmtId="1" fontId="4" fillId="0" borderId="73" xfId="0" applyNumberFormat="1" applyFont="1" applyBorder="1"/>
    <xf numFmtId="170" fontId="4" fillId="0" borderId="73" xfId="0" applyNumberFormat="1" applyFont="1" applyBorder="1" applyAlignment="1">
      <alignment horizontal="center"/>
    </xf>
    <xf numFmtId="0" fontId="0" fillId="0" borderId="12" xfId="0" applyBorder="1"/>
    <xf numFmtId="0" fontId="4" fillId="0" borderId="32" xfId="0" applyNumberFormat="1" applyFont="1" applyBorder="1" applyAlignment="1">
      <alignment horizontal="center"/>
    </xf>
    <xf numFmtId="1" fontId="3" fillId="0" borderId="93" xfId="0" applyNumberFormat="1" applyFont="1" applyFill="1" applyBorder="1" applyAlignment="1">
      <alignment horizontal="center"/>
    </xf>
    <xf numFmtId="0" fontId="4" fillId="0" borderId="128" xfId="0" applyFont="1" applyBorder="1"/>
    <xf numFmtId="0" fontId="3" fillId="0" borderId="88" xfId="0" applyFont="1" applyBorder="1" applyAlignment="1">
      <alignment horizontal="left"/>
    </xf>
    <xf numFmtId="0" fontId="3" fillId="0" borderId="26" xfId="0" applyFont="1" applyBorder="1"/>
    <xf numFmtId="3" fontId="7" fillId="0" borderId="69" xfId="0" applyNumberFormat="1" applyFont="1" applyBorder="1"/>
    <xf numFmtId="0" fontId="3" fillId="0" borderId="131" xfId="0" applyFont="1" applyFill="1" applyBorder="1" applyAlignment="1">
      <alignment horizontal="center"/>
    </xf>
    <xf numFmtId="0" fontId="3" fillId="0" borderId="132" xfId="0" applyFont="1" applyFill="1" applyBorder="1" applyAlignment="1">
      <alignment horizontal="center"/>
    </xf>
    <xf numFmtId="166" fontId="4" fillId="0" borderId="131" xfId="20" applyNumberFormat="1" applyFont="1" applyFill="1" applyBorder="1" applyAlignment="1">
      <alignment horizontal="right"/>
    </xf>
    <xf numFmtId="166" fontId="4" fillId="0" borderId="133" xfId="20" applyNumberFormat="1" applyFont="1" applyFill="1" applyBorder="1" applyAlignment="1">
      <alignment horizontal="right"/>
    </xf>
    <xf numFmtId="0" fontId="4" fillId="0" borderId="0" xfId="0" applyFont="1" applyBorder="1" applyAlignment="1">
      <alignment horizontal="centerContinuous"/>
    </xf>
    <xf numFmtId="0" fontId="4" fillId="0" borderId="0" xfId="0" applyFont="1" applyFill="1" applyBorder="1" applyAlignment="1">
      <alignment horizontal="centerContinuous"/>
    </xf>
    <xf numFmtId="0" fontId="4" fillId="0" borderId="134" xfId="0" applyFont="1" applyFill="1" applyBorder="1"/>
    <xf numFmtId="0" fontId="4" fillId="0" borderId="135" xfId="0" applyFont="1" applyFill="1" applyBorder="1"/>
    <xf numFmtId="0" fontId="4" fillId="0" borderId="131" xfId="0" applyFont="1" applyFill="1" applyBorder="1"/>
    <xf numFmtId="0" fontId="4" fillId="0" borderId="131" xfId="0" applyFont="1" applyFill="1" applyBorder="1" applyAlignment="1">
      <alignment horizontal="center"/>
    </xf>
    <xf numFmtId="0" fontId="4" fillId="0" borderId="131" xfId="0" applyFont="1" applyFill="1" applyBorder="1" applyAlignment="1">
      <alignment horizontal="right"/>
    </xf>
    <xf numFmtId="0" fontId="4" fillId="0" borderId="132" xfId="0" applyFont="1" applyFill="1" applyBorder="1" applyAlignment="1">
      <alignment horizontal="right"/>
    </xf>
    <xf numFmtId="0" fontId="4" fillId="0" borderId="133" xfId="0" applyFont="1" applyFill="1" applyBorder="1" applyAlignment="1">
      <alignment horizontal="right"/>
    </xf>
    <xf numFmtId="168" fontId="4" fillId="2" borderId="51" xfId="1" applyNumberFormat="1" applyFont="1" applyFill="1" applyBorder="1"/>
    <xf numFmtId="3" fontId="18" fillId="0" borderId="51" xfId="0" applyNumberFormat="1" applyFont="1" applyFill="1" applyBorder="1"/>
    <xf numFmtId="3" fontId="13" fillId="0" borderId="4" xfId="0" applyNumberFormat="1" applyFont="1" applyFill="1" applyBorder="1"/>
    <xf numFmtId="3" fontId="13" fillId="0" borderId="51" xfId="0" applyNumberFormat="1" applyFont="1" applyFill="1" applyBorder="1"/>
    <xf numFmtId="0" fontId="4" fillId="2" borderId="69" xfId="0" applyFont="1" applyFill="1" applyBorder="1"/>
    <xf numFmtId="0" fontId="4" fillId="2" borderId="104" xfId="0" applyFont="1" applyFill="1" applyBorder="1"/>
    <xf numFmtId="3" fontId="4" fillId="0" borderId="54" xfId="0" applyNumberFormat="1" applyFont="1" applyFill="1" applyBorder="1"/>
    <xf numFmtId="0" fontId="4" fillId="0" borderId="62" xfId="0" applyFont="1" applyFill="1" applyBorder="1"/>
    <xf numFmtId="0" fontId="4" fillId="0" borderId="97" xfId="0" applyFont="1" applyBorder="1" applyAlignment="1">
      <alignment horizontal="right"/>
    </xf>
    <xf numFmtId="168" fontId="4" fillId="0" borderId="68" xfId="0" applyNumberFormat="1" applyFont="1" applyBorder="1"/>
    <xf numFmtId="0" fontId="4" fillId="3" borderId="124" xfId="0" applyFont="1" applyFill="1" applyBorder="1" applyAlignment="1">
      <alignment horizontal="right"/>
    </xf>
    <xf numFmtId="0" fontId="4" fillId="3" borderId="125" xfId="0" applyFont="1" applyFill="1" applyBorder="1" applyAlignment="1">
      <alignment horizontal="right"/>
    </xf>
    <xf numFmtId="168" fontId="3" fillId="0" borderId="71" xfId="0" applyNumberFormat="1" applyFont="1" applyBorder="1"/>
    <xf numFmtId="0" fontId="4" fillId="2" borderId="12" xfId="0" applyFont="1" applyFill="1" applyBorder="1"/>
    <xf numFmtId="0" fontId="4" fillId="2" borderId="22" xfId="0" applyFont="1" applyFill="1" applyBorder="1"/>
    <xf numFmtId="1" fontId="4" fillId="0" borderId="1" xfId="0" applyNumberFormat="1" applyFont="1" applyBorder="1"/>
    <xf numFmtId="0" fontId="12" fillId="0" borderId="0" xfId="0" applyFont="1" applyAlignment="1">
      <alignment horizontal="centerContinuous"/>
    </xf>
    <xf numFmtId="3" fontId="4" fillId="0" borderId="8" xfId="1" applyNumberFormat="1" applyFont="1" applyFill="1" applyBorder="1"/>
    <xf numFmtId="3" fontId="4" fillId="0" borderId="23" xfId="1" applyNumberFormat="1" applyFont="1" applyFill="1" applyBorder="1"/>
    <xf numFmtId="1" fontId="4" fillId="0" borderId="62" xfId="0" applyNumberFormat="1" applyFont="1" applyFill="1" applyBorder="1"/>
    <xf numFmtId="1" fontId="4" fillId="0" borderId="91" xfId="0" applyNumberFormat="1" applyFont="1" applyFill="1" applyBorder="1"/>
    <xf numFmtId="1" fontId="4" fillId="2" borderId="69" xfId="0" applyNumberFormat="1" applyFont="1" applyFill="1" applyBorder="1"/>
    <xf numFmtId="1" fontId="4" fillId="2" borderId="104" xfId="0" applyNumberFormat="1" applyFont="1" applyFill="1" applyBorder="1"/>
    <xf numFmtId="1" fontId="4" fillId="2" borderId="66" xfId="0" applyNumberFormat="1" applyFont="1" applyFill="1" applyBorder="1"/>
    <xf numFmtId="0" fontId="3" fillId="0" borderId="55" xfId="0" applyFont="1" applyBorder="1"/>
    <xf numFmtId="168" fontId="3" fillId="0" borderId="60" xfId="1" applyNumberFormat="1" applyFont="1" applyBorder="1"/>
    <xf numFmtId="168" fontId="3" fillId="0" borderId="11" xfId="1" applyNumberFormat="1" applyFont="1" applyBorder="1"/>
    <xf numFmtId="0" fontId="3" fillId="0" borderId="55" xfId="0" applyFont="1" applyFill="1" applyBorder="1"/>
    <xf numFmtId="168" fontId="3" fillId="0" borderId="60" xfId="1" applyNumberFormat="1" applyFont="1" applyFill="1" applyBorder="1"/>
    <xf numFmtId="0" fontId="3" fillId="0" borderId="11" xfId="0" applyFont="1" applyFill="1" applyBorder="1"/>
    <xf numFmtId="168" fontId="3" fillId="0" borderId="11" xfId="1" applyNumberFormat="1" applyFont="1" applyFill="1" applyBorder="1"/>
    <xf numFmtId="0" fontId="4" fillId="2" borderId="73" xfId="0" applyFont="1" applyFill="1" applyBorder="1"/>
    <xf numFmtId="0" fontId="4" fillId="2" borderId="10" xfId="0" applyFont="1" applyFill="1" applyBorder="1"/>
    <xf numFmtId="0" fontId="14" fillId="0" borderId="0" xfId="0" applyFont="1"/>
    <xf numFmtId="0" fontId="0" fillId="0" borderId="99" xfId="0" applyBorder="1" applyAlignment="1">
      <alignment horizontal="center"/>
    </xf>
    <xf numFmtId="171" fontId="4" fillId="0" borderId="0" xfId="0" applyNumberFormat="1" applyFont="1" applyBorder="1"/>
    <xf numFmtId="0" fontId="0" fillId="0" borderId="0" xfId="0" applyBorder="1" applyAlignment="1">
      <alignment horizontal="center"/>
    </xf>
    <xf numFmtId="171" fontId="4" fillId="0" borderId="0" xfId="0" applyNumberFormat="1" applyFont="1"/>
    <xf numFmtId="171" fontId="0" fillId="0" borderId="62" xfId="0" applyNumberFormat="1" applyBorder="1" applyAlignment="1"/>
    <xf numFmtId="171" fontId="3" fillId="2" borderId="0" xfId="11" quotePrefix="1" applyNumberFormat="1" applyFont="1" applyFill="1" applyBorder="1" applyAlignment="1">
      <alignment horizontal="center"/>
    </xf>
    <xf numFmtId="171" fontId="0" fillId="2" borderId="109" xfId="0" applyNumberFormat="1" applyFill="1" applyBorder="1" applyAlignment="1"/>
    <xf numFmtId="171" fontId="3" fillId="2" borderId="0" xfId="11" applyNumberFormat="1" applyFont="1" applyFill="1" applyBorder="1" applyAlignment="1">
      <alignment horizontal="center"/>
    </xf>
    <xf numFmtId="171" fontId="0" fillId="2" borderId="109" xfId="0" applyNumberFormat="1" applyFill="1" applyBorder="1" applyAlignment="1">
      <alignment horizontal="center"/>
    </xf>
    <xf numFmtId="171" fontId="4" fillId="2" borderId="109" xfId="0" applyNumberFormat="1" applyFont="1" applyFill="1" applyBorder="1"/>
    <xf numFmtId="171" fontId="4" fillId="0" borderId="0" xfId="0" applyNumberFormat="1" applyFont="1" applyFill="1"/>
    <xf numFmtId="171" fontId="4" fillId="0" borderId="109" xfId="0" applyNumberFormat="1" applyFont="1" applyFill="1" applyBorder="1"/>
    <xf numFmtId="171" fontId="4" fillId="2" borderId="69" xfId="0" applyNumberFormat="1" applyFont="1" applyFill="1" applyBorder="1"/>
    <xf numFmtId="171" fontId="4" fillId="2" borderId="0" xfId="0" applyNumberFormat="1" applyFont="1" applyFill="1" applyBorder="1"/>
    <xf numFmtId="171" fontId="4" fillId="2" borderId="62" xfId="11" applyNumberFormat="1" applyFont="1" applyFill="1" applyBorder="1" applyAlignment="1"/>
    <xf numFmtId="171" fontId="4" fillId="0" borderId="56" xfId="0" applyNumberFormat="1" applyFont="1" applyFill="1" applyBorder="1"/>
    <xf numFmtId="1" fontId="4" fillId="0" borderId="56" xfId="0" applyNumberFormat="1" applyFont="1" applyFill="1" applyBorder="1"/>
    <xf numFmtId="3" fontId="4" fillId="0" borderId="62" xfId="0" applyNumberFormat="1" applyFont="1" applyFill="1" applyBorder="1"/>
    <xf numFmtId="171" fontId="4" fillId="0" borderId="0" xfId="0" applyNumberFormat="1" applyFont="1" applyFill="1" applyBorder="1"/>
    <xf numFmtId="171" fontId="4" fillId="0" borderId="62" xfId="0" applyNumberFormat="1" applyFont="1" applyFill="1" applyBorder="1"/>
    <xf numFmtId="171" fontId="4" fillId="0" borderId="36" xfId="0" applyNumberFormat="1" applyFont="1" applyFill="1" applyBorder="1"/>
    <xf numFmtId="171" fontId="4" fillId="2" borderId="122" xfId="0" applyNumberFormat="1" applyFont="1" applyFill="1" applyBorder="1"/>
    <xf numFmtId="171" fontId="4" fillId="2" borderId="104" xfId="0" applyNumberFormat="1" applyFont="1" applyFill="1" applyBorder="1"/>
    <xf numFmtId="166" fontId="4" fillId="0" borderId="53" xfId="21" applyNumberFormat="1" applyFont="1" applyBorder="1" applyAlignment="1"/>
    <xf numFmtId="166" fontId="4" fillId="0" borderId="50" xfId="21" applyNumberFormat="1" applyFont="1" applyBorder="1" applyAlignment="1"/>
    <xf numFmtId="166" fontId="4" fillId="0" borderId="52" xfId="11" applyNumberFormat="1" applyFont="1" applyBorder="1" applyAlignment="1"/>
    <xf numFmtId="166" fontId="4" fillId="0" borderId="8" xfId="11" applyNumberFormat="1" applyFont="1" applyBorder="1" applyAlignment="1"/>
    <xf numFmtId="166" fontId="4" fillId="0" borderId="66" xfId="21" applyNumberFormat="1" applyFont="1" applyFill="1" applyBorder="1"/>
    <xf numFmtId="166" fontId="4" fillId="0" borderId="44" xfId="21" applyNumberFormat="1" applyFont="1" applyFill="1" applyBorder="1"/>
    <xf numFmtId="166" fontId="4" fillId="0" borderId="0" xfId="0" applyNumberFormat="1" applyFont="1"/>
    <xf numFmtId="166" fontId="4" fillId="0" borderId="31" xfId="21" applyNumberFormat="1" applyFont="1" applyBorder="1" applyAlignment="1"/>
    <xf numFmtId="166" fontId="4" fillId="0" borderId="4" xfId="21" applyNumberFormat="1" applyFont="1" applyBorder="1" applyAlignment="1"/>
    <xf numFmtId="4" fontId="3" fillId="0" borderId="0" xfId="0" applyNumberFormat="1" applyFont="1" applyFill="1" applyBorder="1"/>
    <xf numFmtId="170" fontId="0" fillId="0" borderId="62" xfId="0" applyNumberFormat="1" applyFill="1" applyBorder="1"/>
    <xf numFmtId="170" fontId="4" fillId="0" borderId="62" xfId="0" applyNumberFormat="1" applyFont="1" applyFill="1" applyBorder="1"/>
    <xf numFmtId="164" fontId="4" fillId="0" borderId="44" xfId="0" applyNumberFormat="1" applyFont="1" applyFill="1" applyBorder="1"/>
    <xf numFmtId="3" fontId="4" fillId="0" borderId="20" xfId="0" applyNumberFormat="1" applyFont="1" applyFill="1" applyBorder="1"/>
    <xf numFmtId="0" fontId="3" fillId="0" borderId="103" xfId="0" applyFont="1" applyFill="1" applyBorder="1" applyAlignment="1">
      <alignment horizontal="center"/>
    </xf>
    <xf numFmtId="0" fontId="4" fillId="4" borderId="57" xfId="0" applyFont="1" applyFill="1" applyBorder="1" applyAlignment="1">
      <alignment horizontal="right"/>
    </xf>
    <xf numFmtId="166" fontId="4" fillId="4" borderId="20" xfId="20" applyNumberFormat="1" applyFont="1" applyFill="1" applyBorder="1" applyAlignment="1">
      <alignment horizontal="right"/>
    </xf>
    <xf numFmtId="0" fontId="4" fillId="4" borderId="47" xfId="0" applyFont="1" applyFill="1" applyBorder="1" applyAlignment="1">
      <alignment horizontal="right"/>
    </xf>
    <xf numFmtId="166" fontId="4" fillId="4" borderId="2" xfId="20" applyNumberFormat="1" applyFont="1" applyFill="1" applyBorder="1" applyAlignment="1">
      <alignment horizontal="right"/>
    </xf>
    <xf numFmtId="0" fontId="4" fillId="4" borderId="19" xfId="0" applyFont="1" applyFill="1" applyBorder="1" applyAlignment="1">
      <alignment horizontal="right"/>
    </xf>
    <xf numFmtId="0" fontId="4" fillId="4" borderId="6" xfId="0" applyFont="1" applyFill="1" applyBorder="1" applyAlignment="1">
      <alignment horizontal="right"/>
    </xf>
    <xf numFmtId="0" fontId="4" fillId="4" borderId="77" xfId="0" applyFont="1" applyFill="1" applyBorder="1" applyAlignment="1">
      <alignment horizontal="right"/>
    </xf>
    <xf numFmtId="166" fontId="4" fillId="4" borderId="4" xfId="20" applyNumberFormat="1" applyFont="1" applyFill="1" applyBorder="1" applyAlignment="1">
      <alignment horizontal="right"/>
    </xf>
    <xf numFmtId="0" fontId="4" fillId="4" borderId="32" xfId="0" applyFont="1" applyFill="1" applyBorder="1" applyAlignment="1">
      <alignment horizontal="right"/>
    </xf>
    <xf numFmtId="166" fontId="4" fillId="4" borderId="51" xfId="20" applyNumberFormat="1" applyFont="1" applyFill="1" applyBorder="1" applyAlignment="1">
      <alignment horizontal="right"/>
    </xf>
    <xf numFmtId="0" fontId="4" fillId="4" borderId="57" xfId="0" applyFont="1" applyFill="1" applyBorder="1" applyAlignment="1"/>
    <xf numFmtId="166" fontId="4" fillId="4" borderId="20" xfId="20" applyNumberFormat="1" applyFont="1" applyFill="1" applyBorder="1" applyAlignment="1"/>
    <xf numFmtId="0" fontId="4" fillId="4" borderId="47" xfId="0" applyFont="1" applyFill="1" applyBorder="1" applyAlignment="1"/>
    <xf numFmtId="166" fontId="4" fillId="4" borderId="2" xfId="20" applyNumberFormat="1" applyFont="1" applyFill="1" applyBorder="1" applyAlignment="1"/>
    <xf numFmtId="164" fontId="3" fillId="0" borderId="50" xfId="0" applyNumberFormat="1" applyFont="1" applyFill="1" applyBorder="1"/>
    <xf numFmtId="170" fontId="4" fillId="0" borderId="51" xfId="3" applyNumberFormat="1" applyFont="1" applyFill="1" applyBorder="1"/>
    <xf numFmtId="170" fontId="4" fillId="0" borderId="51" xfId="0" applyNumberFormat="1" applyFont="1" applyFill="1" applyBorder="1" applyAlignment="1">
      <alignment horizontal="center"/>
    </xf>
    <xf numFmtId="169" fontId="4" fillId="0" borderId="47" xfId="0" applyNumberFormat="1" applyFont="1" applyBorder="1"/>
    <xf numFmtId="170" fontId="4" fillId="0" borderId="58" xfId="0" applyNumberFormat="1" applyFont="1" applyBorder="1" applyAlignment="1"/>
    <xf numFmtId="169" fontId="4" fillId="0" borderId="57" xfId="0" applyNumberFormat="1" applyFont="1" applyBorder="1" applyAlignment="1"/>
    <xf numFmtId="164" fontId="4" fillId="0" borderId="58" xfId="3" applyNumberFormat="1" applyFont="1" applyFill="1" applyBorder="1" applyAlignment="1">
      <alignment horizontal="right"/>
    </xf>
    <xf numFmtId="169" fontId="4" fillId="0" borderId="57" xfId="0" applyNumberFormat="1" applyFont="1" applyFill="1" applyBorder="1" applyAlignment="1"/>
    <xf numFmtId="164" fontId="4" fillId="0" borderId="58" xfId="3" applyNumberFormat="1" applyFont="1" applyFill="1" applyBorder="1" applyAlignment="1"/>
    <xf numFmtId="169" fontId="4" fillId="0" borderId="57" xfId="0" applyNumberFormat="1" applyFont="1" applyFill="1" applyBorder="1"/>
    <xf numFmtId="170" fontId="4" fillId="0" borderId="47" xfId="0" applyNumberFormat="1" applyFont="1" applyFill="1" applyBorder="1" applyAlignment="1"/>
    <xf numFmtId="170" fontId="4" fillId="0" borderId="58" xfId="0" applyNumberFormat="1" applyFont="1" applyFill="1" applyBorder="1" applyAlignment="1"/>
    <xf numFmtId="169" fontId="4" fillId="0" borderId="47" xfId="0" applyNumberFormat="1" applyFont="1" applyFill="1" applyBorder="1"/>
    <xf numFmtId="169" fontId="4" fillId="0" borderId="40" xfId="0" applyNumberFormat="1" applyFont="1" applyBorder="1" applyAlignment="1">
      <alignment horizontal="right"/>
    </xf>
    <xf numFmtId="169" fontId="4" fillId="0" borderId="121" xfId="0" applyNumberFormat="1" applyFont="1" applyBorder="1" applyAlignment="1">
      <alignment horizontal="right"/>
    </xf>
    <xf numFmtId="3" fontId="4" fillId="0" borderId="112" xfId="0" applyNumberFormat="1" applyFont="1" applyBorder="1" applyAlignment="1">
      <alignment horizontal="center"/>
    </xf>
    <xf numFmtId="169" fontId="3" fillId="0" borderId="117" xfId="0" applyNumberFormat="1" applyFont="1" applyBorder="1" applyAlignment="1">
      <alignment horizontal="left"/>
    </xf>
    <xf numFmtId="3" fontId="3" fillId="0" borderId="121" xfId="0" applyNumberFormat="1" applyFont="1" applyBorder="1" applyAlignment="1">
      <alignment horizontal="center"/>
    </xf>
    <xf numFmtId="164" fontId="3" fillId="0" borderId="58" xfId="0" applyNumberFormat="1" applyFont="1" applyFill="1" applyBorder="1" applyAlignment="1">
      <alignment horizontal="right"/>
    </xf>
    <xf numFmtId="164" fontId="3" fillId="0" borderId="55" xfId="0" applyNumberFormat="1" applyFont="1" applyFill="1" applyBorder="1" applyAlignment="1">
      <alignment horizontal="right"/>
    </xf>
    <xf numFmtId="164" fontId="3" fillId="0" borderId="11" xfId="0" applyNumberFormat="1" applyFont="1" applyFill="1" applyBorder="1" applyAlignment="1">
      <alignment horizontal="right"/>
    </xf>
    <xf numFmtId="1" fontId="4" fillId="2" borderId="6" xfId="0" applyNumberFormat="1" applyFont="1" applyFill="1" applyBorder="1" applyAlignment="1">
      <alignment horizontal="right"/>
    </xf>
    <xf numFmtId="3" fontId="4" fillId="2" borderId="63" xfId="0" applyNumberFormat="1" applyFont="1" applyFill="1" applyBorder="1" applyAlignment="1">
      <alignment horizontal="right"/>
    </xf>
    <xf numFmtId="0" fontId="4" fillId="2" borderId="6" xfId="0" applyNumberFormat="1" applyFont="1" applyFill="1" applyBorder="1" applyAlignment="1">
      <alignment horizontal="right"/>
    </xf>
    <xf numFmtId="170" fontId="4" fillId="2" borderId="63" xfId="0" applyNumberFormat="1" applyFont="1" applyFill="1" applyBorder="1" applyAlignment="1">
      <alignment horizontal="right"/>
    </xf>
    <xf numFmtId="0" fontId="3" fillId="2" borderId="14" xfId="0" applyNumberFormat="1" applyFont="1" applyFill="1" applyBorder="1" applyAlignment="1">
      <alignment horizontal="right"/>
    </xf>
    <xf numFmtId="170" fontId="3" fillId="2" borderId="70" xfId="0" applyNumberFormat="1" applyFont="1" applyFill="1" applyBorder="1" applyAlignment="1">
      <alignment horizontal="right"/>
    </xf>
    <xf numFmtId="0" fontId="4" fillId="2" borderId="12" xfId="0" applyNumberFormat="1" applyFont="1" applyFill="1" applyBorder="1" applyAlignment="1">
      <alignment horizontal="right"/>
    </xf>
    <xf numFmtId="0" fontId="4" fillId="2" borderId="13" xfId="0" applyNumberFormat="1" applyFont="1" applyFill="1" applyBorder="1" applyAlignment="1">
      <alignment horizontal="right"/>
    </xf>
    <xf numFmtId="0" fontId="0" fillId="2" borderId="6" xfId="0" applyFill="1" applyBorder="1" applyAlignment="1">
      <alignment horizontal="right"/>
    </xf>
    <xf numFmtId="0" fontId="0" fillId="2" borderId="63" xfId="0" applyFill="1" applyBorder="1" applyAlignment="1">
      <alignment horizontal="right"/>
    </xf>
    <xf numFmtId="0" fontId="0" fillId="2" borderId="43" xfId="0" applyFill="1" applyBorder="1" applyAlignment="1">
      <alignment horizontal="right"/>
    </xf>
    <xf numFmtId="171" fontId="3" fillId="0" borderId="0" xfId="11" applyNumberFormat="1" applyFont="1" applyFill="1" applyBorder="1" applyAlignment="1">
      <alignment horizontal="center"/>
    </xf>
    <xf numFmtId="171" fontId="4" fillId="0" borderId="62" xfId="0" applyNumberFormat="1" applyFont="1" applyFill="1" applyBorder="1" applyAlignment="1">
      <alignment horizontal="center"/>
    </xf>
    <xf numFmtId="0" fontId="4" fillId="2" borderId="56" xfId="0" applyFont="1" applyFill="1" applyBorder="1"/>
    <xf numFmtId="0" fontId="4" fillId="0" borderId="83" xfId="0" applyFont="1" applyFill="1" applyBorder="1"/>
    <xf numFmtId="0" fontId="4" fillId="0" borderId="81" xfId="0" applyFont="1" applyFill="1" applyBorder="1"/>
    <xf numFmtId="0" fontId="4" fillId="0" borderId="84" xfId="0" applyFont="1" applyFill="1" applyBorder="1"/>
    <xf numFmtId="0" fontId="4" fillId="0" borderId="135" xfId="0" applyFont="1" applyFill="1" applyBorder="1" applyAlignment="1">
      <alignment horizontal="right"/>
    </xf>
    <xf numFmtId="0" fontId="4" fillId="2" borderId="82" xfId="0" applyFont="1" applyFill="1" applyBorder="1"/>
    <xf numFmtId="0" fontId="4" fillId="2" borderId="23" xfId="0" applyFont="1" applyFill="1" applyBorder="1"/>
    <xf numFmtId="0" fontId="4" fillId="2" borderId="7" xfId="0" applyFont="1" applyFill="1" applyBorder="1"/>
    <xf numFmtId="0" fontId="4" fillId="2" borderId="61" xfId="0" applyFont="1" applyFill="1" applyBorder="1"/>
    <xf numFmtId="0" fontId="17" fillId="0" borderId="29" xfId="0" applyFont="1" applyFill="1" applyBorder="1"/>
    <xf numFmtId="0" fontId="16" fillId="0" borderId="29" xfId="0" applyFont="1" applyFill="1" applyBorder="1" applyAlignment="1">
      <alignment horizontal="right"/>
    </xf>
    <xf numFmtId="0" fontId="17" fillId="0" borderId="29" xfId="0" applyFont="1" applyFill="1" applyBorder="1" applyAlignment="1">
      <alignment horizontal="left"/>
    </xf>
    <xf numFmtId="0" fontId="16" fillId="0" borderId="116" xfId="0" applyFont="1" applyFill="1" applyBorder="1" applyAlignment="1">
      <alignment horizontal="right"/>
    </xf>
    <xf numFmtId="164" fontId="4" fillId="0" borderId="47" xfId="0" applyNumberFormat="1" applyFont="1" applyBorder="1"/>
    <xf numFmtId="164" fontId="4" fillId="0" borderId="4" xfId="0" applyNumberFormat="1" applyFont="1" applyBorder="1" applyAlignment="1">
      <alignment horizontal="center"/>
    </xf>
    <xf numFmtId="0" fontId="4" fillId="0" borderId="11" xfId="0" applyNumberFormat="1" applyFont="1" applyBorder="1" applyAlignment="1">
      <alignment horizontal="center"/>
    </xf>
    <xf numFmtId="3" fontId="4" fillId="0" borderId="56" xfId="1" applyNumberFormat="1" applyFont="1" applyBorder="1" applyAlignment="1">
      <alignment horizontal="center"/>
    </xf>
    <xf numFmtId="0" fontId="3" fillId="0" borderId="56" xfId="11" applyFont="1" applyBorder="1" applyAlignment="1">
      <alignment horizontal="center"/>
    </xf>
    <xf numFmtId="0" fontId="4" fillId="0" borderId="46" xfId="0" applyFont="1" applyBorder="1"/>
    <xf numFmtId="0" fontId="4" fillId="0" borderId="104" xfId="0" applyFont="1" applyBorder="1"/>
    <xf numFmtId="3" fontId="4" fillId="0" borderId="56" xfId="1" applyNumberFormat="1" applyFont="1" applyFill="1" applyBorder="1" applyAlignment="1">
      <alignment horizontal="right"/>
    </xf>
    <xf numFmtId="0" fontId="4" fillId="0" borderId="26" xfId="0" applyFont="1" applyBorder="1" applyAlignment="1">
      <alignment horizontal="left" indent="1"/>
    </xf>
    <xf numFmtId="0" fontId="4" fillId="0" borderId="27" xfId="0" applyFont="1" applyBorder="1" applyAlignment="1">
      <alignment horizontal="left" indent="1"/>
    </xf>
    <xf numFmtId="170" fontId="4" fillId="2" borderId="44" xfId="0" applyNumberFormat="1" applyFont="1" applyFill="1" applyBorder="1"/>
    <xf numFmtId="170" fontId="4" fillId="2" borderId="44" xfId="0" applyNumberFormat="1" applyFont="1" applyFill="1" applyBorder="1" applyAlignment="1">
      <alignment horizontal="center"/>
    </xf>
    <xf numFmtId="170" fontId="13" fillId="2" borderId="69" xfId="0" applyNumberFormat="1" applyFont="1" applyFill="1" applyBorder="1" applyAlignment="1">
      <alignment horizontal="right"/>
    </xf>
    <xf numFmtId="164" fontId="4" fillId="2" borderId="119" xfId="3" applyNumberFormat="1" applyFont="1" applyFill="1" applyBorder="1" applyAlignment="1">
      <alignment horizontal="right"/>
    </xf>
    <xf numFmtId="164" fontId="4" fillId="2" borderId="4" xfId="0" applyNumberFormat="1" applyFont="1" applyFill="1" applyBorder="1"/>
    <xf numFmtId="0" fontId="14" fillId="0" borderId="33" xfId="0" applyFont="1" applyFill="1" applyBorder="1" applyAlignment="1">
      <alignment horizontal="center"/>
    </xf>
    <xf numFmtId="0" fontId="14" fillId="0" borderId="23" xfId="0" applyFont="1" applyFill="1" applyBorder="1" applyAlignment="1">
      <alignment horizontal="center"/>
    </xf>
    <xf numFmtId="170" fontId="0" fillId="2" borderId="69" xfId="0" applyNumberFormat="1" applyFill="1" applyBorder="1"/>
    <xf numFmtId="170" fontId="4" fillId="2" borderId="44" xfId="0" applyNumberFormat="1" applyFont="1" applyFill="1" applyBorder="1" applyAlignment="1">
      <alignment horizontal="right"/>
    </xf>
    <xf numFmtId="170" fontId="13" fillId="2" borderId="66" xfId="0" applyNumberFormat="1" applyFont="1" applyFill="1" applyBorder="1"/>
    <xf numFmtId="0" fontId="3" fillId="0" borderId="102" xfId="0" applyFont="1" applyFill="1" applyBorder="1" applyAlignment="1">
      <alignment horizontal="center"/>
    </xf>
    <xf numFmtId="170" fontId="13" fillId="2" borderId="69" xfId="0" applyNumberFormat="1" applyFont="1" applyFill="1" applyBorder="1"/>
    <xf numFmtId="170" fontId="4" fillId="2" borderId="44" xfId="3" applyNumberFormat="1" applyFont="1" applyFill="1" applyBorder="1"/>
    <xf numFmtId="170" fontId="13" fillId="2" borderId="104" xfId="0" applyNumberFormat="1" applyFont="1" applyFill="1" applyBorder="1" applyAlignment="1" applyProtection="1"/>
    <xf numFmtId="171" fontId="4" fillId="0" borderId="91" xfId="0" applyNumberFormat="1" applyFont="1" applyFill="1" applyBorder="1" applyAlignment="1">
      <alignment horizontal="center"/>
    </xf>
    <xf numFmtId="1" fontId="4" fillId="0" borderId="43" xfId="0" applyNumberFormat="1" applyFont="1" applyBorder="1"/>
    <xf numFmtId="5" fontId="4" fillId="2" borderId="119" xfId="0" applyNumberFormat="1" applyFont="1" applyFill="1" applyBorder="1" applyAlignment="1">
      <alignment horizontal="right"/>
    </xf>
    <xf numFmtId="1" fontId="4" fillId="2" borderId="38" xfId="0" applyNumberFormat="1" applyFont="1" applyFill="1" applyBorder="1"/>
    <xf numFmtId="170" fontId="0" fillId="2" borderId="71" xfId="0" applyNumberFormat="1" applyFill="1" applyBorder="1"/>
    <xf numFmtId="170" fontId="0" fillId="0" borderId="58" xfId="0" applyNumberFormat="1" applyFill="1" applyBorder="1"/>
    <xf numFmtId="164" fontId="4" fillId="2" borderId="66" xfId="0" applyNumberFormat="1" applyFont="1" applyFill="1" applyBorder="1" applyAlignment="1">
      <alignment horizontal="right"/>
    </xf>
    <xf numFmtId="164" fontId="4" fillId="2" borderId="119" xfId="0" applyNumberFormat="1" applyFont="1" applyFill="1" applyBorder="1" applyAlignment="1">
      <alignment horizontal="right"/>
    </xf>
    <xf numFmtId="0" fontId="0" fillId="2" borderId="7" xfId="0" applyFill="1" applyBorder="1" applyAlignment="1">
      <alignment horizontal="right"/>
    </xf>
    <xf numFmtId="164" fontId="4" fillId="0" borderId="49" xfId="0" applyNumberFormat="1" applyFont="1" applyFill="1" applyBorder="1" applyAlignment="1">
      <alignment horizontal="right"/>
    </xf>
    <xf numFmtId="168" fontId="4" fillId="0" borderId="44" xfId="1" applyNumberFormat="1" applyFont="1" applyFill="1" applyBorder="1"/>
    <xf numFmtId="168" fontId="3" fillId="0" borderId="44" xfId="1" applyNumberFormat="1" applyFont="1" applyFill="1" applyBorder="1"/>
    <xf numFmtId="3" fontId="4" fillId="0" borderId="44" xfId="1" applyNumberFormat="1" applyFont="1" applyFill="1" applyBorder="1"/>
    <xf numFmtId="3" fontId="13" fillId="0" borderId="44" xfId="0" applyNumberFormat="1" applyFont="1" applyFill="1" applyBorder="1"/>
    <xf numFmtId="3" fontId="13" fillId="0" borderId="69" xfId="0" applyNumberFormat="1" applyFont="1" applyFill="1" applyBorder="1"/>
    <xf numFmtId="3" fontId="4" fillId="0" borderId="66" xfId="1" applyNumberFormat="1" applyFont="1" applyFill="1" applyBorder="1"/>
    <xf numFmtId="168" fontId="4" fillId="0" borderId="66" xfId="1" applyNumberFormat="1" applyFont="1" applyFill="1" applyBorder="1"/>
    <xf numFmtId="174" fontId="4" fillId="0" borderId="66" xfId="0" applyNumberFormat="1" applyFont="1" applyFill="1" applyBorder="1"/>
    <xf numFmtId="168" fontId="3" fillId="0" borderId="69" xfId="1" applyNumberFormat="1" applyFont="1" applyFill="1" applyBorder="1"/>
    <xf numFmtId="164" fontId="4" fillId="0" borderId="4" xfId="0" applyNumberFormat="1" applyFont="1" applyFill="1" applyBorder="1" applyAlignment="1">
      <alignment horizontal="center"/>
    </xf>
    <xf numFmtId="170" fontId="4" fillId="0" borderId="60" xfId="0" applyNumberFormat="1" applyFont="1" applyFill="1" applyBorder="1" applyAlignment="1">
      <alignment horizontal="center"/>
    </xf>
    <xf numFmtId="37" fontId="4" fillId="0" borderId="11" xfId="0" applyNumberFormat="1" applyFont="1" applyFill="1" applyBorder="1" applyAlignment="1">
      <alignment horizontal="center"/>
    </xf>
    <xf numFmtId="3" fontId="3" fillId="0" borderId="68" xfId="0" applyNumberFormat="1" applyFont="1" applyFill="1" applyBorder="1" applyAlignment="1">
      <alignment horizontal="right"/>
    </xf>
    <xf numFmtId="2" fontId="4" fillId="0" borderId="62" xfId="0" applyNumberFormat="1" applyFont="1" applyBorder="1" applyAlignment="1">
      <alignment horizontal="center"/>
    </xf>
    <xf numFmtId="2" fontId="4" fillId="0" borderId="91" xfId="0" applyNumberFormat="1" applyFont="1" applyBorder="1" applyAlignment="1">
      <alignment horizontal="center"/>
    </xf>
    <xf numFmtId="2" fontId="4" fillId="0" borderId="62" xfId="0" applyNumberFormat="1" applyFont="1" applyFill="1" applyBorder="1" applyAlignment="1">
      <alignment horizontal="center"/>
    </xf>
    <xf numFmtId="166" fontId="4" fillId="0" borderId="63" xfId="20" applyNumberFormat="1" applyFont="1" applyFill="1" applyBorder="1" applyAlignment="1"/>
    <xf numFmtId="3" fontId="3" fillId="0" borderId="63" xfId="0" applyNumberFormat="1" applyFont="1" applyFill="1" applyBorder="1" applyAlignment="1"/>
    <xf numFmtId="3" fontId="4" fillId="0" borderId="63" xfId="0" applyNumberFormat="1" applyFont="1" applyFill="1" applyBorder="1" applyAlignment="1"/>
    <xf numFmtId="166" fontId="4" fillId="0" borderId="43" xfId="20" applyNumberFormat="1" applyFont="1" applyFill="1" applyBorder="1" applyAlignment="1"/>
    <xf numFmtId="2" fontId="4" fillId="0" borderId="69" xfId="20" applyNumberFormat="1" applyFont="1" applyFill="1" applyBorder="1" applyAlignment="1">
      <alignment horizontal="center"/>
    </xf>
    <xf numFmtId="2" fontId="4" fillId="0" borderId="104" xfId="20" applyNumberFormat="1" applyFont="1" applyFill="1" applyBorder="1" applyAlignment="1">
      <alignment horizontal="center"/>
    </xf>
    <xf numFmtId="166" fontId="4" fillId="0" borderId="8" xfId="11" applyNumberFormat="1" applyFont="1" applyFill="1" applyBorder="1" applyAlignment="1"/>
    <xf numFmtId="166" fontId="4" fillId="0" borderId="59" xfId="11" applyNumberFormat="1" applyFont="1" applyBorder="1" applyAlignment="1"/>
    <xf numFmtId="166" fontId="4" fillId="0" borderId="59" xfId="11" applyNumberFormat="1" applyFont="1" applyFill="1" applyBorder="1" applyAlignment="1"/>
    <xf numFmtId="0" fontId="16" fillId="0" borderId="22" xfId="0" applyFont="1" applyFill="1" applyBorder="1" applyAlignment="1">
      <alignment horizontal="center"/>
    </xf>
    <xf numFmtId="0" fontId="16" fillId="0" borderId="10" xfId="0" applyFont="1" applyFill="1" applyBorder="1" applyAlignment="1">
      <alignment horizontal="center"/>
    </xf>
    <xf numFmtId="0" fontId="14" fillId="0" borderId="29" xfId="0" applyFont="1" applyFill="1" applyBorder="1" applyAlignment="1">
      <alignment horizontal="right"/>
    </xf>
    <xf numFmtId="0" fontId="14" fillId="0" borderId="20" xfId="0" applyFont="1" applyFill="1" applyBorder="1" applyAlignment="1">
      <alignment horizontal="right"/>
    </xf>
    <xf numFmtId="0" fontId="16" fillId="5" borderId="6" xfId="0" applyFont="1" applyFill="1" applyBorder="1"/>
    <xf numFmtId="0" fontId="16" fillId="5" borderId="2" xfId="0" applyFont="1" applyFill="1" applyBorder="1" applyAlignment="1">
      <alignment horizontal="center"/>
    </xf>
    <xf numFmtId="0" fontId="16" fillId="5" borderId="19" xfId="0" applyFont="1" applyFill="1" applyBorder="1"/>
    <xf numFmtId="0" fontId="16" fillId="5" borderId="22" xfId="0" applyFont="1" applyFill="1" applyBorder="1" applyAlignment="1">
      <alignment horizontal="center"/>
    </xf>
    <xf numFmtId="0" fontId="16" fillId="5" borderId="20" xfId="0" applyFont="1" applyFill="1" applyBorder="1" applyAlignment="1">
      <alignment horizontal="center"/>
    </xf>
    <xf numFmtId="1" fontId="4" fillId="0" borderId="1" xfId="0" applyNumberFormat="1" applyFont="1" applyBorder="1" applyAlignment="1">
      <alignment horizontal="right"/>
    </xf>
    <xf numFmtId="1" fontId="4" fillId="0" borderId="99" xfId="0" applyNumberFormat="1" applyFont="1" applyBorder="1" applyAlignment="1">
      <alignment horizontal="center"/>
    </xf>
    <xf numFmtId="1" fontId="4" fillId="0" borderId="95" xfId="0" applyNumberFormat="1" applyFont="1" applyBorder="1" applyAlignment="1">
      <alignment horizontal="center"/>
    </xf>
    <xf numFmtId="1" fontId="4" fillId="0" borderId="39" xfId="0" applyNumberFormat="1" applyFont="1" applyBorder="1"/>
    <xf numFmtId="0" fontId="4" fillId="5" borderId="7" xfId="0" applyFont="1" applyFill="1" applyBorder="1"/>
    <xf numFmtId="0" fontId="4" fillId="5" borderId="61" xfId="0" applyFont="1" applyFill="1" applyBorder="1"/>
    <xf numFmtId="0" fontId="4" fillId="5" borderId="82" xfId="0" applyFont="1" applyFill="1" applyBorder="1"/>
    <xf numFmtId="0" fontId="4" fillId="5" borderId="23" xfId="0" applyFont="1" applyFill="1" applyBorder="1" applyAlignment="1">
      <alignment horizontal="right"/>
    </xf>
    <xf numFmtId="0" fontId="16" fillId="5" borderId="20" xfId="0" applyFont="1" applyFill="1" applyBorder="1"/>
    <xf numFmtId="170" fontId="4" fillId="0" borderId="20" xfId="0" applyNumberFormat="1" applyFont="1" applyFill="1" applyBorder="1" applyAlignment="1">
      <alignment horizontal="right"/>
    </xf>
    <xf numFmtId="0" fontId="4" fillId="0" borderId="104" xfId="0" applyFont="1" applyFill="1" applyBorder="1" applyAlignment="1">
      <alignment horizontal="center"/>
    </xf>
    <xf numFmtId="0" fontId="16" fillId="5" borderId="63" xfId="0" applyFont="1" applyFill="1" applyBorder="1"/>
    <xf numFmtId="0" fontId="14" fillId="5" borderId="2" xfId="0" applyFont="1" applyFill="1" applyBorder="1" applyAlignment="1">
      <alignment horizontal="center"/>
    </xf>
    <xf numFmtId="0" fontId="14" fillId="5" borderId="2" xfId="0" applyFont="1" applyFill="1" applyBorder="1" applyAlignment="1">
      <alignment horizontal="right"/>
    </xf>
    <xf numFmtId="0" fontId="14" fillId="5" borderId="64" xfId="0" applyFont="1" applyFill="1" applyBorder="1" applyAlignment="1">
      <alignment horizontal="center"/>
    </xf>
    <xf numFmtId="0" fontId="14" fillId="5" borderId="43" xfId="0" applyFont="1" applyFill="1" applyBorder="1" applyAlignment="1">
      <alignment horizontal="center"/>
    </xf>
    <xf numFmtId="166" fontId="4" fillId="0" borderId="63" xfId="20" applyNumberFormat="1" applyFont="1" applyFill="1" applyBorder="1" applyAlignment="1">
      <alignment horizontal="right"/>
    </xf>
    <xf numFmtId="166" fontId="4" fillId="0" borderId="43" xfId="20" applyNumberFormat="1" applyFont="1" applyFill="1" applyBorder="1" applyAlignment="1">
      <alignment horizontal="right"/>
    </xf>
    <xf numFmtId="0" fontId="4" fillId="5" borderId="13" xfId="0" applyFont="1" applyFill="1" applyBorder="1"/>
    <xf numFmtId="0" fontId="4" fillId="5" borderId="63" xfId="0" applyFont="1" applyFill="1" applyBorder="1"/>
    <xf numFmtId="0" fontId="4" fillId="5" borderId="63" xfId="0" applyFont="1" applyFill="1" applyBorder="1" applyAlignment="1">
      <alignment horizontal="center"/>
    </xf>
    <xf numFmtId="0" fontId="4" fillId="5" borderId="63" xfId="0" applyFont="1" applyFill="1" applyBorder="1" applyAlignment="1">
      <alignment horizontal="right"/>
    </xf>
    <xf numFmtId="0" fontId="4" fillId="5" borderId="64" xfId="0" applyFont="1" applyFill="1" applyBorder="1" applyAlignment="1">
      <alignment horizontal="right"/>
    </xf>
    <xf numFmtId="0" fontId="4" fillId="5" borderId="43" xfId="0" applyFont="1" applyFill="1" applyBorder="1" applyAlignment="1">
      <alignment horizontal="right"/>
    </xf>
    <xf numFmtId="2" fontId="4" fillId="0" borderId="69" xfId="0" applyNumberFormat="1" applyFont="1" applyFill="1" applyBorder="1" applyAlignment="1">
      <alignment horizontal="center"/>
    </xf>
    <xf numFmtId="0" fontId="4" fillId="5" borderId="13" xfId="0" applyFont="1" applyFill="1" applyBorder="1" applyAlignment="1">
      <alignment horizontal="right"/>
    </xf>
    <xf numFmtId="171" fontId="4" fillId="0" borderId="69" xfId="0" applyNumberFormat="1" applyFont="1" applyFill="1" applyBorder="1" applyAlignment="1">
      <alignment horizontal="center"/>
    </xf>
    <xf numFmtId="171" fontId="4" fillId="0" borderId="104" xfId="0" applyNumberFormat="1" applyFont="1" applyFill="1" applyBorder="1" applyAlignment="1">
      <alignment horizontal="center"/>
    </xf>
    <xf numFmtId="0" fontId="4" fillId="5" borderId="43" xfId="0" applyFont="1" applyFill="1" applyBorder="1"/>
    <xf numFmtId="166" fontId="4" fillId="0" borderId="44" xfId="20" applyNumberFormat="1" applyFont="1" applyFill="1" applyBorder="1" applyAlignment="1">
      <alignment horizontal="right"/>
    </xf>
    <xf numFmtId="0" fontId="4" fillId="5" borderId="136" xfId="0" applyFont="1" applyFill="1" applyBorder="1" applyAlignment="1">
      <alignment horizontal="right"/>
    </xf>
    <xf numFmtId="0" fontId="4" fillId="5" borderId="118" xfId="0" applyFont="1" applyFill="1" applyBorder="1" applyAlignment="1">
      <alignment horizontal="right"/>
    </xf>
    <xf numFmtId="3" fontId="4" fillId="5" borderId="23" xfId="1" applyNumberFormat="1" applyFont="1" applyFill="1" applyBorder="1"/>
    <xf numFmtId="170" fontId="4" fillId="5" borderId="44" xfId="0" applyNumberFormat="1" applyFont="1" applyFill="1" applyBorder="1" applyAlignment="1"/>
    <xf numFmtId="170" fontId="4" fillId="5" borderId="71" xfId="0" applyNumberFormat="1" applyFont="1" applyFill="1" applyBorder="1" applyAlignment="1"/>
    <xf numFmtId="164" fontId="3" fillId="5" borderId="71" xfId="0" applyNumberFormat="1" applyFont="1" applyFill="1" applyBorder="1" applyAlignment="1">
      <alignment horizontal="right"/>
    </xf>
    <xf numFmtId="168" fontId="3" fillId="0" borderId="66" xfId="1" applyNumberFormat="1" applyFont="1" applyFill="1" applyBorder="1"/>
    <xf numFmtId="168" fontId="3" fillId="0" borderId="68" xfId="1" applyNumberFormat="1" applyFont="1" applyFill="1" applyBorder="1"/>
    <xf numFmtId="0" fontId="4" fillId="5" borderId="73" xfId="0" applyFont="1" applyFill="1" applyBorder="1"/>
    <xf numFmtId="0" fontId="4" fillId="5" borderId="10" xfId="0" applyFont="1" applyFill="1" applyBorder="1"/>
    <xf numFmtId="0" fontId="4" fillId="5" borderId="22" xfId="0" applyFont="1" applyFill="1" applyBorder="1"/>
    <xf numFmtId="0" fontId="4" fillId="5" borderId="12" xfId="0" applyFont="1" applyFill="1" applyBorder="1"/>
    <xf numFmtId="0" fontId="4" fillId="0" borderId="69" xfId="0" applyFont="1" applyFill="1" applyBorder="1"/>
    <xf numFmtId="1" fontId="4" fillId="0" borderId="0" xfId="0" applyNumberFormat="1" applyFont="1" applyFill="1" applyBorder="1"/>
    <xf numFmtId="0" fontId="4" fillId="0" borderId="109" xfId="0" applyFont="1" applyFill="1" applyBorder="1"/>
    <xf numFmtId="1" fontId="16" fillId="0" borderId="69" xfId="0" applyNumberFormat="1" applyFont="1" applyBorder="1" applyAlignment="1">
      <alignment horizontal="center"/>
    </xf>
    <xf numFmtId="164" fontId="4" fillId="0" borderId="57" xfId="0" applyNumberFormat="1" applyFont="1" applyFill="1" applyBorder="1"/>
    <xf numFmtId="3" fontId="4" fillId="5" borderId="63" xfId="1" applyNumberFormat="1" applyFont="1" applyFill="1" applyBorder="1"/>
    <xf numFmtId="3" fontId="4" fillId="5" borderId="63" xfId="1" applyNumberFormat="1" applyFont="1" applyFill="1" applyBorder="1" applyAlignment="1">
      <alignment horizontal="center"/>
    </xf>
    <xf numFmtId="3" fontId="4" fillId="5" borderId="63" xfId="1" applyNumberFormat="1" applyFont="1" applyFill="1" applyBorder="1" applyAlignment="1">
      <alignment horizontal="right"/>
    </xf>
    <xf numFmtId="1" fontId="4" fillId="0" borderId="36" xfId="0" applyNumberFormat="1" applyFont="1" applyFill="1" applyBorder="1"/>
    <xf numFmtId="3" fontId="4" fillId="5" borderId="44" xfId="1" applyNumberFormat="1" applyFont="1" applyFill="1" applyBorder="1" applyAlignment="1">
      <alignment horizontal="right"/>
    </xf>
    <xf numFmtId="3" fontId="4" fillId="5" borderId="44" xfId="0" applyNumberFormat="1" applyFont="1" applyFill="1" applyBorder="1"/>
    <xf numFmtId="3" fontId="3" fillId="5" borderId="119" xfId="0" applyNumberFormat="1" applyFont="1" applyFill="1" applyBorder="1"/>
    <xf numFmtId="3" fontId="3" fillId="5" borderId="119" xfId="0" applyNumberFormat="1" applyFont="1" applyFill="1" applyBorder="1" applyAlignment="1">
      <alignment horizontal="right"/>
    </xf>
    <xf numFmtId="0" fontId="4" fillId="5" borderId="73" xfId="0" applyFont="1" applyFill="1" applyBorder="1" applyAlignment="1">
      <alignment horizontal="right"/>
    </xf>
    <xf numFmtId="0" fontId="4" fillId="5" borderId="22" xfId="0" applyFont="1" applyFill="1" applyBorder="1" applyAlignment="1">
      <alignment horizontal="right"/>
    </xf>
    <xf numFmtId="0" fontId="4" fillId="5" borderId="12" xfId="0" applyFont="1" applyFill="1" applyBorder="1" applyAlignment="1">
      <alignment horizontal="right"/>
    </xf>
    <xf numFmtId="1" fontId="3" fillId="0" borderId="82" xfId="0" applyNumberFormat="1" applyFont="1" applyBorder="1" applyAlignment="1">
      <alignment horizontal="center"/>
    </xf>
    <xf numFmtId="0" fontId="4" fillId="0" borderId="6" xfId="0" applyNumberFormat="1" applyFont="1" applyFill="1" applyBorder="1" applyAlignment="1">
      <alignment horizontal="center"/>
    </xf>
    <xf numFmtId="1" fontId="3" fillId="0" borderId="14" xfId="0" applyNumberFormat="1" applyFont="1" applyFill="1" applyBorder="1" applyAlignment="1">
      <alignment horizontal="center"/>
    </xf>
    <xf numFmtId="166" fontId="4" fillId="0" borderId="8" xfId="11" applyNumberFormat="1" applyFont="1" applyFill="1" applyBorder="1" applyAlignment="1"/>
    <xf numFmtId="166" fontId="4" fillId="0" borderId="119" xfId="11" applyNumberFormat="1" applyFont="1" applyFill="1" applyBorder="1" applyAlignment="1"/>
    <xf numFmtId="166" fontId="4" fillId="0" borderId="59" xfId="11" applyNumberFormat="1" applyFont="1" applyFill="1" applyBorder="1" applyAlignment="1"/>
    <xf numFmtId="166" fontId="4" fillId="0" borderId="86" xfId="0" applyNumberFormat="1" applyFont="1" applyBorder="1" applyAlignment="1"/>
    <xf numFmtId="166" fontId="4" fillId="0" borderId="119" xfId="0" applyNumberFormat="1" applyFont="1" applyBorder="1" applyAlignment="1"/>
    <xf numFmtId="0" fontId="4" fillId="0" borderId="58" xfId="0" applyFont="1" applyFill="1" applyBorder="1" applyAlignment="1">
      <alignment horizontal="center"/>
    </xf>
    <xf numFmtId="2" fontId="4" fillId="0" borderId="91" xfId="0" applyNumberFormat="1" applyFont="1" applyFill="1" applyBorder="1" applyAlignment="1">
      <alignment horizontal="center"/>
    </xf>
    <xf numFmtId="3" fontId="3" fillId="0" borderId="60" xfId="1" applyNumberFormat="1" applyFont="1" applyFill="1" applyBorder="1"/>
    <xf numFmtId="0" fontId="4" fillId="0" borderId="26" xfId="0" applyFont="1" applyFill="1" applyBorder="1" applyAlignment="1">
      <alignment horizontal="right"/>
    </xf>
    <xf numFmtId="0" fontId="4" fillId="5" borderId="83" xfId="0" applyFont="1" applyFill="1" applyBorder="1" applyAlignment="1">
      <alignment horizontal="right"/>
    </xf>
    <xf numFmtId="0" fontId="4" fillId="5" borderId="81" xfId="0" applyFont="1" applyFill="1" applyBorder="1" applyAlignment="1">
      <alignment horizontal="right"/>
    </xf>
    <xf numFmtId="170" fontId="4" fillId="6" borderId="51" xfId="0" applyNumberFormat="1" applyFont="1" applyFill="1" applyBorder="1" applyAlignment="1">
      <alignment horizontal="right"/>
    </xf>
    <xf numFmtId="170" fontId="4" fillId="6" borderId="62" xfId="0" applyNumberFormat="1" applyFont="1" applyFill="1" applyBorder="1"/>
    <xf numFmtId="166" fontId="4" fillId="0" borderId="103" xfId="20" applyNumberFormat="1" applyFont="1" applyFill="1" applyBorder="1" applyAlignment="1">
      <alignment horizontal="right"/>
    </xf>
    <xf numFmtId="171" fontId="4" fillId="0" borderId="69" xfId="20" applyNumberFormat="1" applyFont="1" applyFill="1" applyBorder="1" applyAlignment="1">
      <alignment horizontal="center"/>
    </xf>
    <xf numFmtId="171" fontId="4" fillId="0" borderId="104" xfId="20" applyNumberFormat="1" applyFont="1" applyFill="1" applyBorder="1" applyAlignment="1">
      <alignment horizontal="center"/>
    </xf>
    <xf numFmtId="166" fontId="3" fillId="0" borderId="63" xfId="20" applyNumberFormat="1" applyFont="1" applyFill="1" applyBorder="1" applyAlignment="1">
      <alignment horizontal="right"/>
    </xf>
    <xf numFmtId="171" fontId="4" fillId="0" borderId="122" xfId="11" applyNumberFormat="1" applyFont="1" applyFill="1" applyBorder="1" applyAlignment="1">
      <alignment horizontal="right"/>
    </xf>
    <xf numFmtId="171" fontId="4" fillId="0" borderId="91" xfId="11" applyNumberFormat="1" applyFont="1" applyFill="1" applyBorder="1" applyAlignment="1">
      <alignment horizontal="right"/>
    </xf>
    <xf numFmtId="171" fontId="4" fillId="0" borderId="56" xfId="11" applyNumberFormat="1" applyFont="1" applyFill="1" applyBorder="1" applyAlignment="1">
      <alignment horizontal="right"/>
    </xf>
    <xf numFmtId="171" fontId="4" fillId="0" borderId="62" xfId="11" applyNumberFormat="1" applyFont="1" applyFill="1" applyBorder="1" applyAlignment="1">
      <alignment horizontal="right"/>
    </xf>
    <xf numFmtId="166" fontId="4" fillId="0" borderId="53" xfId="11" applyNumberFormat="1" applyFont="1" applyBorder="1" applyAlignment="1"/>
    <xf numFmtId="166" fontId="4" fillId="0" borderId="54" xfId="11" applyNumberFormat="1" applyFont="1" applyBorder="1" applyAlignment="1"/>
    <xf numFmtId="166" fontId="4" fillId="0" borderId="53" xfId="21" applyNumberFormat="1" applyFont="1" applyBorder="1" applyAlignment="1"/>
    <xf numFmtId="166" fontId="4" fillId="0" borderId="54" xfId="21" applyNumberFormat="1" applyFont="1" applyBorder="1" applyAlignment="1"/>
    <xf numFmtId="166" fontId="0" fillId="0" borderId="54" xfId="0" applyNumberFormat="1" applyFill="1" applyBorder="1" applyAlignment="1"/>
    <xf numFmtId="166" fontId="4" fillId="0" borderId="52" xfId="11" applyNumberFormat="1" applyFont="1" applyBorder="1" applyAlignment="1"/>
    <xf numFmtId="166" fontId="4" fillId="0" borderId="59" xfId="11" applyNumberFormat="1" applyFont="1" applyBorder="1" applyAlignment="1"/>
    <xf numFmtId="166" fontId="4" fillId="0" borderId="50" xfId="11" applyNumberFormat="1" applyFont="1" applyBorder="1" applyAlignment="1"/>
    <xf numFmtId="166" fontId="4" fillId="0" borderId="51" xfId="11" applyNumberFormat="1" applyFont="1" applyBorder="1" applyAlignment="1"/>
    <xf numFmtId="166" fontId="4" fillId="0" borderId="50" xfId="21" applyNumberFormat="1" applyFont="1" applyBorder="1" applyAlignment="1"/>
    <xf numFmtId="166" fontId="4" fillId="0" borderId="51" xfId="21" applyNumberFormat="1" applyFont="1" applyBorder="1" applyAlignment="1"/>
    <xf numFmtId="166" fontId="0" fillId="0" borderId="51" xfId="0" applyNumberFormat="1" applyFill="1" applyBorder="1" applyAlignment="1"/>
    <xf numFmtId="1" fontId="4" fillId="0" borderId="56" xfId="11" applyNumberFormat="1" applyFont="1" applyFill="1" applyBorder="1" applyAlignment="1">
      <alignment horizontal="right"/>
    </xf>
    <xf numFmtId="1" fontId="4" fillId="0" borderId="62" xfId="11" applyNumberFormat="1" applyFont="1" applyFill="1" applyBorder="1" applyAlignment="1">
      <alignment horizontal="right"/>
    </xf>
    <xf numFmtId="0" fontId="3" fillId="0" borderId="142" xfId="11" quotePrefix="1" applyFont="1" applyBorder="1" applyAlignment="1">
      <alignment horizontal="center"/>
    </xf>
    <xf numFmtId="0" fontId="0" fillId="0" borderId="140" xfId="0" applyBorder="1" applyAlignment="1"/>
    <xf numFmtId="0" fontId="3" fillId="0" borderId="142" xfId="11" applyFont="1" applyBorder="1" applyAlignment="1">
      <alignment horizontal="center"/>
    </xf>
    <xf numFmtId="0" fontId="0" fillId="0" borderId="140" xfId="0" applyBorder="1" applyAlignment="1">
      <alignment horizontal="center"/>
    </xf>
    <xf numFmtId="0" fontId="4" fillId="0" borderId="140" xfId="0" applyFont="1" applyBorder="1" applyAlignment="1">
      <alignment horizontal="center"/>
    </xf>
    <xf numFmtId="0" fontId="3" fillId="0" borderId="140" xfId="11" quotePrefix="1" applyFont="1" applyBorder="1" applyAlignment="1">
      <alignment horizontal="center"/>
    </xf>
    <xf numFmtId="0" fontId="3" fillId="0" borderId="137" xfId="11" applyFont="1" applyFill="1" applyBorder="1" applyAlignment="1">
      <alignment horizontal="center"/>
    </xf>
    <xf numFmtId="0" fontId="3" fillId="0" borderId="140" xfId="11" applyFont="1" applyFill="1" applyBorder="1" applyAlignment="1">
      <alignment horizontal="center"/>
    </xf>
    <xf numFmtId="0" fontId="3" fillId="0" borderId="1" xfId="0" applyFont="1" applyBorder="1" applyAlignment="1">
      <alignment horizontal="center"/>
    </xf>
    <xf numFmtId="0" fontId="0" fillId="0" borderId="1" xfId="0" applyBorder="1" applyAlignment="1"/>
    <xf numFmtId="0" fontId="3" fillId="0" borderId="140" xfId="11" applyFont="1" applyBorder="1" applyAlignment="1">
      <alignment horizontal="center"/>
    </xf>
    <xf numFmtId="0" fontId="3" fillId="0" borderId="142" xfId="11" applyFont="1" applyFill="1" applyBorder="1" applyAlignment="1">
      <alignment horizontal="center"/>
    </xf>
    <xf numFmtId="0" fontId="3" fillId="0" borderId="138" xfId="11" applyFont="1" applyFill="1" applyBorder="1" applyAlignment="1">
      <alignment horizontal="center"/>
    </xf>
    <xf numFmtId="166" fontId="4" fillId="0" borderId="8" xfId="11" applyNumberFormat="1" applyFont="1" applyFill="1" applyBorder="1" applyAlignment="1"/>
    <xf numFmtId="166" fontId="4" fillId="0" borderId="59" xfId="11" applyNumberFormat="1" applyFont="1" applyFill="1" applyBorder="1" applyAlignment="1"/>
    <xf numFmtId="0" fontId="7" fillId="0" borderId="137" xfId="0" applyFont="1" applyFill="1" applyBorder="1" applyAlignment="1">
      <alignment horizontal="center"/>
    </xf>
    <xf numFmtId="0" fontId="7" fillId="0" borderId="140" xfId="0" applyFont="1" applyFill="1" applyBorder="1" applyAlignment="1">
      <alignment horizontal="center"/>
    </xf>
    <xf numFmtId="0" fontId="3" fillId="0" borderId="137" xfId="0" applyFont="1" applyFill="1" applyBorder="1" applyAlignment="1">
      <alignment horizontal="center"/>
    </xf>
    <xf numFmtId="0" fontId="3" fillId="0" borderId="140" xfId="0" applyFont="1" applyFill="1" applyBorder="1" applyAlignment="1">
      <alignment horizontal="center"/>
    </xf>
    <xf numFmtId="0" fontId="8" fillId="0" borderId="0" xfId="0" applyFont="1" applyBorder="1" applyAlignment="1">
      <alignment horizontal="left" wrapText="1"/>
    </xf>
    <xf numFmtId="0" fontId="0" fillId="0" borderId="0" xfId="0" applyBorder="1" applyAlignment="1">
      <alignment wrapText="1"/>
    </xf>
    <xf numFmtId="0" fontId="3" fillId="0" borderId="142" xfId="0" applyFont="1" applyBorder="1" applyAlignment="1">
      <alignment horizontal="center"/>
    </xf>
    <xf numFmtId="0" fontId="3" fillId="0" borderId="140" xfId="0" applyFont="1" applyBorder="1" applyAlignment="1">
      <alignment horizontal="center"/>
    </xf>
    <xf numFmtId="0" fontId="3" fillId="0" borderId="142" xfId="0" applyFont="1" applyFill="1" applyBorder="1" applyAlignment="1">
      <alignment horizontal="center"/>
    </xf>
    <xf numFmtId="0" fontId="3" fillId="0" borderId="137" xfId="0" applyFont="1" applyBorder="1" applyAlignment="1">
      <alignment horizontal="center"/>
    </xf>
    <xf numFmtId="0" fontId="7" fillId="0" borderId="142" xfId="0" applyFont="1" applyBorder="1" applyAlignment="1">
      <alignment horizontal="center"/>
    </xf>
    <xf numFmtId="0" fontId="7" fillId="0" borderId="140" xfId="0" applyFont="1" applyBorder="1" applyAlignment="1">
      <alignment horizontal="center"/>
    </xf>
    <xf numFmtId="0" fontId="7" fillId="0" borderId="142" xfId="0" applyFont="1" applyFill="1" applyBorder="1" applyAlignment="1">
      <alignment horizontal="center"/>
    </xf>
    <xf numFmtId="0" fontId="7" fillId="0" borderId="137" xfId="0" applyFont="1" applyBorder="1" applyAlignment="1">
      <alignment horizontal="center"/>
    </xf>
    <xf numFmtId="166" fontId="4" fillId="0" borderId="119" xfId="11" applyNumberFormat="1" applyFont="1" applyFill="1" applyBorder="1" applyAlignment="1"/>
    <xf numFmtId="0" fontId="7" fillId="0" borderId="138" xfId="0" applyFont="1" applyFill="1" applyBorder="1" applyAlignment="1">
      <alignment horizontal="center"/>
    </xf>
    <xf numFmtId="0" fontId="3" fillId="0" borderId="138" xfId="0" applyFont="1" applyFill="1" applyBorder="1" applyAlignment="1">
      <alignment horizontal="center"/>
    </xf>
    <xf numFmtId="0" fontId="3" fillId="0" borderId="139" xfId="0" applyFont="1" applyFill="1" applyBorder="1" applyAlignment="1">
      <alignment horizontal="center"/>
    </xf>
    <xf numFmtId="0" fontId="3" fillId="0" borderId="92" xfId="0" applyFont="1" applyFill="1" applyBorder="1" applyAlignment="1">
      <alignment horizontal="center"/>
    </xf>
    <xf numFmtId="0" fontId="0" fillId="0" borderId="138" xfId="0" applyBorder="1" applyAlignment="1">
      <alignment horizontal="center"/>
    </xf>
    <xf numFmtId="0" fontId="3" fillId="0" borderId="143" xfId="0" applyFont="1" applyFill="1" applyBorder="1" applyAlignment="1">
      <alignment horizontal="center"/>
    </xf>
    <xf numFmtId="0" fontId="3" fillId="0" borderId="141" xfId="0" applyFont="1" applyFill="1" applyBorder="1" applyAlignment="1">
      <alignment horizontal="center"/>
    </xf>
    <xf numFmtId="166" fontId="4" fillId="0" borderId="8" xfId="11" applyNumberFormat="1" applyFont="1" applyBorder="1" applyAlignment="1"/>
    <xf numFmtId="166" fontId="4" fillId="0" borderId="86" xfId="0" applyNumberFormat="1" applyFont="1" applyBorder="1" applyAlignment="1">
      <alignment horizontal="right"/>
    </xf>
    <xf numFmtId="166" fontId="4" fillId="0" borderId="119" xfId="0" applyNumberFormat="1" applyFont="1" applyBorder="1" applyAlignment="1">
      <alignment horizontal="right"/>
    </xf>
    <xf numFmtId="0" fontId="3" fillId="0" borderId="75" xfId="0" applyFont="1" applyBorder="1" applyAlignment="1">
      <alignment horizontal="center"/>
    </xf>
    <xf numFmtId="0" fontId="7" fillId="0" borderId="66" xfId="0" applyFont="1" applyBorder="1" applyAlignment="1"/>
    <xf numFmtId="0" fontId="7" fillId="0" borderId="45" xfId="0" applyFont="1" applyBorder="1" applyAlignment="1">
      <alignment horizontal="center"/>
    </xf>
    <xf numFmtId="0" fontId="7" fillId="0" borderId="138" xfId="0" applyFont="1" applyBorder="1" applyAlignment="1"/>
    <xf numFmtId="0" fontId="3" fillId="0" borderId="45" xfId="0" applyFont="1" applyBorder="1" applyAlignment="1">
      <alignment horizontal="center"/>
    </xf>
    <xf numFmtId="1" fontId="4" fillId="0" borderId="122" xfId="11" applyNumberFormat="1" applyFont="1" applyFill="1" applyBorder="1" applyAlignment="1">
      <alignment horizontal="right"/>
    </xf>
    <xf numFmtId="1" fontId="4" fillId="0" borderId="91" xfId="11" applyNumberFormat="1" applyFont="1" applyFill="1" applyBorder="1" applyAlignment="1">
      <alignment horizontal="right"/>
    </xf>
    <xf numFmtId="3" fontId="4" fillId="0" borderId="56" xfId="11" applyNumberFormat="1" applyFont="1" applyFill="1" applyBorder="1" applyAlignment="1">
      <alignment horizontal="right"/>
    </xf>
    <xf numFmtId="3" fontId="4" fillId="0" borderId="62" xfId="11" applyNumberFormat="1" applyFont="1" applyFill="1" applyBorder="1" applyAlignment="1">
      <alignment horizontal="right"/>
    </xf>
    <xf numFmtId="2" fontId="4" fillId="0" borderId="56" xfId="11" applyNumberFormat="1" applyFont="1" applyFill="1" applyBorder="1" applyAlignment="1">
      <alignment horizontal="right"/>
    </xf>
    <xf numFmtId="2" fontId="4" fillId="0" borderId="62" xfId="11" applyNumberFormat="1" applyFont="1" applyFill="1" applyBorder="1" applyAlignment="1">
      <alignment horizontal="right"/>
    </xf>
    <xf numFmtId="0" fontId="3" fillId="0" borderId="66" xfId="0" applyFont="1" applyBorder="1" applyAlignment="1">
      <alignment horizontal="center"/>
    </xf>
    <xf numFmtId="0" fontId="3" fillId="0" borderId="99" xfId="0" applyFont="1" applyBorder="1" applyAlignment="1">
      <alignment horizontal="center"/>
    </xf>
    <xf numFmtId="0" fontId="3" fillId="0" borderId="69" xfId="0" applyFont="1" applyBorder="1" applyAlignment="1">
      <alignment horizontal="center"/>
    </xf>
    <xf numFmtId="0" fontId="3" fillId="0" borderId="138" xfId="0" applyFont="1" applyBorder="1" applyAlignment="1">
      <alignment horizontal="center"/>
    </xf>
    <xf numFmtId="0" fontId="3" fillId="0" borderId="5" xfId="0" applyFont="1" applyFill="1" applyBorder="1" applyAlignment="1">
      <alignment horizontal="center"/>
    </xf>
    <xf numFmtId="0" fontId="3" fillId="0" borderId="3" xfId="0" applyFont="1" applyFill="1" applyBorder="1" applyAlignment="1">
      <alignment horizontal="center"/>
    </xf>
    <xf numFmtId="0" fontId="3" fillId="0" borderId="137" xfId="11" applyFont="1" applyBorder="1" applyAlignment="1">
      <alignment horizontal="center"/>
    </xf>
    <xf numFmtId="171" fontId="4" fillId="0" borderId="130" xfId="11" applyNumberFormat="1" applyFont="1" applyFill="1" applyBorder="1" applyAlignment="1">
      <alignment horizontal="right"/>
    </xf>
    <xf numFmtId="171" fontId="4" fillId="0" borderId="90" xfId="11" applyNumberFormat="1" applyFont="1" applyFill="1" applyBorder="1" applyAlignment="1">
      <alignment horizontal="right"/>
    </xf>
    <xf numFmtId="0" fontId="3" fillId="0" borderId="145" xfId="0" applyFont="1" applyFill="1" applyBorder="1" applyAlignment="1">
      <alignment horizontal="center"/>
    </xf>
    <xf numFmtId="0" fontId="3" fillId="0" borderId="146" xfId="0" applyFont="1" applyFill="1" applyBorder="1" applyAlignment="1">
      <alignment horizontal="center"/>
    </xf>
    <xf numFmtId="0" fontId="3" fillId="0" borderId="144" xfId="11" applyFont="1" applyBorder="1" applyAlignment="1">
      <alignment horizontal="center"/>
    </xf>
    <xf numFmtId="166" fontId="4" fillId="0" borderId="52" xfId="11" applyNumberFormat="1" applyFont="1" applyFill="1" applyBorder="1" applyAlignment="1"/>
    <xf numFmtId="0" fontId="3" fillId="0" borderId="144" xfId="0" applyFont="1" applyFill="1" applyBorder="1" applyAlignment="1">
      <alignment horizontal="center"/>
    </xf>
    <xf numFmtId="0" fontId="3" fillId="0" borderId="139" xfId="0" applyFont="1" applyBorder="1" applyAlignment="1">
      <alignment horizontal="center"/>
    </xf>
    <xf numFmtId="0" fontId="3" fillId="0" borderId="141" xfId="0" applyFont="1" applyBorder="1" applyAlignment="1">
      <alignment horizontal="center"/>
    </xf>
    <xf numFmtId="0" fontId="3" fillId="0" borderId="147" xfId="0" applyFont="1" applyFill="1" applyBorder="1" applyAlignment="1">
      <alignment horizontal="center"/>
    </xf>
    <xf numFmtId="0" fontId="3" fillId="0" borderId="92" xfId="0" applyFont="1" applyBorder="1" applyAlignment="1">
      <alignment horizontal="center"/>
    </xf>
    <xf numFmtId="0" fontId="3" fillId="0" borderId="143" xfId="0" applyFont="1" applyBorder="1" applyAlignment="1">
      <alignment horizontal="center"/>
    </xf>
    <xf numFmtId="0" fontId="8" fillId="0" borderId="0" xfId="0" applyFont="1" applyBorder="1" applyAlignment="1"/>
    <xf numFmtId="0" fontId="0" fillId="0" borderId="0" xfId="0" applyAlignment="1"/>
    <xf numFmtId="0" fontId="0" fillId="0" borderId="140" xfId="0" applyFill="1" applyBorder="1" applyAlignment="1">
      <alignment horizontal="center"/>
    </xf>
    <xf numFmtId="0" fontId="0" fillId="0" borderId="138" xfId="0" applyFill="1" applyBorder="1" applyAlignment="1">
      <alignment horizontal="center"/>
    </xf>
    <xf numFmtId="3" fontId="4" fillId="0" borderId="122" xfId="11" applyNumberFormat="1" applyFont="1" applyFill="1" applyBorder="1" applyAlignment="1">
      <alignment horizontal="right"/>
    </xf>
    <xf numFmtId="3" fontId="4" fillId="0" borderId="91" xfId="11" applyNumberFormat="1" applyFont="1" applyFill="1" applyBorder="1" applyAlignment="1">
      <alignment horizontal="right"/>
    </xf>
    <xf numFmtId="166" fontId="4" fillId="0" borderId="48" xfId="11" applyNumberFormat="1" applyFont="1" applyBorder="1" applyAlignment="1"/>
    <xf numFmtId="166" fontId="0" fillId="0" borderId="49" xfId="0" applyNumberFormat="1" applyBorder="1" applyAlignment="1"/>
    <xf numFmtId="166" fontId="4" fillId="0" borderId="57" xfId="21" applyNumberFormat="1" applyFont="1" applyFill="1" applyBorder="1" applyAlignment="1"/>
    <xf numFmtId="166" fontId="0" fillId="0" borderId="58" xfId="0" applyNumberFormat="1" applyFill="1" applyBorder="1" applyAlignment="1"/>
    <xf numFmtId="166" fontId="0" fillId="0" borderId="54" xfId="0" applyNumberFormat="1" applyBorder="1" applyAlignment="1"/>
    <xf numFmtId="166" fontId="4" fillId="0" borderId="56" xfId="21" applyNumberFormat="1" applyFont="1" applyFill="1" applyBorder="1" applyAlignment="1"/>
    <xf numFmtId="166" fontId="0" fillId="0" borderId="62" xfId="0" applyNumberFormat="1" applyFill="1" applyBorder="1" applyAlignment="1"/>
    <xf numFmtId="0" fontId="3" fillId="0" borderId="100" xfId="0" applyFont="1" applyBorder="1" applyAlignment="1">
      <alignment horizontal="center"/>
    </xf>
    <xf numFmtId="0" fontId="3" fillId="0" borderId="101" xfId="0" applyFont="1" applyBorder="1" applyAlignment="1">
      <alignment horizontal="center"/>
    </xf>
  </cellXfs>
  <cellStyles count="23">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HEADING1" xfId="9"/>
    <cellStyle name="HEADING2" xfId="10"/>
    <cellStyle name="Normal" xfId="0" builtinId="0"/>
    <cellStyle name="Normal_Accounting" xfId="11"/>
    <cellStyle name="Normal_Ag_Comm" xfId="12"/>
    <cellStyle name="Normal_Ag_Econ" xfId="13"/>
    <cellStyle name="Normal_Agronomy" xfId="14"/>
    <cellStyle name="Normal_Animal_Sci" xfId="15"/>
    <cellStyle name="Normal_Entomology" xfId="16"/>
    <cellStyle name="Normal_Grain_Sci" xfId="17"/>
    <cellStyle name="Normal_Horticulture" xfId="18"/>
    <cellStyle name="Normal_Plant_Path" xfId="19"/>
    <cellStyle name="Percent" xfId="20" builtinId="5"/>
    <cellStyle name="Percent_Accounting" xfId="21"/>
    <cellStyle name="Total" xfId="2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6"/>
  <sheetViews>
    <sheetView view="pageBreakPreview" zoomScaleNormal="100" zoomScaleSheetLayoutView="100" workbookViewId="0">
      <pane xSplit="2" ySplit="1" topLeftCell="O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1.45" customHeight="1" x14ac:dyDescent="0.2"/>
  <cols>
    <col min="1" max="1" width="3.7109375" style="1" customWidth="1"/>
    <col min="2" max="2" width="41" style="1" customWidth="1"/>
    <col min="3" max="3" width="8.5703125" hidden="1" customWidth="1"/>
    <col min="4" max="4" width="11.140625" hidden="1" customWidth="1"/>
    <col min="5" max="5" width="9.28515625" hidden="1" customWidth="1"/>
    <col min="6" max="6" width="11.140625" hidden="1" customWidth="1"/>
    <col min="7" max="7" width="7.85546875" style="223" hidden="1" customWidth="1"/>
    <col min="8" max="8" width="11.140625" style="223" hidden="1" customWidth="1"/>
    <col min="9" max="9" width="8.5703125" style="223" hidden="1" customWidth="1"/>
    <col min="10" max="10" width="11.140625" style="223" hidden="1" customWidth="1"/>
    <col min="11" max="11" width="8.42578125" style="222" hidden="1" customWidth="1"/>
    <col min="12" max="12" width="11.140625" style="222" hidden="1" customWidth="1"/>
    <col min="13" max="13" width="7.85546875" style="222" hidden="1" customWidth="1"/>
    <col min="14" max="14" width="11.140625" style="222" hidden="1" customWidth="1"/>
    <col min="15" max="15" width="7.85546875" style="24" customWidth="1"/>
    <col min="16" max="16" width="11.140625" style="235" customWidth="1"/>
    <col min="17" max="17" width="7.85546875" style="24" customWidth="1"/>
    <col min="18" max="18" width="11.140625" style="235" customWidth="1"/>
    <col min="19" max="19" width="7.85546875" style="24" customWidth="1"/>
    <col min="20" max="20" width="11.140625" style="235" customWidth="1"/>
    <col min="21" max="21" width="7.85546875" style="24" customWidth="1"/>
    <col min="22" max="22" width="11.140625" style="235" customWidth="1"/>
    <col min="23" max="23" width="7.85546875" style="24" customWidth="1"/>
    <col min="24" max="24" width="11.140625" style="235" customWidth="1"/>
    <col min="25" max="25" width="7.85546875" style="24" customWidth="1"/>
    <col min="26" max="26" width="11.140625" style="235" customWidth="1"/>
    <col min="27" max="27" width="3.5703125" style="1" customWidth="1"/>
    <col min="28" max="28" width="8" style="1" customWidth="1"/>
    <col min="29" max="29" width="10.85546875" style="1" customWidth="1"/>
    <col min="30" max="16384" width="10.28515625" style="1"/>
  </cols>
  <sheetData>
    <row r="1" spans="1:29" ht="15.75" customHeight="1" x14ac:dyDescent="0.25">
      <c r="A1" s="1100" t="s">
        <v>245</v>
      </c>
      <c r="B1" s="1100"/>
      <c r="C1" s="1100"/>
      <c r="D1" s="1100"/>
      <c r="E1" s="1100"/>
      <c r="F1" s="1100"/>
      <c r="G1" s="1100"/>
      <c r="H1" s="1100"/>
      <c r="I1" s="1101"/>
      <c r="J1" s="1101"/>
      <c r="K1" s="1103"/>
      <c r="L1" s="1103"/>
      <c r="M1" s="1103"/>
      <c r="N1" s="1103"/>
      <c r="O1" s="1171"/>
      <c r="P1" s="1172"/>
      <c r="Q1" s="1171"/>
      <c r="R1" s="1172"/>
      <c r="S1" s="1171"/>
      <c r="T1" s="1172"/>
      <c r="U1" s="1171"/>
      <c r="V1" s="1172"/>
      <c r="W1" s="1171"/>
      <c r="X1" s="1172"/>
      <c r="Y1" s="1171"/>
      <c r="Z1" s="1172"/>
      <c r="AA1" s="1102"/>
      <c r="AB1" s="1102"/>
      <c r="AC1" s="1102"/>
    </row>
    <row r="2" spans="1:29" ht="9" customHeight="1" x14ac:dyDescent="0.2">
      <c r="C2" s="1"/>
      <c r="D2" s="1"/>
      <c r="E2" s="1"/>
      <c r="F2" s="1"/>
      <c r="G2" s="222"/>
      <c r="H2" s="222"/>
      <c r="I2" s="222"/>
      <c r="J2" s="222"/>
    </row>
    <row r="3" spans="1:29" ht="11.45" customHeight="1" x14ac:dyDescent="0.2">
      <c r="A3" s="3" t="s">
        <v>29</v>
      </c>
      <c r="C3" s="1"/>
      <c r="D3" s="1"/>
      <c r="E3" s="1"/>
      <c r="F3" s="1"/>
      <c r="G3" s="222"/>
      <c r="H3" s="222"/>
      <c r="I3" s="222"/>
      <c r="J3" s="222"/>
    </row>
    <row r="4" spans="1:29" ht="9" customHeight="1" x14ac:dyDescent="0.2">
      <c r="C4" s="1"/>
      <c r="D4" s="1"/>
      <c r="E4" s="1"/>
      <c r="F4" s="1"/>
      <c r="G4" s="222"/>
      <c r="H4" s="222"/>
      <c r="I4" s="222"/>
      <c r="J4" s="222"/>
    </row>
    <row r="5" spans="1:29" ht="11.45" customHeight="1" x14ac:dyDescent="0.2">
      <c r="A5" s="3" t="s">
        <v>55</v>
      </c>
      <c r="C5" s="1"/>
      <c r="D5" s="1"/>
      <c r="E5" s="1"/>
      <c r="F5" s="1"/>
      <c r="G5" s="222"/>
      <c r="H5" s="222"/>
      <c r="I5" s="222"/>
      <c r="J5" s="222"/>
    </row>
    <row r="6" spans="1:29" ht="10.5" customHeight="1" thickBot="1" x14ac:dyDescent="0.25">
      <c r="A6" s="3"/>
      <c r="C6" s="1"/>
      <c r="D6" s="1"/>
      <c r="E6" s="1"/>
      <c r="F6" s="1"/>
      <c r="G6" s="222"/>
      <c r="H6" s="222"/>
      <c r="I6" s="222"/>
      <c r="J6" s="222"/>
      <c r="AB6" s="71"/>
      <c r="AC6" s="71"/>
    </row>
    <row r="7" spans="1:29" ht="12" customHeight="1" thickTop="1" x14ac:dyDescent="0.2">
      <c r="B7" s="38"/>
      <c r="C7" s="28" t="s">
        <v>33</v>
      </c>
      <c r="D7" s="29"/>
      <c r="E7" s="8" t="s">
        <v>34</v>
      </c>
      <c r="F7" s="5"/>
      <c r="G7" s="256" t="s">
        <v>106</v>
      </c>
      <c r="H7" s="418"/>
      <c r="I7" s="405" t="s">
        <v>118</v>
      </c>
      <c r="J7" s="469"/>
      <c r="K7" s="1512" t="s">
        <v>121</v>
      </c>
      <c r="L7" s="1509"/>
      <c r="M7" s="1512" t="s">
        <v>127</v>
      </c>
      <c r="N7" s="1513"/>
      <c r="O7" s="1509" t="s">
        <v>174</v>
      </c>
      <c r="P7" s="1513"/>
      <c r="Q7" s="1509" t="s">
        <v>193</v>
      </c>
      <c r="R7" s="1513"/>
      <c r="S7" s="1509" t="s">
        <v>218</v>
      </c>
      <c r="T7" s="1513"/>
      <c r="U7" s="1509" t="s">
        <v>221</v>
      </c>
      <c r="V7" s="1513"/>
      <c r="W7" s="1509" t="s">
        <v>232</v>
      </c>
      <c r="X7" s="1513"/>
      <c r="Y7" s="1509" t="s">
        <v>241</v>
      </c>
      <c r="Z7" s="1510"/>
      <c r="AB7" s="1517" t="s">
        <v>134</v>
      </c>
      <c r="AC7" s="1518"/>
    </row>
    <row r="8" spans="1:29" ht="11.45" customHeight="1" x14ac:dyDescent="0.2">
      <c r="B8" s="39"/>
      <c r="C8" s="30" t="s">
        <v>1</v>
      </c>
      <c r="D8" s="31" t="s">
        <v>2</v>
      </c>
      <c r="E8" s="9" t="s">
        <v>1</v>
      </c>
      <c r="F8" s="6" t="s">
        <v>2</v>
      </c>
      <c r="G8" s="257" t="s">
        <v>1</v>
      </c>
      <c r="H8" s="415" t="s">
        <v>2</v>
      </c>
      <c r="I8" s="402" t="s">
        <v>1</v>
      </c>
      <c r="J8" s="470" t="s">
        <v>2</v>
      </c>
      <c r="K8" s="257" t="s">
        <v>1</v>
      </c>
      <c r="L8" s="470" t="s">
        <v>2</v>
      </c>
      <c r="M8" s="257" t="s">
        <v>1</v>
      </c>
      <c r="N8" s="415" t="s">
        <v>2</v>
      </c>
      <c r="O8" s="402" t="s">
        <v>1</v>
      </c>
      <c r="P8" s="415" t="s">
        <v>2</v>
      </c>
      <c r="Q8" s="402" t="s">
        <v>1</v>
      </c>
      <c r="R8" s="415" t="s">
        <v>2</v>
      </c>
      <c r="S8" s="402" t="s">
        <v>1</v>
      </c>
      <c r="T8" s="415" t="s">
        <v>2</v>
      </c>
      <c r="U8" s="402" t="s">
        <v>1</v>
      </c>
      <c r="V8" s="415" t="s">
        <v>2</v>
      </c>
      <c r="W8" s="402" t="s">
        <v>1</v>
      </c>
      <c r="X8" s="415" t="s">
        <v>2</v>
      </c>
      <c r="Y8" s="402" t="s">
        <v>1</v>
      </c>
      <c r="Z8" s="224" t="s">
        <v>2</v>
      </c>
      <c r="AA8" s="657"/>
      <c r="AB8" s="419" t="s">
        <v>1</v>
      </c>
      <c r="AC8" s="225" t="s">
        <v>2</v>
      </c>
    </row>
    <row r="9" spans="1:29" ht="11.45" customHeight="1" thickBot="1" x14ac:dyDescent="0.25">
      <c r="B9" s="40"/>
      <c r="C9" s="561" t="s">
        <v>3</v>
      </c>
      <c r="D9" s="56" t="s">
        <v>4</v>
      </c>
      <c r="E9" s="55" t="s">
        <v>3</v>
      </c>
      <c r="F9" s="282" t="s">
        <v>4</v>
      </c>
      <c r="G9" s="283" t="s">
        <v>3</v>
      </c>
      <c r="H9" s="431" t="s">
        <v>4</v>
      </c>
      <c r="I9" s="419" t="s">
        <v>3</v>
      </c>
      <c r="J9" s="471" t="s">
        <v>4</v>
      </c>
      <c r="K9" s="283" t="s">
        <v>3</v>
      </c>
      <c r="L9" s="471" t="s">
        <v>4</v>
      </c>
      <c r="M9" s="283" t="s">
        <v>3</v>
      </c>
      <c r="N9" s="431" t="s">
        <v>4</v>
      </c>
      <c r="O9" s="419" t="s">
        <v>3</v>
      </c>
      <c r="P9" s="431" t="s">
        <v>4</v>
      </c>
      <c r="Q9" s="419" t="s">
        <v>3</v>
      </c>
      <c r="R9" s="431" t="s">
        <v>4</v>
      </c>
      <c r="S9" s="419" t="s">
        <v>3</v>
      </c>
      <c r="T9" s="431" t="s">
        <v>4</v>
      </c>
      <c r="U9" s="419" t="s">
        <v>3</v>
      </c>
      <c r="V9" s="431" t="s">
        <v>4</v>
      </c>
      <c r="W9" s="419" t="s">
        <v>3</v>
      </c>
      <c r="X9" s="431" t="s">
        <v>4</v>
      </c>
      <c r="Y9" s="419" t="s">
        <v>3</v>
      </c>
      <c r="Z9" s="225" t="s">
        <v>4</v>
      </c>
      <c r="AA9" s="657"/>
      <c r="AB9" s="650" t="s">
        <v>3</v>
      </c>
      <c r="AC9" s="651" t="s">
        <v>4</v>
      </c>
    </row>
    <row r="10" spans="1:29" s="909" customFormat="1" ht="12.75" customHeight="1" x14ac:dyDescent="0.2">
      <c r="B10" s="1136" t="s">
        <v>5</v>
      </c>
      <c r="C10" s="910"/>
      <c r="D10" s="911"/>
      <c r="E10" s="912"/>
      <c r="F10" s="913"/>
      <c r="G10" s="914"/>
      <c r="H10" s="915"/>
      <c r="I10" s="916"/>
      <c r="J10" s="917"/>
      <c r="K10" s="914"/>
      <c r="L10" s="917"/>
      <c r="M10" s="914"/>
      <c r="N10" s="915"/>
      <c r="O10" s="916"/>
      <c r="P10" s="915"/>
      <c r="Q10" s="916"/>
      <c r="R10" s="915"/>
      <c r="S10" s="916"/>
      <c r="T10" s="915"/>
      <c r="U10" s="916"/>
      <c r="V10" s="915"/>
      <c r="W10" s="916"/>
      <c r="X10" s="915"/>
      <c r="Y10" s="914"/>
      <c r="Z10" s="918"/>
      <c r="AA10" s="919"/>
      <c r="AC10" s="920"/>
    </row>
    <row r="11" spans="1:29" s="909" customFormat="1" ht="13.5" customHeight="1" x14ac:dyDescent="0.2">
      <c r="B11" s="1309" t="s">
        <v>41</v>
      </c>
      <c r="C11" s="921"/>
      <c r="D11" s="922"/>
      <c r="E11" s="923"/>
      <c r="F11" s="924"/>
      <c r="G11" s="925"/>
      <c r="H11" s="926"/>
      <c r="I11" s="927"/>
      <c r="J11" s="928"/>
      <c r="K11" s="925"/>
      <c r="L11" s="928"/>
      <c r="M11" s="925"/>
      <c r="N11" s="926"/>
      <c r="O11" s="927"/>
      <c r="P11" s="926"/>
      <c r="Q11" s="927"/>
      <c r="R11" s="926"/>
      <c r="S11" s="927"/>
      <c r="T11" s="926"/>
      <c r="U11" s="927"/>
      <c r="V11" s="926"/>
      <c r="W11" s="927"/>
      <c r="X11" s="926"/>
      <c r="Y11" s="923"/>
      <c r="Z11" s="929"/>
      <c r="AA11" s="919"/>
      <c r="AC11" s="930"/>
    </row>
    <row r="12" spans="1:29" s="909" customFormat="1" ht="13.5" customHeight="1" x14ac:dyDescent="0.2">
      <c r="B12" s="1310" t="s">
        <v>164</v>
      </c>
      <c r="C12" s="921">
        <v>47</v>
      </c>
      <c r="D12" s="922">
        <v>13</v>
      </c>
      <c r="E12" s="923">
        <f>25+2</f>
        <v>27</v>
      </c>
      <c r="F12" s="924">
        <v>9</v>
      </c>
      <c r="G12" s="925">
        <v>32</v>
      </c>
      <c r="H12" s="926">
        <v>6</v>
      </c>
      <c r="I12" s="927">
        <v>69</v>
      </c>
      <c r="J12" s="928">
        <v>14</v>
      </c>
      <c r="K12" s="925">
        <v>43</v>
      </c>
      <c r="L12" s="928">
        <f>14+2</f>
        <v>16</v>
      </c>
      <c r="M12" s="925">
        <v>58</v>
      </c>
      <c r="N12" s="926">
        <v>7</v>
      </c>
      <c r="O12" s="927">
        <v>47</v>
      </c>
      <c r="P12" s="926">
        <v>4</v>
      </c>
      <c r="Q12" s="927">
        <v>30</v>
      </c>
      <c r="R12" s="926">
        <v>18</v>
      </c>
      <c r="S12" s="927">
        <v>20</v>
      </c>
      <c r="T12" s="926">
        <v>14</v>
      </c>
      <c r="U12" s="927">
        <v>76</v>
      </c>
      <c r="V12" s="926">
        <v>20</v>
      </c>
      <c r="W12" s="927">
        <v>138</v>
      </c>
      <c r="X12" s="926">
        <v>17</v>
      </c>
      <c r="Y12" s="927">
        <v>19</v>
      </c>
      <c r="Z12" s="1392"/>
      <c r="AA12" s="919"/>
      <c r="AB12" s="931">
        <f>AVERAGE(U12,Q12,S12,Y12,W12)</f>
        <v>56.6</v>
      </c>
      <c r="AC12" s="932">
        <f>AVERAGE(V12,R12,T12,P12,X12)</f>
        <v>14.6</v>
      </c>
    </row>
    <row r="13" spans="1:29" s="909" customFormat="1" ht="13.5" customHeight="1" x14ac:dyDescent="0.2">
      <c r="B13" s="1311" t="s">
        <v>42</v>
      </c>
      <c r="C13" s="921"/>
      <c r="D13" s="922"/>
      <c r="E13" s="923"/>
      <c r="F13" s="924"/>
      <c r="G13" s="925"/>
      <c r="H13" s="926"/>
      <c r="I13" s="927"/>
      <c r="J13" s="928"/>
      <c r="K13" s="925"/>
      <c r="L13" s="928"/>
      <c r="M13" s="925"/>
      <c r="N13" s="926"/>
      <c r="O13" s="927"/>
      <c r="P13" s="926"/>
      <c r="Q13" s="927"/>
      <c r="R13" s="926"/>
      <c r="S13" s="927"/>
      <c r="T13" s="926"/>
      <c r="U13" s="927"/>
      <c r="V13" s="926"/>
      <c r="W13" s="927"/>
      <c r="X13" s="926"/>
      <c r="Y13" s="927"/>
      <c r="Z13" s="1392"/>
      <c r="AA13" s="919"/>
      <c r="AB13" s="931"/>
      <c r="AC13" s="932"/>
    </row>
    <row r="14" spans="1:29" s="909" customFormat="1" ht="13.5" customHeight="1" x14ac:dyDescent="0.2">
      <c r="B14" s="1310" t="s">
        <v>165</v>
      </c>
      <c r="C14" s="921">
        <v>36</v>
      </c>
      <c r="D14" s="922">
        <v>15</v>
      </c>
      <c r="E14" s="923">
        <v>45</v>
      </c>
      <c r="F14" s="924">
        <v>13</v>
      </c>
      <c r="G14" s="925">
        <v>46</v>
      </c>
      <c r="H14" s="926">
        <v>15</v>
      </c>
      <c r="I14" s="927">
        <f>18+45</f>
        <v>63</v>
      </c>
      <c r="J14" s="928">
        <v>12</v>
      </c>
      <c r="K14" s="925">
        <v>72</v>
      </c>
      <c r="L14" s="928">
        <f>10+1</f>
        <v>11</v>
      </c>
      <c r="M14" s="925">
        <v>95</v>
      </c>
      <c r="N14" s="926">
        <v>18</v>
      </c>
      <c r="O14" s="927">
        <v>99</v>
      </c>
      <c r="P14" s="926">
        <v>35</v>
      </c>
      <c r="Q14" s="927">
        <v>90</v>
      </c>
      <c r="R14" s="926">
        <v>23</v>
      </c>
      <c r="S14" s="927">
        <v>107</v>
      </c>
      <c r="T14" s="926">
        <v>26</v>
      </c>
      <c r="U14" s="927">
        <v>109</v>
      </c>
      <c r="V14" s="926">
        <v>28</v>
      </c>
      <c r="W14" s="927">
        <v>136</v>
      </c>
      <c r="X14" s="926">
        <v>35</v>
      </c>
      <c r="Y14" s="927">
        <v>133</v>
      </c>
      <c r="Z14" s="1392"/>
      <c r="AA14" s="919"/>
      <c r="AB14" s="931">
        <f t="shared" ref="AB14:AB16" si="0">AVERAGE(U14,Q14,S14,Y14,W14)</f>
        <v>115</v>
      </c>
      <c r="AC14" s="932">
        <f t="shared" ref="AC14:AC34" si="1">AVERAGE(V14,R14,T14,P14,X14)</f>
        <v>29.4</v>
      </c>
    </row>
    <row r="15" spans="1:29" s="909" customFormat="1" ht="13.5" customHeight="1" x14ac:dyDescent="0.2">
      <c r="B15" s="1310" t="s">
        <v>125</v>
      </c>
      <c r="C15" s="921">
        <v>17</v>
      </c>
      <c r="D15" s="922">
        <v>6</v>
      </c>
      <c r="E15" s="923">
        <v>15</v>
      </c>
      <c r="F15" s="924">
        <v>5</v>
      </c>
      <c r="G15" s="925">
        <v>9</v>
      </c>
      <c r="H15" s="926">
        <v>5</v>
      </c>
      <c r="I15" s="927">
        <f>5+4</f>
        <v>9</v>
      </c>
      <c r="J15" s="928">
        <v>4</v>
      </c>
      <c r="K15" s="925">
        <v>8</v>
      </c>
      <c r="L15" s="928">
        <v>3</v>
      </c>
      <c r="M15" s="925">
        <v>6</v>
      </c>
      <c r="N15" s="926">
        <v>1</v>
      </c>
      <c r="O15" s="927">
        <v>13</v>
      </c>
      <c r="P15" s="926">
        <v>1</v>
      </c>
      <c r="Q15" s="927">
        <v>13</v>
      </c>
      <c r="R15" s="926">
        <v>3</v>
      </c>
      <c r="S15" s="927">
        <v>13</v>
      </c>
      <c r="T15" s="926">
        <v>4</v>
      </c>
      <c r="U15" s="927">
        <v>9</v>
      </c>
      <c r="V15" s="926">
        <v>0</v>
      </c>
      <c r="W15" s="927">
        <v>7</v>
      </c>
      <c r="X15" s="926">
        <v>0</v>
      </c>
      <c r="Y15" s="927">
        <v>10</v>
      </c>
      <c r="Z15" s="1392"/>
      <c r="AA15" s="919"/>
      <c r="AB15" s="931">
        <f t="shared" si="0"/>
        <v>10.4</v>
      </c>
      <c r="AC15" s="932">
        <f t="shared" si="1"/>
        <v>1.6</v>
      </c>
    </row>
    <row r="16" spans="1:29" s="909" customFormat="1" ht="13.5" hidden="1" customHeight="1" x14ac:dyDescent="0.2">
      <c r="B16" s="1374" t="s">
        <v>223</v>
      </c>
      <c r="C16" s="921">
        <v>1</v>
      </c>
      <c r="D16" s="922"/>
      <c r="E16" s="923"/>
      <c r="F16" s="924">
        <v>1</v>
      </c>
      <c r="G16" s="925"/>
      <c r="H16" s="926">
        <v>1</v>
      </c>
      <c r="I16" s="927">
        <v>3</v>
      </c>
      <c r="J16" s="928"/>
      <c r="K16" s="925">
        <v>1</v>
      </c>
      <c r="L16" s="928"/>
      <c r="M16" s="925">
        <v>1</v>
      </c>
      <c r="N16" s="926">
        <v>1</v>
      </c>
      <c r="O16" s="927">
        <v>1</v>
      </c>
      <c r="P16" s="926">
        <v>0</v>
      </c>
      <c r="Q16" s="927">
        <v>5</v>
      </c>
      <c r="R16" s="926">
        <v>1</v>
      </c>
      <c r="S16" s="927">
        <v>0</v>
      </c>
      <c r="T16" s="926">
        <v>2</v>
      </c>
      <c r="U16" s="927">
        <v>0</v>
      </c>
      <c r="V16" s="926">
        <v>0</v>
      </c>
      <c r="W16" s="927">
        <v>0</v>
      </c>
      <c r="X16" s="926">
        <v>0</v>
      </c>
      <c r="Y16" s="927">
        <v>0</v>
      </c>
      <c r="Z16" s="1392"/>
      <c r="AA16" s="919"/>
      <c r="AB16" s="931">
        <f t="shared" si="0"/>
        <v>1</v>
      </c>
      <c r="AC16" s="932">
        <f t="shared" si="1"/>
        <v>0.6</v>
      </c>
    </row>
    <row r="17" spans="2:30" s="909" customFormat="1" ht="13.5" customHeight="1" x14ac:dyDescent="0.2">
      <c r="B17" s="1311" t="s">
        <v>43</v>
      </c>
      <c r="C17" s="921"/>
      <c r="D17" s="922"/>
      <c r="E17" s="923"/>
      <c r="F17" s="924"/>
      <c r="G17" s="925"/>
      <c r="H17" s="926"/>
      <c r="I17" s="927"/>
      <c r="J17" s="928"/>
      <c r="K17" s="925"/>
      <c r="L17" s="928"/>
      <c r="M17" s="925"/>
      <c r="N17" s="926"/>
      <c r="O17" s="927"/>
      <c r="P17" s="926"/>
      <c r="Q17" s="927"/>
      <c r="R17" s="926"/>
      <c r="S17" s="927"/>
      <c r="T17" s="926"/>
      <c r="U17" s="927"/>
      <c r="V17" s="926"/>
      <c r="W17" s="927"/>
      <c r="X17" s="926"/>
      <c r="Y17" s="927"/>
      <c r="Z17" s="1392"/>
      <c r="AA17" s="919"/>
      <c r="AB17" s="931"/>
      <c r="AC17" s="932"/>
    </row>
    <row r="18" spans="2:30" s="909" customFormat="1" ht="13.5" customHeight="1" x14ac:dyDescent="0.2">
      <c r="B18" s="1310" t="s">
        <v>166</v>
      </c>
      <c r="C18" s="921">
        <v>6</v>
      </c>
      <c r="D18" s="922">
        <v>3</v>
      </c>
      <c r="E18" s="923">
        <v>5</v>
      </c>
      <c r="F18" s="924">
        <v>3</v>
      </c>
      <c r="G18" s="925">
        <v>3</v>
      </c>
      <c r="H18" s="926">
        <v>1</v>
      </c>
      <c r="I18" s="927">
        <v>1</v>
      </c>
      <c r="J18" s="928">
        <v>2</v>
      </c>
      <c r="K18" s="925">
        <v>3</v>
      </c>
      <c r="L18" s="928">
        <v>1</v>
      </c>
      <c r="M18" s="925">
        <v>0</v>
      </c>
      <c r="N18" s="926">
        <v>0</v>
      </c>
      <c r="O18" s="927">
        <v>0</v>
      </c>
      <c r="P18" s="926">
        <v>0</v>
      </c>
      <c r="Q18" s="927">
        <v>0</v>
      </c>
      <c r="R18" s="926">
        <v>0</v>
      </c>
      <c r="S18" s="927">
        <v>0</v>
      </c>
      <c r="T18" s="926">
        <v>0</v>
      </c>
      <c r="U18" s="927">
        <v>1</v>
      </c>
      <c r="V18" s="926">
        <v>1</v>
      </c>
      <c r="W18" s="927">
        <v>2</v>
      </c>
      <c r="X18" s="926">
        <v>0</v>
      </c>
      <c r="Y18" s="927">
        <v>2</v>
      </c>
      <c r="Z18" s="1392"/>
      <c r="AA18" s="919"/>
      <c r="AB18" s="931">
        <f t="shared" ref="AB18:AB19" si="2">AVERAGE(U18,Q18,S18,Y18,W18)</f>
        <v>1</v>
      </c>
      <c r="AC18" s="932">
        <f t="shared" si="1"/>
        <v>0.2</v>
      </c>
    </row>
    <row r="19" spans="2:30" s="909" customFormat="1" ht="13.5" customHeight="1" x14ac:dyDescent="0.2">
      <c r="B19" s="1310" t="s">
        <v>28</v>
      </c>
      <c r="C19" s="921">
        <v>9</v>
      </c>
      <c r="D19" s="922">
        <v>3</v>
      </c>
      <c r="E19" s="923">
        <v>12</v>
      </c>
      <c r="F19" s="924">
        <v>0</v>
      </c>
      <c r="G19" s="925">
        <v>12</v>
      </c>
      <c r="H19" s="926">
        <v>1</v>
      </c>
      <c r="I19" s="927">
        <v>12</v>
      </c>
      <c r="J19" s="928">
        <v>3</v>
      </c>
      <c r="K19" s="925">
        <v>10</v>
      </c>
      <c r="L19" s="928">
        <v>2</v>
      </c>
      <c r="M19" s="925">
        <v>9</v>
      </c>
      <c r="N19" s="926">
        <v>2</v>
      </c>
      <c r="O19" s="927">
        <v>6</v>
      </c>
      <c r="P19" s="926">
        <v>4</v>
      </c>
      <c r="Q19" s="927">
        <v>9</v>
      </c>
      <c r="R19" s="926">
        <v>2</v>
      </c>
      <c r="S19" s="927">
        <v>13</v>
      </c>
      <c r="T19" s="926">
        <v>0</v>
      </c>
      <c r="U19" s="927">
        <v>13</v>
      </c>
      <c r="V19" s="926">
        <v>1</v>
      </c>
      <c r="W19" s="927">
        <v>16</v>
      </c>
      <c r="X19" s="926">
        <v>1</v>
      </c>
      <c r="Y19" s="927">
        <v>20</v>
      </c>
      <c r="Z19" s="1392"/>
      <c r="AA19" s="919"/>
      <c r="AB19" s="931">
        <f t="shared" si="2"/>
        <v>14.2</v>
      </c>
      <c r="AC19" s="932">
        <f t="shared" si="1"/>
        <v>1.6</v>
      </c>
    </row>
    <row r="20" spans="2:30" s="909" customFormat="1" ht="13.5" customHeight="1" x14ac:dyDescent="0.2">
      <c r="B20" s="1311" t="s">
        <v>247</v>
      </c>
      <c r="C20" s="921"/>
      <c r="D20" s="922"/>
      <c r="E20" s="923"/>
      <c r="F20" s="924"/>
      <c r="G20" s="925"/>
      <c r="H20" s="926"/>
      <c r="I20" s="927"/>
      <c r="J20" s="928"/>
      <c r="K20" s="925"/>
      <c r="L20" s="928"/>
      <c r="M20" s="925"/>
      <c r="N20" s="926"/>
      <c r="O20" s="927"/>
      <c r="P20" s="926"/>
      <c r="Q20" s="927"/>
      <c r="R20" s="926"/>
      <c r="S20" s="927"/>
      <c r="T20" s="926"/>
      <c r="U20" s="927"/>
      <c r="V20" s="926"/>
      <c r="W20" s="927"/>
      <c r="X20" s="926"/>
      <c r="Y20" s="927"/>
      <c r="Z20" s="1392"/>
      <c r="AA20" s="919"/>
      <c r="AB20" s="931"/>
      <c r="AC20" s="932"/>
    </row>
    <row r="21" spans="2:30" s="909" customFormat="1" ht="13.5" customHeight="1" x14ac:dyDescent="0.2">
      <c r="B21" s="1310" t="s">
        <v>54</v>
      </c>
      <c r="C21" s="925">
        <v>69</v>
      </c>
      <c r="D21" s="933" t="s">
        <v>22</v>
      </c>
      <c r="E21" s="927">
        <v>71</v>
      </c>
      <c r="F21" s="933" t="s">
        <v>22</v>
      </c>
      <c r="G21" s="925">
        <v>78</v>
      </c>
      <c r="H21" s="933" t="s">
        <v>119</v>
      </c>
      <c r="I21" s="927">
        <f>61+5+12</f>
        <v>78</v>
      </c>
      <c r="J21" s="933" t="s">
        <v>119</v>
      </c>
      <c r="K21" s="925">
        <v>71</v>
      </c>
      <c r="L21" s="934" t="s">
        <v>119</v>
      </c>
      <c r="M21" s="925">
        <v>65</v>
      </c>
      <c r="N21" s="933" t="s">
        <v>119</v>
      </c>
      <c r="O21" s="927">
        <v>76</v>
      </c>
      <c r="P21" s="944">
        <v>26</v>
      </c>
      <c r="Q21" s="945">
        <v>83</v>
      </c>
      <c r="R21" s="1375">
        <v>27</v>
      </c>
      <c r="S21" s="945">
        <v>68</v>
      </c>
      <c r="T21" s="1375">
        <v>26</v>
      </c>
      <c r="U21" s="945">
        <v>72</v>
      </c>
      <c r="V21" s="1375">
        <v>26</v>
      </c>
      <c r="W21" s="945">
        <v>58</v>
      </c>
      <c r="X21" s="1375">
        <v>27</v>
      </c>
      <c r="Y21" s="927">
        <v>62</v>
      </c>
      <c r="Z21" s="1393"/>
      <c r="AA21" s="919"/>
      <c r="AB21" s="931">
        <f t="shared" ref="AB21:AB22" si="3">AVERAGE(U21,Q21,S21,Y21,W21)</f>
        <v>68.599999999999994</v>
      </c>
      <c r="AC21" s="932">
        <f t="shared" si="1"/>
        <v>26.4</v>
      </c>
    </row>
    <row r="22" spans="2:30" s="909" customFormat="1" ht="13.5" customHeight="1" x14ac:dyDescent="0.2">
      <c r="B22" s="1374" t="s">
        <v>224</v>
      </c>
      <c r="C22" s="921"/>
      <c r="D22" s="1372"/>
      <c r="E22" s="923"/>
      <c r="F22" s="1373"/>
      <c r="G22" s="925"/>
      <c r="H22" s="933"/>
      <c r="I22" s="1376"/>
      <c r="J22" s="1377"/>
      <c r="K22" s="1378"/>
      <c r="L22" s="1377"/>
      <c r="M22" s="1378"/>
      <c r="N22" s="1379"/>
      <c r="O22" s="1376"/>
      <c r="P22" s="1380"/>
      <c r="Q22" s="927">
        <v>0</v>
      </c>
      <c r="R22" s="1375">
        <v>1</v>
      </c>
      <c r="S22" s="927">
        <v>0</v>
      </c>
      <c r="T22" s="1375">
        <v>1</v>
      </c>
      <c r="U22" s="927">
        <v>0</v>
      </c>
      <c r="V22" s="1375">
        <v>0</v>
      </c>
      <c r="W22" s="927">
        <v>0</v>
      </c>
      <c r="X22" s="1375">
        <v>0</v>
      </c>
      <c r="Y22" s="927">
        <v>0</v>
      </c>
      <c r="Z22" s="1394"/>
      <c r="AA22" s="919"/>
      <c r="AB22" s="931">
        <f t="shared" si="3"/>
        <v>0</v>
      </c>
      <c r="AC22" s="932">
        <f t="shared" si="1"/>
        <v>0.5</v>
      </c>
    </row>
    <row r="23" spans="2:30" s="909" customFormat="1" ht="13.5" customHeight="1" x14ac:dyDescent="0.2">
      <c r="B23" s="1311" t="s">
        <v>129</v>
      </c>
      <c r="C23" s="921"/>
      <c r="D23" s="922"/>
      <c r="E23" s="923"/>
      <c r="F23" s="924"/>
      <c r="G23" s="925"/>
      <c r="H23" s="926"/>
      <c r="I23" s="927"/>
      <c r="J23" s="928"/>
      <c r="K23" s="925"/>
      <c r="L23" s="928"/>
      <c r="M23" s="925"/>
      <c r="N23" s="922"/>
      <c r="O23" s="927"/>
      <c r="P23" s="926"/>
      <c r="Q23" s="927"/>
      <c r="R23" s="926"/>
      <c r="S23" s="927"/>
      <c r="T23" s="926"/>
      <c r="U23" s="927"/>
      <c r="V23" s="926"/>
      <c r="W23" s="927"/>
      <c r="X23" s="926"/>
      <c r="Y23" s="927"/>
      <c r="Z23" s="1392"/>
      <c r="AA23" s="919"/>
      <c r="AB23" s="931"/>
      <c r="AC23" s="932"/>
    </row>
    <row r="24" spans="2:30" s="909" customFormat="1" ht="13.5" customHeight="1" x14ac:dyDescent="0.2">
      <c r="B24" s="1312" t="s">
        <v>164</v>
      </c>
      <c r="C24" s="921">
        <v>69</v>
      </c>
      <c r="D24" s="922">
        <v>22</v>
      </c>
      <c r="E24" s="923">
        <f>64+1</f>
        <v>65</v>
      </c>
      <c r="F24" s="924">
        <v>14</v>
      </c>
      <c r="G24" s="925">
        <v>71</v>
      </c>
      <c r="H24" s="926">
        <v>16</v>
      </c>
      <c r="I24" s="927">
        <v>69</v>
      </c>
      <c r="J24" s="928">
        <v>24</v>
      </c>
      <c r="K24" s="925">
        <v>61</v>
      </c>
      <c r="L24" s="928">
        <v>14</v>
      </c>
      <c r="M24" s="925">
        <f>60+1</f>
        <v>61</v>
      </c>
      <c r="N24" s="926">
        <v>14</v>
      </c>
      <c r="O24" s="927">
        <v>71</v>
      </c>
      <c r="P24" s="926">
        <v>16</v>
      </c>
      <c r="Q24" s="927">
        <v>75</v>
      </c>
      <c r="R24" s="926">
        <v>20</v>
      </c>
      <c r="S24" s="927">
        <v>78</v>
      </c>
      <c r="T24" s="926">
        <v>16</v>
      </c>
      <c r="U24" s="927">
        <v>84</v>
      </c>
      <c r="V24" s="926">
        <v>19</v>
      </c>
      <c r="W24" s="927">
        <v>71</v>
      </c>
      <c r="X24" s="926">
        <v>17</v>
      </c>
      <c r="Y24" s="927">
        <v>82</v>
      </c>
      <c r="Z24" s="1392"/>
      <c r="AA24" s="919"/>
      <c r="AB24" s="931">
        <f t="shared" ref="AB24:AB25" si="4">AVERAGE(U24,Q24,S24,Y24,W24)</f>
        <v>78</v>
      </c>
      <c r="AC24" s="932">
        <f t="shared" si="1"/>
        <v>17.600000000000001</v>
      </c>
    </row>
    <row r="25" spans="2:30" s="909" customFormat="1" ht="13.5" customHeight="1" x14ac:dyDescent="0.2">
      <c r="B25" s="1312" t="s">
        <v>51</v>
      </c>
      <c r="C25" s="925">
        <v>2</v>
      </c>
      <c r="D25" s="926">
        <v>3</v>
      </c>
      <c r="E25" s="923">
        <v>1</v>
      </c>
      <c r="F25" s="924"/>
      <c r="G25" s="925"/>
      <c r="H25" s="926">
        <v>1</v>
      </c>
      <c r="I25" s="927"/>
      <c r="J25" s="928"/>
      <c r="K25" s="925"/>
      <c r="L25" s="928"/>
      <c r="M25" s="925"/>
      <c r="N25" s="926">
        <v>1</v>
      </c>
      <c r="O25" s="927">
        <v>1</v>
      </c>
      <c r="P25" s="926">
        <v>1</v>
      </c>
      <c r="Q25" s="927">
        <v>0</v>
      </c>
      <c r="R25" s="926">
        <v>0</v>
      </c>
      <c r="S25" s="927">
        <v>2</v>
      </c>
      <c r="T25" s="926">
        <v>1</v>
      </c>
      <c r="U25" s="927">
        <v>1</v>
      </c>
      <c r="V25" s="926">
        <v>0</v>
      </c>
      <c r="W25" s="927">
        <v>2</v>
      </c>
      <c r="X25" s="926">
        <v>1</v>
      </c>
      <c r="Y25" s="927">
        <v>3</v>
      </c>
      <c r="Z25" s="1392"/>
      <c r="AA25" s="919"/>
      <c r="AB25" s="931">
        <f t="shared" si="4"/>
        <v>1.6</v>
      </c>
      <c r="AC25" s="932">
        <f t="shared" si="1"/>
        <v>0.6</v>
      </c>
    </row>
    <row r="26" spans="2:30" s="909" customFormat="1" ht="13.5" customHeight="1" x14ac:dyDescent="0.2">
      <c r="B26" s="1311" t="s">
        <v>195</v>
      </c>
      <c r="C26" s="921"/>
      <c r="D26" s="922"/>
      <c r="E26" s="923"/>
      <c r="F26" s="924"/>
      <c r="G26" s="925"/>
      <c r="H26" s="926"/>
      <c r="I26" s="927"/>
      <c r="J26" s="928"/>
      <c r="K26" s="925"/>
      <c r="L26" s="928"/>
      <c r="M26" s="925"/>
      <c r="N26" s="926"/>
      <c r="O26" s="927"/>
      <c r="P26" s="926"/>
      <c r="Q26" s="927"/>
      <c r="R26" s="926"/>
      <c r="S26" s="927"/>
      <c r="T26" s="926"/>
      <c r="U26" s="927"/>
      <c r="V26" s="926"/>
      <c r="W26" s="927"/>
      <c r="X26" s="926"/>
      <c r="Y26" s="927"/>
      <c r="Z26" s="1392"/>
      <c r="AA26" s="919"/>
      <c r="AB26" s="931"/>
      <c r="AC26" s="932"/>
    </row>
    <row r="27" spans="2:30" s="909" customFormat="1" ht="13.5" customHeight="1" x14ac:dyDescent="0.2">
      <c r="B27" s="1310" t="s">
        <v>51</v>
      </c>
      <c r="C27" s="921">
        <v>9</v>
      </c>
      <c r="D27" s="922">
        <v>3</v>
      </c>
      <c r="E27" s="923">
        <v>9</v>
      </c>
      <c r="F27" s="924">
        <v>5</v>
      </c>
      <c r="G27" s="925">
        <v>9</v>
      </c>
      <c r="H27" s="926"/>
      <c r="I27" s="927">
        <v>9</v>
      </c>
      <c r="J27" s="928"/>
      <c r="K27" s="925">
        <v>10</v>
      </c>
      <c r="L27" s="928"/>
      <c r="M27" s="925">
        <v>6</v>
      </c>
      <c r="N27" s="926">
        <v>1</v>
      </c>
      <c r="O27" s="927">
        <v>9</v>
      </c>
      <c r="P27" s="926">
        <v>6</v>
      </c>
      <c r="Q27" s="927">
        <v>3</v>
      </c>
      <c r="R27" s="926">
        <v>2</v>
      </c>
      <c r="S27" s="927">
        <v>6</v>
      </c>
      <c r="T27" s="926">
        <v>2</v>
      </c>
      <c r="U27" s="927">
        <v>4</v>
      </c>
      <c r="V27" s="926">
        <v>2</v>
      </c>
      <c r="W27" s="927">
        <v>6</v>
      </c>
      <c r="X27" s="926">
        <v>1</v>
      </c>
      <c r="Y27" s="927">
        <v>7</v>
      </c>
      <c r="Z27" s="1392"/>
      <c r="AA27" s="919"/>
      <c r="AB27" s="931">
        <f t="shared" ref="AB27" si="5">AVERAGE(U27,Q27,S27,Y27,W27)</f>
        <v>5.2</v>
      </c>
      <c r="AC27" s="932">
        <f t="shared" si="1"/>
        <v>2.6</v>
      </c>
    </row>
    <row r="28" spans="2:30" s="909" customFormat="1" ht="13.5" hidden="1" customHeight="1" x14ac:dyDescent="0.2">
      <c r="B28" s="1311" t="s">
        <v>173</v>
      </c>
      <c r="C28" s="921"/>
      <c r="D28" s="922"/>
      <c r="E28" s="923"/>
      <c r="F28" s="924"/>
      <c r="G28" s="925"/>
      <c r="H28" s="926"/>
      <c r="I28" s="927"/>
      <c r="J28" s="928"/>
      <c r="K28" s="925"/>
      <c r="L28" s="928"/>
      <c r="M28" s="925"/>
      <c r="N28" s="926"/>
      <c r="O28" s="927"/>
      <c r="P28" s="926"/>
      <c r="Q28" s="927"/>
      <c r="R28" s="926"/>
      <c r="S28" s="927"/>
      <c r="T28" s="926"/>
      <c r="U28" s="927"/>
      <c r="V28" s="926"/>
      <c r="W28" s="927"/>
      <c r="X28" s="926"/>
      <c r="Y28" s="927"/>
      <c r="Z28" s="1392"/>
      <c r="AA28" s="919"/>
      <c r="AB28" s="931" t="e">
        <f t="shared" ref="AB28:AB29" si="6">AVERAGE(U28,Q28,S28,O28,W28)</f>
        <v>#DIV/0!</v>
      </c>
      <c r="AC28" s="932" t="e">
        <f t="shared" si="1"/>
        <v>#DIV/0!</v>
      </c>
    </row>
    <row r="29" spans="2:30" s="909" customFormat="1" ht="13.5" hidden="1" customHeight="1" x14ac:dyDescent="0.2">
      <c r="B29" s="1310" t="s">
        <v>187</v>
      </c>
      <c r="C29" s="921">
        <v>3</v>
      </c>
      <c r="D29" s="922"/>
      <c r="E29" s="923">
        <v>6</v>
      </c>
      <c r="F29" s="924">
        <v>3</v>
      </c>
      <c r="G29" s="925">
        <v>5</v>
      </c>
      <c r="H29" s="926">
        <v>0</v>
      </c>
      <c r="I29" s="927">
        <v>4</v>
      </c>
      <c r="J29" s="928">
        <v>0</v>
      </c>
      <c r="K29" s="925">
        <v>4</v>
      </c>
      <c r="L29" s="928">
        <v>1</v>
      </c>
      <c r="M29" s="925">
        <v>1</v>
      </c>
      <c r="N29" s="926">
        <v>2</v>
      </c>
      <c r="O29" s="941"/>
      <c r="P29" s="940"/>
      <c r="Q29" s="941"/>
      <c r="R29" s="940"/>
      <c r="S29" s="941"/>
      <c r="T29" s="1389"/>
      <c r="U29" s="941"/>
      <c r="V29" s="1389"/>
      <c r="W29" s="1376"/>
      <c r="X29" s="926"/>
      <c r="Y29" s="1376"/>
      <c r="Z29" s="1392"/>
      <c r="AA29" s="919"/>
      <c r="AB29" s="931" t="e">
        <f t="shared" si="6"/>
        <v>#DIV/0!</v>
      </c>
      <c r="AC29" s="932" t="e">
        <f t="shared" si="1"/>
        <v>#DIV/0!</v>
      </c>
      <c r="AD29" s="1213" t="s">
        <v>23</v>
      </c>
    </row>
    <row r="30" spans="2:30" s="909" customFormat="1" ht="13.5" customHeight="1" x14ac:dyDescent="0.2">
      <c r="B30" s="1311" t="s">
        <v>244</v>
      </c>
      <c r="C30" s="921"/>
      <c r="D30" s="922"/>
      <c r="E30" s="923"/>
      <c r="F30" s="924"/>
      <c r="G30" s="925"/>
      <c r="H30" s="926"/>
      <c r="I30" s="927"/>
      <c r="J30" s="928"/>
      <c r="K30" s="925"/>
      <c r="L30" s="928"/>
      <c r="M30" s="925"/>
      <c r="N30" s="926"/>
      <c r="O30" s="927"/>
      <c r="P30" s="926"/>
      <c r="Q30" s="927"/>
      <c r="R30" s="926"/>
      <c r="S30" s="927"/>
      <c r="T30" s="926"/>
      <c r="U30" s="927"/>
      <c r="V30" s="926"/>
      <c r="W30" s="927"/>
      <c r="X30" s="926"/>
      <c r="Y30" s="927"/>
      <c r="Z30" s="1392"/>
      <c r="AA30" s="919"/>
      <c r="AB30" s="931"/>
      <c r="AC30" s="932"/>
    </row>
    <row r="31" spans="2:30" s="909" customFormat="1" ht="13.5" customHeight="1" x14ac:dyDescent="0.2">
      <c r="B31" s="1374" t="s">
        <v>225</v>
      </c>
      <c r="C31" s="935"/>
      <c r="D31" s="936"/>
      <c r="E31" s="937"/>
      <c r="F31" s="938"/>
      <c r="G31" s="939"/>
      <c r="H31" s="940"/>
      <c r="I31" s="941"/>
      <c r="J31" s="942"/>
      <c r="K31" s="939"/>
      <c r="L31" s="942"/>
      <c r="M31" s="925">
        <v>0</v>
      </c>
      <c r="N31" s="926">
        <v>0</v>
      </c>
      <c r="O31" s="927">
        <v>1</v>
      </c>
      <c r="P31" s="926">
        <v>1</v>
      </c>
      <c r="Q31" s="927">
        <v>0</v>
      </c>
      <c r="R31" s="926">
        <v>1</v>
      </c>
      <c r="S31" s="927">
        <v>0</v>
      </c>
      <c r="T31" s="926">
        <v>4</v>
      </c>
      <c r="U31" s="927">
        <v>0</v>
      </c>
      <c r="V31" s="926">
        <v>0</v>
      </c>
      <c r="W31" s="927">
        <v>0</v>
      </c>
      <c r="X31" s="926">
        <v>2</v>
      </c>
      <c r="Y31" s="927">
        <v>0</v>
      </c>
      <c r="Z31" s="1392"/>
      <c r="AA31" s="994"/>
      <c r="AB31" s="931">
        <f t="shared" ref="AB31" si="7">AVERAGE(U31,Q31,S31,Y31,W31)</f>
        <v>0</v>
      </c>
      <c r="AC31" s="932">
        <f t="shared" si="1"/>
        <v>1.6</v>
      </c>
    </row>
    <row r="32" spans="2:30" s="909" customFormat="1" ht="13.5" customHeight="1" x14ac:dyDescent="0.2">
      <c r="B32" s="1374" t="s">
        <v>243</v>
      </c>
      <c r="C32" s="935"/>
      <c r="D32" s="936"/>
      <c r="E32" s="937"/>
      <c r="F32" s="938"/>
      <c r="G32" s="939"/>
      <c r="H32" s="940"/>
      <c r="I32" s="941"/>
      <c r="J32" s="942"/>
      <c r="K32" s="939"/>
      <c r="L32" s="942"/>
      <c r="M32" s="1378"/>
      <c r="N32" s="1389"/>
      <c r="O32" s="1376"/>
      <c r="P32" s="1389"/>
      <c r="Q32" s="1376"/>
      <c r="R32" s="1389"/>
      <c r="S32" s="1376"/>
      <c r="T32" s="1389"/>
      <c r="U32" s="1376"/>
      <c r="V32" s="1389"/>
      <c r="W32" s="1376"/>
      <c r="X32" s="1389"/>
      <c r="Y32" s="927">
        <v>1</v>
      </c>
      <c r="Z32" s="1392"/>
      <c r="AA32" s="994"/>
      <c r="AB32" s="931"/>
      <c r="AC32" s="932"/>
    </row>
    <row r="33" spans="1:31" s="909" customFormat="1" ht="13.5" customHeight="1" x14ac:dyDescent="0.2">
      <c r="B33" s="1311" t="s">
        <v>126</v>
      </c>
      <c r="C33" s="921"/>
      <c r="D33" s="922"/>
      <c r="E33" s="923"/>
      <c r="F33" s="924"/>
      <c r="G33" s="925"/>
      <c r="H33" s="926"/>
      <c r="I33" s="927"/>
      <c r="J33" s="928"/>
      <c r="K33" s="925"/>
      <c r="L33" s="928"/>
      <c r="M33" s="925"/>
      <c r="N33" s="926"/>
      <c r="O33" s="927"/>
      <c r="P33" s="926"/>
      <c r="Q33" s="927"/>
      <c r="R33" s="926"/>
      <c r="S33" s="927"/>
      <c r="T33" s="926"/>
      <c r="U33" s="927"/>
      <c r="V33" s="926"/>
      <c r="W33" s="927"/>
      <c r="X33" s="926"/>
      <c r="Y33" s="927"/>
      <c r="Z33" s="1392"/>
      <c r="AA33" s="994"/>
      <c r="AB33" s="931"/>
      <c r="AC33" s="932"/>
    </row>
    <row r="34" spans="1:31" s="909" customFormat="1" ht="13.5" customHeight="1" x14ac:dyDescent="0.2">
      <c r="B34" s="1310" t="s">
        <v>51</v>
      </c>
      <c r="C34" s="935"/>
      <c r="D34" s="936"/>
      <c r="E34" s="937"/>
      <c r="F34" s="938"/>
      <c r="G34" s="939"/>
      <c r="H34" s="940"/>
      <c r="I34" s="941"/>
      <c r="J34" s="942"/>
      <c r="K34" s="939"/>
      <c r="L34" s="942"/>
      <c r="M34" s="925">
        <v>0</v>
      </c>
      <c r="N34" s="926">
        <v>0</v>
      </c>
      <c r="O34" s="927">
        <v>1</v>
      </c>
      <c r="P34" s="926">
        <v>0</v>
      </c>
      <c r="Q34" s="927">
        <v>1</v>
      </c>
      <c r="R34" s="926">
        <v>0</v>
      </c>
      <c r="S34" s="927">
        <v>2</v>
      </c>
      <c r="T34" s="926">
        <v>0</v>
      </c>
      <c r="U34" s="927">
        <v>4</v>
      </c>
      <c r="V34" s="926">
        <v>2</v>
      </c>
      <c r="W34" s="927">
        <v>2</v>
      </c>
      <c r="X34" s="926">
        <v>1</v>
      </c>
      <c r="Y34" s="927">
        <v>6</v>
      </c>
      <c r="Z34" s="1392"/>
      <c r="AA34" s="994"/>
      <c r="AB34" s="931">
        <f t="shared" ref="AB34" si="8">AVERAGE(U34,Q34,S34,Y34,W34)</f>
        <v>3</v>
      </c>
      <c r="AC34" s="932">
        <f t="shared" si="1"/>
        <v>0.6</v>
      </c>
    </row>
    <row r="35" spans="1:31" s="909" customFormat="1" ht="13.5" customHeight="1" x14ac:dyDescent="0.2">
      <c r="B35" s="1309" t="s">
        <v>186</v>
      </c>
      <c r="C35" s="943"/>
      <c r="D35" s="944"/>
      <c r="E35" s="945"/>
      <c r="F35" s="934"/>
      <c r="G35" s="946"/>
      <c r="H35" s="926"/>
      <c r="I35" s="947"/>
      <c r="J35" s="928"/>
      <c r="K35" s="946"/>
      <c r="L35" s="928"/>
      <c r="M35" s="946"/>
      <c r="N35" s="926"/>
      <c r="O35" s="947"/>
      <c r="P35" s="926"/>
      <c r="Q35" s="947"/>
      <c r="R35" s="926"/>
      <c r="S35" s="947"/>
      <c r="T35" s="926"/>
      <c r="U35" s="947"/>
      <c r="V35" s="926"/>
      <c r="W35" s="947"/>
      <c r="X35" s="926"/>
      <c r="Y35" s="947"/>
      <c r="Z35" s="1392"/>
      <c r="AA35" s="994"/>
      <c r="AB35" s="931"/>
      <c r="AC35" s="932"/>
    </row>
    <row r="36" spans="1:31" s="909" customFormat="1" ht="13.5" customHeight="1" x14ac:dyDescent="0.2">
      <c r="B36" s="1312" t="s">
        <v>27</v>
      </c>
      <c r="C36" s="948">
        <v>51</v>
      </c>
      <c r="D36" s="949" t="s">
        <v>22</v>
      </c>
      <c r="E36" s="950">
        <v>72</v>
      </c>
      <c r="F36" s="949" t="s">
        <v>22</v>
      </c>
      <c r="G36" s="948">
        <v>62</v>
      </c>
      <c r="H36" s="949" t="s">
        <v>119</v>
      </c>
      <c r="I36" s="950">
        <v>77</v>
      </c>
      <c r="J36" s="951" t="s">
        <v>119</v>
      </c>
      <c r="K36" s="948">
        <v>68</v>
      </c>
      <c r="L36" s="951" t="s">
        <v>119</v>
      </c>
      <c r="M36" s="948">
        <v>63</v>
      </c>
      <c r="N36" s="949" t="s">
        <v>119</v>
      </c>
      <c r="O36" s="950">
        <v>41</v>
      </c>
      <c r="P36" s="949" t="s">
        <v>119</v>
      </c>
      <c r="Q36" s="950">
        <v>78</v>
      </c>
      <c r="R36" s="1328" t="s">
        <v>119</v>
      </c>
      <c r="S36" s="950">
        <v>91</v>
      </c>
      <c r="T36" s="1328" t="s">
        <v>119</v>
      </c>
      <c r="U36" s="950">
        <v>77</v>
      </c>
      <c r="V36" s="1328" t="s">
        <v>119</v>
      </c>
      <c r="W36" s="950">
        <f>25+51</f>
        <v>76</v>
      </c>
      <c r="X36" s="1328" t="s">
        <v>119</v>
      </c>
      <c r="Y36" s="950">
        <f>39+46</f>
        <v>85</v>
      </c>
      <c r="Z36" s="1395"/>
      <c r="AA36" s="994"/>
      <c r="AB36" s="931">
        <f t="shared" ref="AB36:AB37" si="9">AVERAGE(U36,Q36,S36,Y36,W36)</f>
        <v>81.400000000000006</v>
      </c>
      <c r="AC36" s="1426" t="s">
        <v>119</v>
      </c>
    </row>
    <row r="37" spans="1:31" s="909" customFormat="1" ht="13.5" customHeight="1" thickBot="1" x14ac:dyDescent="0.25">
      <c r="B37" s="952" t="s">
        <v>128</v>
      </c>
      <c r="C37" s="953"/>
      <c r="D37" s="954"/>
      <c r="E37" s="1122"/>
      <c r="F37" s="1123"/>
      <c r="G37" s="1124"/>
      <c r="H37" s="1125"/>
      <c r="I37" s="955"/>
      <c r="J37" s="956"/>
      <c r="K37" s="1126"/>
      <c r="L37" s="956"/>
      <c r="M37" s="957">
        <v>40</v>
      </c>
      <c r="N37" s="1118" t="s">
        <v>119</v>
      </c>
      <c r="O37" s="991">
        <v>30</v>
      </c>
      <c r="P37" s="1118" t="s">
        <v>119</v>
      </c>
      <c r="Q37" s="991">
        <v>22</v>
      </c>
      <c r="R37" s="1329" t="s">
        <v>119</v>
      </c>
      <c r="S37" s="991">
        <v>11</v>
      </c>
      <c r="T37" s="1329" t="s">
        <v>119</v>
      </c>
      <c r="U37" s="991">
        <v>16</v>
      </c>
      <c r="V37" s="1329" t="s">
        <v>119</v>
      </c>
      <c r="W37" s="991">
        <v>19</v>
      </c>
      <c r="X37" s="1329" t="s">
        <v>119</v>
      </c>
      <c r="Y37" s="991">
        <v>21</v>
      </c>
      <c r="Z37" s="1396"/>
      <c r="AA37" s="994"/>
      <c r="AB37" s="931">
        <f t="shared" si="9"/>
        <v>17.8</v>
      </c>
      <c r="AC37" s="1426" t="s">
        <v>119</v>
      </c>
    </row>
    <row r="38" spans="1:31" ht="14.25" thickTop="1" thickBot="1" x14ac:dyDescent="0.25">
      <c r="A38" s="652"/>
      <c r="B38" s="1062" t="s">
        <v>150</v>
      </c>
      <c r="C38" s="1477" t="s">
        <v>35</v>
      </c>
      <c r="D38" s="1478"/>
      <c r="E38" s="1477" t="s">
        <v>36</v>
      </c>
      <c r="F38" s="1478"/>
      <c r="G38" s="1479" t="s">
        <v>122</v>
      </c>
      <c r="H38" s="1480"/>
      <c r="I38" s="1479" t="s">
        <v>123</v>
      </c>
      <c r="J38" s="1481"/>
      <c r="K38" s="1479" t="s">
        <v>148</v>
      </c>
      <c r="L38" s="1481"/>
      <c r="M38" s="1488" t="s">
        <v>149</v>
      </c>
      <c r="N38" s="1480"/>
      <c r="O38" s="1483" t="s">
        <v>175</v>
      </c>
      <c r="P38" s="1480"/>
      <c r="Q38" s="1483" t="s">
        <v>194</v>
      </c>
      <c r="R38" s="1480"/>
      <c r="S38" s="1483" t="s">
        <v>219</v>
      </c>
      <c r="T38" s="1480"/>
      <c r="U38" s="1483" t="s">
        <v>222</v>
      </c>
      <c r="V38" s="1480"/>
      <c r="W38" s="1483" t="s">
        <v>233</v>
      </c>
      <c r="X38" s="1480"/>
      <c r="Y38" s="1483" t="s">
        <v>242</v>
      </c>
      <c r="Z38" s="1511"/>
      <c r="AA38" s="652"/>
      <c r="AB38" s="693"/>
      <c r="AC38" s="694"/>
      <c r="AD38" s="489"/>
    </row>
    <row r="39" spans="1:31" ht="12.75" x14ac:dyDescent="0.2">
      <c r="A39" s="652"/>
      <c r="B39" s="1059" t="s">
        <v>135</v>
      </c>
      <c r="C39" s="1463">
        <v>0.378</v>
      </c>
      <c r="D39" s="1464"/>
      <c r="E39" s="1465">
        <v>0.36849999999999999</v>
      </c>
      <c r="F39" s="1466"/>
      <c r="G39" s="1465">
        <v>6.7000000000000004E-2</v>
      </c>
      <c r="H39" s="1466"/>
      <c r="I39" s="1465">
        <v>4.2999999999999997E-2</v>
      </c>
      <c r="J39" s="1467"/>
      <c r="K39" s="696"/>
      <c r="L39" s="697">
        <v>3.7999999999999999E-2</v>
      </c>
      <c r="M39" s="698"/>
      <c r="N39" s="997">
        <v>0.108</v>
      </c>
      <c r="O39" s="995"/>
      <c r="P39" s="997">
        <v>6.8000000000000005E-2</v>
      </c>
      <c r="Q39" s="1019"/>
      <c r="R39" s="997">
        <v>0.14199999999999999</v>
      </c>
      <c r="S39" s="1019"/>
      <c r="T39" s="997">
        <v>6.0999999999999999E-2</v>
      </c>
      <c r="U39" s="1019"/>
      <c r="V39" s="997">
        <v>0.17399999999999999</v>
      </c>
      <c r="W39" s="1019"/>
      <c r="X39" s="997">
        <v>9.1999999999999998E-2</v>
      </c>
      <c r="Y39" s="1019"/>
      <c r="Z39" s="1241">
        <v>0.121</v>
      </c>
      <c r="AA39" s="699"/>
      <c r="AB39" s="848"/>
      <c r="AC39" s="743">
        <f t="shared" ref="AC39" si="10">AVERAGE(V39,R39,T39,Z39,X39)</f>
        <v>0.11799999999999999</v>
      </c>
      <c r="AD39" s="704"/>
    </row>
    <row r="40" spans="1:31" ht="12.75" x14ac:dyDescent="0.2">
      <c r="A40" s="652"/>
      <c r="B40" s="1061" t="s">
        <v>136</v>
      </c>
      <c r="C40" s="1470">
        <v>0.04</v>
      </c>
      <c r="D40" s="1471"/>
      <c r="E40" s="1472">
        <v>9.7000000000000003E-2</v>
      </c>
      <c r="F40" s="1473"/>
      <c r="G40" s="1472">
        <v>0</v>
      </c>
      <c r="H40" s="1473"/>
      <c r="I40" s="1472">
        <v>0</v>
      </c>
      <c r="J40" s="1474"/>
      <c r="K40" s="701"/>
      <c r="L40" s="702">
        <v>0</v>
      </c>
      <c r="M40" s="701"/>
      <c r="N40" s="998">
        <v>0</v>
      </c>
      <c r="O40" s="996"/>
      <c r="P40" s="998">
        <v>0</v>
      </c>
      <c r="Q40" s="1020"/>
      <c r="R40" s="998">
        <v>7.0000000000000001E-3</v>
      </c>
      <c r="S40" s="1020"/>
      <c r="T40" s="998">
        <v>0</v>
      </c>
      <c r="U40" s="1020"/>
      <c r="V40" s="998">
        <v>0</v>
      </c>
      <c r="W40" s="1020"/>
      <c r="X40" s="998">
        <v>0</v>
      </c>
      <c r="Y40" s="1020"/>
      <c r="Z40" s="1242">
        <v>0</v>
      </c>
      <c r="AA40" s="699"/>
      <c r="AB40" s="848"/>
      <c r="AC40" s="743">
        <f>AVERAGE(V40,R40,T40,Z40,X40)</f>
        <v>1.4E-3</v>
      </c>
    </row>
    <row r="41" spans="1:31" ht="13.5" customHeight="1" thickBot="1" x14ac:dyDescent="0.25">
      <c r="B41" s="703" t="s">
        <v>137</v>
      </c>
      <c r="C41" s="1468">
        <f>1-SUM(C39:D40)</f>
        <v>0.58200000000000007</v>
      </c>
      <c r="D41" s="1469"/>
      <c r="E41" s="1468">
        <f>1-SUM(E39:F40)</f>
        <v>0.53449999999999998</v>
      </c>
      <c r="F41" s="1469"/>
      <c r="G41" s="1468">
        <f>1-G40-G39</f>
        <v>0.93300000000000005</v>
      </c>
      <c r="H41" s="1469"/>
      <c r="I41" s="1468">
        <f>1-I40-I39</f>
        <v>0.95699999999999996</v>
      </c>
      <c r="J41" s="1469"/>
      <c r="K41" s="1468">
        <f>1-L40-L39</f>
        <v>0.96199999999999997</v>
      </c>
      <c r="L41" s="1469"/>
      <c r="M41" s="1468">
        <f>1-N40-N39</f>
        <v>0.89200000000000002</v>
      </c>
      <c r="N41" s="1469"/>
      <c r="O41" s="1514">
        <f>1-P40-P39</f>
        <v>0.93199999999999994</v>
      </c>
      <c r="P41" s="1469"/>
      <c r="Q41" s="1490">
        <v>0.85199999999999998</v>
      </c>
      <c r="R41" s="1491"/>
      <c r="S41" s="1490">
        <f>1-T39-T40</f>
        <v>0.93900000000000006</v>
      </c>
      <c r="T41" s="1491"/>
      <c r="U41" s="1490">
        <f>1-V39-V40</f>
        <v>0.82600000000000007</v>
      </c>
      <c r="V41" s="1491"/>
      <c r="W41" s="1490">
        <f>1-X39-X40</f>
        <v>0.90800000000000003</v>
      </c>
      <c r="X41" s="1491"/>
      <c r="Y41" s="1490">
        <f>1-Z39-Z40</f>
        <v>0.879</v>
      </c>
      <c r="Z41" s="1506"/>
      <c r="AA41" s="699"/>
      <c r="AB41" s="1515">
        <f t="shared" ref="AB41" si="11">AVERAGE(U41,Q41,S41,Y41,W41)</f>
        <v>0.88080000000000003</v>
      </c>
      <c r="AC41" s="1516" t="e">
        <f t="shared" ref="AC41" si="12">AVERAGE(V41,R41,T41,Z41,X41)</f>
        <v>#DIV/0!</v>
      </c>
      <c r="AE41" s="1243"/>
    </row>
    <row r="42" spans="1:31" ht="19.5" customHeight="1" thickTop="1" x14ac:dyDescent="0.2">
      <c r="B42" s="1496" t="s">
        <v>110</v>
      </c>
      <c r="C42" s="1497"/>
      <c r="D42" s="1497"/>
      <c r="E42" s="1497"/>
      <c r="F42" s="1497"/>
      <c r="G42" s="1497"/>
      <c r="H42" s="1497"/>
      <c r="I42" s="1"/>
      <c r="J42" s="1"/>
      <c r="AB42" s="66"/>
      <c r="AC42" s="66"/>
    </row>
    <row r="43" spans="1:31" ht="11.45" customHeight="1" x14ac:dyDescent="0.2">
      <c r="I43" s="1"/>
      <c r="J43" s="1"/>
      <c r="X43" s="235" t="s">
        <v>23</v>
      </c>
      <c r="Z43" s="235" t="s">
        <v>23</v>
      </c>
    </row>
    <row r="44" spans="1:31" ht="11.45" customHeight="1" x14ac:dyDescent="0.2">
      <c r="B44" s="35" t="s">
        <v>182</v>
      </c>
      <c r="C44" s="51"/>
      <c r="D44" s="26"/>
      <c r="E44" s="51"/>
      <c r="F44" s="26"/>
      <c r="G44" s="228"/>
      <c r="H44" s="229"/>
      <c r="I44" s="228"/>
      <c r="J44" s="229"/>
      <c r="K44" s="228"/>
      <c r="L44" s="229"/>
      <c r="M44" s="228"/>
      <c r="N44" s="229"/>
      <c r="O44" s="228"/>
      <c r="P44" s="229"/>
      <c r="Q44" s="228"/>
      <c r="R44" s="229"/>
      <c r="S44" s="228"/>
      <c r="T44" s="229"/>
      <c r="U44" s="228"/>
      <c r="V44" s="229"/>
      <c r="W44" s="228"/>
      <c r="X44" s="229"/>
      <c r="Y44" s="228"/>
      <c r="Z44" s="229"/>
    </row>
    <row r="45" spans="1:31" ht="11.25" customHeight="1" thickBot="1" x14ac:dyDescent="0.25">
      <c r="B45" s="119" t="s">
        <v>160</v>
      </c>
      <c r="C45" s="51"/>
      <c r="D45" s="26"/>
      <c r="E45" s="51"/>
      <c r="F45" s="26"/>
      <c r="G45" s="228"/>
      <c r="H45" s="229"/>
      <c r="I45" s="228"/>
      <c r="J45" s="229"/>
      <c r="K45" s="228"/>
      <c r="L45" s="229"/>
      <c r="M45" s="228"/>
      <c r="N45" s="229"/>
      <c r="O45" s="228"/>
      <c r="P45" s="229"/>
      <c r="Q45" s="228"/>
      <c r="R45" s="229"/>
      <c r="S45" s="228"/>
      <c r="T45" s="229"/>
      <c r="U45" s="228"/>
      <c r="V45" s="229"/>
      <c r="W45" s="228"/>
      <c r="X45" s="229"/>
      <c r="Y45" s="228"/>
      <c r="Z45" s="229"/>
      <c r="AB45" s="71"/>
      <c r="AC45" s="71"/>
    </row>
    <row r="46" spans="1:31" s="909" customFormat="1" ht="13.5" customHeight="1" thickTop="1" thickBot="1" x14ac:dyDescent="0.25">
      <c r="B46" s="1135"/>
      <c r="C46" s="1502" t="s">
        <v>33</v>
      </c>
      <c r="D46" s="1503"/>
      <c r="E46" s="1505" t="s">
        <v>34</v>
      </c>
      <c r="F46" s="1505"/>
      <c r="G46" s="1504" t="s">
        <v>106</v>
      </c>
      <c r="H46" s="1493"/>
      <c r="I46" s="1492" t="s">
        <v>118</v>
      </c>
      <c r="J46" s="1492"/>
      <c r="K46" s="1504" t="s">
        <v>121</v>
      </c>
      <c r="L46" s="1492"/>
      <c r="M46" s="1504" t="s">
        <v>127</v>
      </c>
      <c r="N46" s="1493"/>
      <c r="O46" s="1492" t="s">
        <v>174</v>
      </c>
      <c r="P46" s="1493"/>
      <c r="Q46" s="1492" t="s">
        <v>193</v>
      </c>
      <c r="R46" s="1493"/>
      <c r="S46" s="1492" t="s">
        <v>218</v>
      </c>
      <c r="T46" s="1493"/>
      <c r="U46" s="1492" t="s">
        <v>221</v>
      </c>
      <c r="V46" s="1493"/>
      <c r="W46" s="1492" t="s">
        <v>232</v>
      </c>
      <c r="X46" s="1493"/>
      <c r="Y46" s="1492" t="s">
        <v>241</v>
      </c>
      <c r="Z46" s="1507"/>
      <c r="AB46" s="1519" t="s">
        <v>134</v>
      </c>
      <c r="AC46" s="1520"/>
    </row>
    <row r="47" spans="1:31" s="909" customFormat="1" ht="13.5" customHeight="1" x14ac:dyDescent="0.2">
      <c r="B47" s="1136" t="s">
        <v>7</v>
      </c>
      <c r="C47" s="958"/>
      <c r="D47" s="959"/>
      <c r="E47" s="960"/>
      <c r="F47" s="960"/>
      <c r="G47" s="961"/>
      <c r="H47" s="962"/>
      <c r="I47" s="963"/>
      <c r="J47" s="963"/>
      <c r="K47" s="961"/>
      <c r="L47" s="963"/>
      <c r="M47" s="961"/>
      <c r="N47" s="962"/>
      <c r="O47" s="963"/>
      <c r="P47" s="962"/>
      <c r="Q47" s="963"/>
      <c r="R47" s="962"/>
      <c r="S47" s="963"/>
      <c r="T47" s="962"/>
      <c r="U47" s="963"/>
      <c r="V47" s="962"/>
      <c r="W47" s="963"/>
      <c r="X47" s="962"/>
      <c r="Y47" s="963"/>
      <c r="Z47" s="964"/>
      <c r="AA47" s="919"/>
      <c r="AC47" s="930"/>
    </row>
    <row r="48" spans="1:31" s="909" customFormat="1" ht="13.5" customHeight="1" x14ac:dyDescent="0.2">
      <c r="B48" s="1137" t="s">
        <v>8</v>
      </c>
      <c r="C48" s="965"/>
      <c r="D48" s="966"/>
      <c r="E48" s="967"/>
      <c r="F48" s="967"/>
      <c r="G48" s="968"/>
      <c r="H48" s="969"/>
      <c r="I48" s="970"/>
      <c r="J48" s="970"/>
      <c r="K48" s="968"/>
      <c r="L48" s="970"/>
      <c r="M48" s="968"/>
      <c r="N48" s="969"/>
      <c r="O48" s="970"/>
      <c r="P48" s="969"/>
      <c r="Q48" s="970"/>
      <c r="R48" s="969"/>
      <c r="S48" s="970"/>
      <c r="T48" s="969"/>
      <c r="U48" s="970"/>
      <c r="V48" s="969"/>
      <c r="W48" s="970"/>
      <c r="X48" s="969"/>
      <c r="Y48" s="970"/>
      <c r="Z48" s="971"/>
      <c r="AA48" s="919"/>
      <c r="AC48" s="930"/>
    </row>
    <row r="49" spans="1:31" s="909" customFormat="1" ht="13.5" customHeight="1" x14ac:dyDescent="0.2">
      <c r="B49" s="1137" t="s">
        <v>9</v>
      </c>
      <c r="C49" s="965"/>
      <c r="D49" s="972">
        <v>299</v>
      </c>
      <c r="E49" s="967"/>
      <c r="F49" s="973">
        <v>322</v>
      </c>
      <c r="G49" s="968"/>
      <c r="H49" s="974">
        <v>297</v>
      </c>
      <c r="I49" s="970"/>
      <c r="J49" s="975">
        <v>315</v>
      </c>
      <c r="K49" s="968"/>
      <c r="L49" s="975">
        <v>360</v>
      </c>
      <c r="M49" s="968"/>
      <c r="N49" s="408">
        <v>363</v>
      </c>
      <c r="O49" s="970"/>
      <c r="P49" s="408">
        <v>416</v>
      </c>
      <c r="Q49" s="970"/>
      <c r="R49" s="408">
        <v>455</v>
      </c>
      <c r="S49" s="970"/>
      <c r="T49" s="408">
        <v>448</v>
      </c>
      <c r="U49" s="970"/>
      <c r="V49" s="408">
        <v>452</v>
      </c>
      <c r="W49" s="970"/>
      <c r="X49" s="408">
        <v>156</v>
      </c>
      <c r="Y49" s="970"/>
      <c r="Z49" s="1432"/>
      <c r="AA49" s="919"/>
      <c r="AC49" s="976">
        <f t="shared" ref="AC49:AC53" si="13">AVERAGE(V49,R49,T49,Z49,X49)</f>
        <v>377.75</v>
      </c>
      <c r="AD49" s="1213"/>
    </row>
    <row r="50" spans="1:31" s="909" customFormat="1" ht="13.5" customHeight="1" x14ac:dyDescent="0.2">
      <c r="B50" s="1137" t="s">
        <v>10</v>
      </c>
      <c r="C50" s="965"/>
      <c r="D50" s="972">
        <v>199</v>
      </c>
      <c r="E50" s="967"/>
      <c r="F50" s="973">
        <v>65</v>
      </c>
      <c r="G50" s="968"/>
      <c r="H50" s="974">
        <v>177</v>
      </c>
      <c r="I50" s="970"/>
      <c r="J50" s="975">
        <v>154</v>
      </c>
      <c r="K50" s="968"/>
      <c r="L50" s="975">
        <v>239</v>
      </c>
      <c r="M50" s="968"/>
      <c r="N50" s="408">
        <v>256</v>
      </c>
      <c r="O50" s="970"/>
      <c r="P50" s="408">
        <v>242</v>
      </c>
      <c r="Q50" s="970"/>
      <c r="R50" s="408">
        <v>111</v>
      </c>
      <c r="S50" s="970"/>
      <c r="T50" s="408">
        <v>93</v>
      </c>
      <c r="U50" s="970"/>
      <c r="V50" s="408">
        <v>110</v>
      </c>
      <c r="W50" s="970"/>
      <c r="X50" s="408">
        <v>141</v>
      </c>
      <c r="Y50" s="970"/>
      <c r="Z50" s="1432"/>
      <c r="AA50" s="919"/>
      <c r="AC50" s="976">
        <f t="shared" si="13"/>
        <v>113.75</v>
      </c>
    </row>
    <row r="51" spans="1:31" s="909" customFormat="1" ht="13.5" customHeight="1" x14ac:dyDescent="0.2">
      <c r="B51" s="1137" t="s">
        <v>11</v>
      </c>
      <c r="C51" s="965"/>
      <c r="D51" s="972">
        <v>6</v>
      </c>
      <c r="E51" s="967"/>
      <c r="F51" s="973">
        <v>8</v>
      </c>
      <c r="G51" s="968"/>
      <c r="H51" s="974">
        <v>35</v>
      </c>
      <c r="I51" s="970"/>
      <c r="J51" s="975">
        <v>29</v>
      </c>
      <c r="K51" s="968"/>
      <c r="L51" s="975">
        <v>44</v>
      </c>
      <c r="M51" s="968"/>
      <c r="N51" s="408">
        <v>61</v>
      </c>
      <c r="O51" s="970"/>
      <c r="P51" s="408">
        <v>47</v>
      </c>
      <c r="Q51" s="970"/>
      <c r="R51" s="408">
        <v>69</v>
      </c>
      <c r="S51" s="970"/>
      <c r="T51" s="408">
        <v>51</v>
      </c>
      <c r="U51" s="970"/>
      <c r="V51" s="408">
        <v>29</v>
      </c>
      <c r="W51" s="970"/>
      <c r="X51" s="408">
        <v>29</v>
      </c>
      <c r="Y51" s="970"/>
      <c r="Z51" s="1432"/>
      <c r="AA51" s="919"/>
      <c r="AC51" s="976">
        <f t="shared" si="13"/>
        <v>44.5</v>
      </c>
    </row>
    <row r="52" spans="1:31" s="909" customFormat="1" ht="13.5" customHeight="1" x14ac:dyDescent="0.2">
      <c r="B52" s="1137" t="s">
        <v>12</v>
      </c>
      <c r="C52" s="965"/>
      <c r="D52" s="977"/>
      <c r="E52" s="967"/>
      <c r="F52" s="978">
        <v>0</v>
      </c>
      <c r="G52" s="968"/>
      <c r="H52" s="979">
        <v>0</v>
      </c>
      <c r="I52" s="970"/>
      <c r="J52" s="980">
        <v>0</v>
      </c>
      <c r="K52" s="968"/>
      <c r="L52" s="980">
        <v>0</v>
      </c>
      <c r="M52" s="968"/>
      <c r="N52" s="217">
        <v>0</v>
      </c>
      <c r="O52" s="970"/>
      <c r="P52" s="217">
        <v>0</v>
      </c>
      <c r="Q52" s="970"/>
      <c r="R52" s="217">
        <v>0</v>
      </c>
      <c r="S52" s="970"/>
      <c r="T52" s="217">
        <v>0</v>
      </c>
      <c r="U52" s="970"/>
      <c r="V52" s="217">
        <v>0</v>
      </c>
      <c r="W52" s="970"/>
      <c r="X52" s="217"/>
      <c r="Y52" s="970"/>
      <c r="Z52" s="1433"/>
      <c r="AA52" s="919"/>
      <c r="AC52" s="976">
        <f t="shared" si="13"/>
        <v>0</v>
      </c>
    </row>
    <row r="53" spans="1:31" s="909" customFormat="1" ht="13.5" customHeight="1" thickBot="1" x14ac:dyDescent="0.25">
      <c r="B53" s="1138" t="s">
        <v>13</v>
      </c>
      <c r="C53" s="981"/>
      <c r="D53" s="982">
        <f>SUM(D49:D52)</f>
        <v>504</v>
      </c>
      <c r="E53" s="983"/>
      <c r="F53" s="984">
        <f>SUM(F49:F52)</f>
        <v>395</v>
      </c>
      <c r="G53" s="985"/>
      <c r="H53" s="986">
        <f>SUM(H49:H52)</f>
        <v>509</v>
      </c>
      <c r="I53" s="987"/>
      <c r="J53" s="988">
        <f>SUM(J49:J52)</f>
        <v>498</v>
      </c>
      <c r="K53" s="985"/>
      <c r="L53" s="988">
        <f>SUM(L49:L52)</f>
        <v>643</v>
      </c>
      <c r="M53" s="985"/>
      <c r="N53" s="432">
        <v>680</v>
      </c>
      <c r="O53" s="987"/>
      <c r="P53" s="432">
        <f>SUM(P49:P52)</f>
        <v>705</v>
      </c>
      <c r="Q53" s="987"/>
      <c r="R53" s="432">
        <f>SUM(R49:R52)</f>
        <v>635</v>
      </c>
      <c r="S53" s="987"/>
      <c r="T53" s="432">
        <f>SUM(T49:T52)</f>
        <v>592</v>
      </c>
      <c r="U53" s="987"/>
      <c r="V53" s="432">
        <f>SUM(V49:V52)</f>
        <v>591</v>
      </c>
      <c r="W53" s="987"/>
      <c r="X53" s="432">
        <f>SUM(X49:X52)</f>
        <v>326</v>
      </c>
      <c r="Y53" s="987"/>
      <c r="Z53" s="1434">
        <f>SUM(Z49:Z52)</f>
        <v>0</v>
      </c>
      <c r="AB53" s="989"/>
      <c r="AC53" s="1166">
        <f t="shared" si="13"/>
        <v>428.8</v>
      </c>
      <c r="AE53" s="1213" t="s">
        <v>23</v>
      </c>
    </row>
    <row r="54" spans="1:31" ht="11.45" customHeight="1" thickTop="1" x14ac:dyDescent="0.2">
      <c r="B54" s="15"/>
      <c r="C54" s="61"/>
      <c r="D54" s="72"/>
      <c r="E54" s="61"/>
      <c r="F54" s="72"/>
      <c r="G54" s="321"/>
      <c r="H54" s="489"/>
      <c r="I54" s="321"/>
      <c r="J54" s="489"/>
      <c r="K54" s="321"/>
      <c r="L54" s="489"/>
      <c r="M54" s="321"/>
      <c r="N54" s="489"/>
      <c r="O54" s="321"/>
      <c r="P54" s="489"/>
      <c r="Q54" s="321"/>
      <c r="R54" s="489"/>
      <c r="S54" s="321"/>
      <c r="T54" s="489"/>
      <c r="U54" s="321"/>
      <c r="V54" s="489"/>
      <c r="W54" s="321"/>
      <c r="X54" s="489"/>
      <c r="Y54" s="321"/>
      <c r="Z54" s="489"/>
      <c r="AB54" s="24"/>
      <c r="AC54" s="1112"/>
    </row>
    <row r="55" spans="1:31" ht="12.75" x14ac:dyDescent="0.2">
      <c r="A55" s="75" t="s">
        <v>65</v>
      </c>
      <c r="B55" s="61"/>
      <c r="C55" s="24"/>
      <c r="D55" s="24"/>
      <c r="E55" s="24"/>
      <c r="F55" s="24"/>
      <c r="G55" s="235"/>
      <c r="H55" s="235"/>
      <c r="I55" s="235"/>
      <c r="J55" s="235"/>
      <c r="K55" s="235"/>
      <c r="L55" s="235"/>
      <c r="M55" s="235"/>
      <c r="N55" s="235"/>
      <c r="O55" s="235"/>
      <c r="Q55" s="235"/>
      <c r="S55" s="235"/>
      <c r="U55" s="235"/>
      <c r="W55" s="235"/>
      <c r="Y55" s="235"/>
      <c r="AD55" s="1" t="s">
        <v>23</v>
      </c>
      <c r="AE55" s="24"/>
    </row>
    <row r="56" spans="1:31" ht="13.5" thickBot="1" x14ac:dyDescent="0.25">
      <c r="A56" s="75"/>
      <c r="B56" s="61"/>
      <c r="C56" s="24"/>
      <c r="D56" s="24"/>
      <c r="E56" s="24"/>
      <c r="F56" s="24"/>
      <c r="G56" s="235"/>
      <c r="H56" s="235"/>
      <c r="I56" s="235"/>
      <c r="J56" s="235"/>
      <c r="K56" s="235"/>
      <c r="L56" s="235"/>
      <c r="M56" s="235"/>
      <c r="N56" s="235"/>
      <c r="O56" s="235"/>
      <c r="Q56" s="235"/>
      <c r="S56" s="235"/>
      <c r="U56" s="235"/>
      <c r="W56" s="235"/>
      <c r="Y56" s="235"/>
      <c r="AB56" s="24"/>
      <c r="AE56" s="24"/>
    </row>
    <row r="57" spans="1:31" ht="14.25" thickTop="1" thickBot="1" x14ac:dyDescent="0.25">
      <c r="A57" s="3"/>
      <c r="B57" s="1127" t="s">
        <v>57</v>
      </c>
      <c r="C57" s="1498" t="s">
        <v>33</v>
      </c>
      <c r="D57" s="1499"/>
      <c r="E57" s="1501" t="s">
        <v>34</v>
      </c>
      <c r="F57" s="1501"/>
      <c r="G57" s="1500" t="s">
        <v>106</v>
      </c>
      <c r="H57" s="1495"/>
      <c r="I57" s="1494" t="s">
        <v>118</v>
      </c>
      <c r="J57" s="1494"/>
      <c r="K57" s="1500" t="s">
        <v>121</v>
      </c>
      <c r="L57" s="1494"/>
      <c r="M57" s="1500" t="s">
        <v>127</v>
      </c>
      <c r="N57" s="1495"/>
      <c r="O57" s="1494" t="s">
        <v>174</v>
      </c>
      <c r="P57" s="1495"/>
      <c r="Q57" s="1494" t="s">
        <v>193</v>
      </c>
      <c r="R57" s="1495"/>
      <c r="S57" s="1494" t="s">
        <v>218</v>
      </c>
      <c r="T57" s="1495"/>
      <c r="U57" s="1494" t="s">
        <v>221</v>
      </c>
      <c r="V57" s="1495"/>
      <c r="W57" s="1494" t="s">
        <v>232</v>
      </c>
      <c r="X57" s="1495"/>
      <c r="Y57" s="1494" t="s">
        <v>241</v>
      </c>
      <c r="Z57" s="1508"/>
      <c r="AB57" s="1521" t="s">
        <v>134</v>
      </c>
      <c r="AC57" s="1520"/>
      <c r="AE57" s="24"/>
    </row>
    <row r="58" spans="1:31" ht="12.75" x14ac:dyDescent="0.2">
      <c r="A58" s="3"/>
      <c r="B58" s="1128" t="s">
        <v>58</v>
      </c>
      <c r="C58" s="134"/>
      <c r="D58" s="135"/>
      <c r="E58" s="7"/>
      <c r="F58" s="7"/>
      <c r="G58" s="261"/>
      <c r="H58" s="389"/>
      <c r="I58" s="231"/>
      <c r="J58" s="231"/>
      <c r="K58" s="261"/>
      <c r="L58" s="231"/>
      <c r="M58" s="261"/>
      <c r="N58" s="389"/>
      <c r="O58" s="231"/>
      <c r="P58" s="389"/>
      <c r="Q58" s="231"/>
      <c r="R58" s="389"/>
      <c r="S58" s="231"/>
      <c r="T58" s="389"/>
      <c r="U58" s="231"/>
      <c r="V58" s="389"/>
      <c r="W58" s="231"/>
      <c r="X58" s="389"/>
      <c r="Y58" s="231"/>
      <c r="Z58" s="104"/>
      <c r="AA58" s="657"/>
      <c r="AC58" s="652"/>
    </row>
    <row r="59" spans="1:31" ht="12.75" x14ac:dyDescent="0.2">
      <c r="A59" s="3"/>
      <c r="B59" s="1044" t="s">
        <v>59</v>
      </c>
      <c r="C59" s="189"/>
      <c r="D59" s="190">
        <f>223880+307036+598908</f>
        <v>1129824</v>
      </c>
      <c r="E59" s="179"/>
      <c r="F59" s="12">
        <f>275255+322369+627551</f>
        <v>1225175</v>
      </c>
      <c r="G59" s="295"/>
      <c r="H59" s="217">
        <f>276069+388271+659062</f>
        <v>1323402</v>
      </c>
      <c r="I59" s="420"/>
      <c r="J59" s="105">
        <f>416196+293938+718329</f>
        <v>1428463</v>
      </c>
      <c r="K59" s="295"/>
      <c r="L59" s="105">
        <v>1573270</v>
      </c>
      <c r="M59" s="295"/>
      <c r="N59" s="217">
        <f>421461+398537+778589</f>
        <v>1598587</v>
      </c>
      <c r="O59" s="420"/>
      <c r="P59" s="217">
        <f>408769+264977+752483+1202502</f>
        <v>2628731</v>
      </c>
      <c r="Q59" s="420"/>
      <c r="R59" s="217">
        <f>1231903+1059090+750278+333077</f>
        <v>3374348</v>
      </c>
      <c r="S59" s="420"/>
      <c r="T59" s="217">
        <v>3133378</v>
      </c>
      <c r="U59" s="420"/>
      <c r="V59" s="217">
        <v>3173421</v>
      </c>
      <c r="W59" s="420"/>
      <c r="X59" s="217">
        <v>2844241</v>
      </c>
      <c r="Y59" s="420"/>
      <c r="Z59" s="232">
        <v>2829803</v>
      </c>
      <c r="AA59" s="657"/>
      <c r="AC59" s="658">
        <f t="shared" ref="AC59" si="14">AVERAGE(V59,R59,T59,Z59,X59)</f>
        <v>3071038.2</v>
      </c>
    </row>
    <row r="60" spans="1:31" ht="12.75" x14ac:dyDescent="0.2">
      <c r="A60" s="3"/>
      <c r="B60" s="1044" t="s">
        <v>196</v>
      </c>
      <c r="C60" s="189"/>
      <c r="D60" s="190"/>
      <c r="E60" s="179"/>
      <c r="F60" s="12"/>
      <c r="G60" s="295"/>
      <c r="H60" s="1181"/>
      <c r="I60" s="420"/>
      <c r="J60" s="105"/>
      <c r="K60" s="295"/>
      <c r="L60" s="105"/>
      <c r="M60" s="295"/>
      <c r="N60" s="217"/>
      <c r="O60" s="420"/>
      <c r="P60" s="217"/>
      <c r="Q60" s="420"/>
      <c r="R60" s="217"/>
      <c r="S60" s="420"/>
      <c r="T60" s="217"/>
      <c r="U60" s="420"/>
      <c r="V60" s="217"/>
      <c r="W60" s="420"/>
      <c r="X60" s="217"/>
      <c r="Y60" s="420"/>
      <c r="Z60" s="232"/>
      <c r="AA60" s="657"/>
      <c r="AC60" s="658"/>
    </row>
    <row r="61" spans="1:31" ht="24" x14ac:dyDescent="0.2">
      <c r="A61" s="3"/>
      <c r="B61" s="1045" t="s">
        <v>197</v>
      </c>
      <c r="C61" s="134"/>
      <c r="D61" s="180">
        <f>15657+12313</f>
        <v>27970</v>
      </c>
      <c r="E61" s="7"/>
      <c r="F61" s="187">
        <f>17365+12984+375000</f>
        <v>405349</v>
      </c>
      <c r="G61" s="261"/>
      <c r="H61" s="433">
        <f>17695+13133+1208134</f>
        <v>1238962</v>
      </c>
      <c r="I61" s="231"/>
      <c r="J61" s="313">
        <f>18667+3988+1188923</f>
        <v>1211578</v>
      </c>
      <c r="K61" s="261"/>
      <c r="L61" s="313">
        <v>881699</v>
      </c>
      <c r="M61" s="261"/>
      <c r="N61" s="433">
        <f>20617+1157942+82187</f>
        <v>1260746</v>
      </c>
      <c r="O61" s="231"/>
      <c r="P61" s="433">
        <f>19565+1157127+82100</f>
        <v>1258792</v>
      </c>
      <c r="Q61" s="231"/>
      <c r="R61" s="433">
        <f>20898+1158612+82264</f>
        <v>1261774</v>
      </c>
      <c r="S61" s="231"/>
      <c r="T61" s="433">
        <v>1261881</v>
      </c>
      <c r="U61" s="231"/>
      <c r="V61" s="433">
        <v>1261898</v>
      </c>
      <c r="W61" s="231"/>
      <c r="X61" s="433">
        <v>954275</v>
      </c>
      <c r="Y61" s="231"/>
      <c r="Z61" s="1347">
        <v>1146245</v>
      </c>
      <c r="AA61" s="657"/>
      <c r="AC61" s="658">
        <f t="shared" ref="AC61:AC62" si="15">AVERAGE(V61,R61,T61,Z61,X61)</f>
        <v>1177214.6000000001</v>
      </c>
    </row>
    <row r="62" spans="1:31" ht="12.75" x14ac:dyDescent="0.2">
      <c r="A62" s="3"/>
      <c r="B62" s="1046" t="s">
        <v>60</v>
      </c>
      <c r="C62" s="141"/>
      <c r="D62" s="181">
        <f>SUM(D59:D61)</f>
        <v>1157794</v>
      </c>
      <c r="E62" s="59"/>
      <c r="F62" s="188">
        <f>SUM(F59:F61)</f>
        <v>1630524</v>
      </c>
      <c r="G62" s="264"/>
      <c r="H62" s="434">
        <f>SUM(H59:H61)</f>
        <v>2562364</v>
      </c>
      <c r="I62" s="388"/>
      <c r="J62" s="474">
        <f>SUM(J59:J61)</f>
        <v>2640041</v>
      </c>
      <c r="K62" s="264"/>
      <c r="L62" s="474">
        <f>SUM(L59:L61)</f>
        <v>2454969</v>
      </c>
      <c r="M62" s="264"/>
      <c r="N62" s="434">
        <f>SUM(N59:N61)</f>
        <v>2859333</v>
      </c>
      <c r="O62" s="388"/>
      <c r="P62" s="434">
        <f>SUM(P59:P61)</f>
        <v>3887523</v>
      </c>
      <c r="Q62" s="388"/>
      <c r="R62" s="434">
        <f>SUM(R59:R61)</f>
        <v>4636122</v>
      </c>
      <c r="S62" s="388"/>
      <c r="T62" s="434">
        <f>SUM(T59:T61)</f>
        <v>4395259</v>
      </c>
      <c r="U62" s="388"/>
      <c r="V62" s="434">
        <f>SUM(V59:V61)</f>
        <v>4435319</v>
      </c>
      <c r="W62" s="388"/>
      <c r="X62" s="434">
        <f>SUM(X59:X61)</f>
        <v>3798516</v>
      </c>
      <c r="Y62" s="388"/>
      <c r="Z62" s="1348">
        <f>SUM(Z59:Z61)</f>
        <v>3976048</v>
      </c>
      <c r="AA62" s="657"/>
      <c r="AC62" s="658">
        <f t="shared" si="15"/>
        <v>4248252.8</v>
      </c>
    </row>
    <row r="63" spans="1:31" ht="12.75" x14ac:dyDescent="0.2">
      <c r="A63" s="3"/>
      <c r="B63" s="1043" t="s">
        <v>61</v>
      </c>
      <c r="C63" s="134"/>
      <c r="D63" s="180"/>
      <c r="E63" s="7"/>
      <c r="F63" s="187"/>
      <c r="G63" s="261"/>
      <c r="H63" s="433"/>
      <c r="I63" s="231"/>
      <c r="J63" s="313"/>
      <c r="K63" s="261"/>
      <c r="L63" s="313"/>
      <c r="M63" s="261"/>
      <c r="N63" s="433"/>
      <c r="O63" s="231"/>
      <c r="P63" s="433"/>
      <c r="Q63" s="231"/>
      <c r="R63" s="433"/>
      <c r="S63" s="231"/>
      <c r="T63" s="433"/>
      <c r="U63" s="231"/>
      <c r="V63" s="433"/>
      <c r="W63" s="231"/>
      <c r="X63" s="433"/>
      <c r="Y63" s="231"/>
      <c r="Z63" s="1347"/>
      <c r="AA63" s="657"/>
      <c r="AC63" s="658"/>
    </row>
    <row r="64" spans="1:31" ht="12.75" x14ac:dyDescent="0.2">
      <c r="A64" s="3"/>
      <c r="B64" s="1044" t="s">
        <v>59</v>
      </c>
      <c r="C64" s="134"/>
      <c r="D64" s="180">
        <v>1158075</v>
      </c>
      <c r="E64" s="7"/>
      <c r="F64" s="187">
        <v>1376018</v>
      </c>
      <c r="G64" s="261"/>
      <c r="H64" s="433">
        <v>1430525</v>
      </c>
      <c r="I64" s="231"/>
      <c r="J64" s="313">
        <v>3467688</v>
      </c>
      <c r="K64" s="261"/>
      <c r="L64" s="313">
        <v>4314843</v>
      </c>
      <c r="M64" s="261"/>
      <c r="N64" s="433">
        <v>3940085</v>
      </c>
      <c r="O64" s="231"/>
      <c r="P64" s="433">
        <v>3436873</v>
      </c>
      <c r="Q64" s="231"/>
      <c r="R64" s="433">
        <f>1199755+1408324</f>
        <v>2608079</v>
      </c>
      <c r="S64" s="231"/>
      <c r="T64" s="433">
        <v>2579487</v>
      </c>
      <c r="U64" s="231"/>
      <c r="V64" s="433">
        <v>2487177</v>
      </c>
      <c r="W64" s="231"/>
      <c r="X64" s="433">
        <v>2613921</v>
      </c>
      <c r="Y64" s="231"/>
      <c r="Z64" s="1347">
        <v>3149074</v>
      </c>
      <c r="AA64" s="657"/>
      <c r="AC64" s="658">
        <f t="shared" ref="AC64:AC68" si="16">AVERAGE(V64,R64,T64,Z64,X64)</f>
        <v>2687547.6</v>
      </c>
    </row>
    <row r="65" spans="1:29" ht="12.75" x14ac:dyDescent="0.2">
      <c r="A65" s="3"/>
      <c r="B65" s="1044" t="s">
        <v>196</v>
      </c>
      <c r="C65" s="134"/>
      <c r="D65" s="180"/>
      <c r="E65" s="7"/>
      <c r="F65" s="187"/>
      <c r="G65" s="261"/>
      <c r="H65" s="1180"/>
      <c r="I65" s="231"/>
      <c r="J65" s="313">
        <v>621836</v>
      </c>
      <c r="K65" s="261"/>
      <c r="L65" s="313">
        <v>121836</v>
      </c>
      <c r="M65" s="261"/>
      <c r="N65" s="433">
        <v>316322</v>
      </c>
      <c r="O65" s="231"/>
      <c r="P65" s="433">
        <f>23909+194143</f>
        <v>218052</v>
      </c>
      <c r="Q65" s="231"/>
      <c r="R65" s="433">
        <f>24341+194760</f>
        <v>219101</v>
      </c>
      <c r="S65" s="231"/>
      <c r="T65" s="433">
        <v>219444</v>
      </c>
      <c r="U65" s="231"/>
      <c r="V65" s="433">
        <v>220138</v>
      </c>
      <c r="W65" s="231"/>
      <c r="X65" s="433">
        <v>219537</v>
      </c>
      <c r="Y65" s="231"/>
      <c r="Z65" s="1347">
        <v>219935</v>
      </c>
      <c r="AA65" s="657"/>
      <c r="AC65" s="658">
        <f t="shared" si="16"/>
        <v>219631</v>
      </c>
    </row>
    <row r="66" spans="1:29" ht="24" x14ac:dyDescent="0.2">
      <c r="A66" s="3"/>
      <c r="B66" s="1045" t="s">
        <v>198</v>
      </c>
      <c r="C66" s="134"/>
      <c r="D66" s="180">
        <v>23641</v>
      </c>
      <c r="E66" s="7"/>
      <c r="F66" s="187"/>
      <c r="G66" s="261"/>
      <c r="H66" s="433"/>
      <c r="I66" s="231"/>
      <c r="J66" s="313">
        <v>16865481</v>
      </c>
      <c r="K66" s="261"/>
      <c r="L66" s="313">
        <v>16337748</v>
      </c>
      <c r="M66" s="261"/>
      <c r="N66" s="433">
        <v>14435062</v>
      </c>
      <c r="O66" s="231"/>
      <c r="P66" s="433">
        <v>11107520</v>
      </c>
      <c r="Q66" s="231"/>
      <c r="R66" s="433">
        <v>11117662</v>
      </c>
      <c r="S66" s="231"/>
      <c r="T66" s="433">
        <v>14114510</v>
      </c>
      <c r="U66" s="231"/>
      <c r="V66" s="433">
        <v>15823626</v>
      </c>
      <c r="W66" s="231"/>
      <c r="X66" s="433">
        <v>20779362</v>
      </c>
      <c r="Y66" s="231"/>
      <c r="Z66" s="1347">
        <v>21208537</v>
      </c>
      <c r="AA66" s="657"/>
      <c r="AC66" s="658">
        <f t="shared" si="16"/>
        <v>16608739.4</v>
      </c>
    </row>
    <row r="67" spans="1:29" ht="12.75" x14ac:dyDescent="0.2">
      <c r="A67" s="3"/>
      <c r="B67" s="1046" t="s">
        <v>62</v>
      </c>
      <c r="C67" s="141"/>
      <c r="D67" s="181">
        <f>SUM(D64:D66)</f>
        <v>1181716</v>
      </c>
      <c r="E67" s="59"/>
      <c r="F67" s="188">
        <f>SUM(F64:F66)</f>
        <v>1376018</v>
      </c>
      <c r="G67" s="264"/>
      <c r="H67" s="434">
        <f>SUM(H64:H66)</f>
        <v>1430525</v>
      </c>
      <c r="I67" s="388"/>
      <c r="J67" s="474">
        <f>SUM(J64:J66)</f>
        <v>20955005</v>
      </c>
      <c r="K67" s="264"/>
      <c r="L67" s="474">
        <f>SUM(L64:L66)</f>
        <v>20774427</v>
      </c>
      <c r="M67" s="264"/>
      <c r="N67" s="434">
        <f>SUM(N64:N66)</f>
        <v>18691469</v>
      </c>
      <c r="O67" s="388"/>
      <c r="P67" s="434">
        <f>SUM(P64:P66)</f>
        <v>14762445</v>
      </c>
      <c r="Q67" s="388"/>
      <c r="R67" s="434">
        <f>SUM(R64:R66)</f>
        <v>13944842</v>
      </c>
      <c r="S67" s="388"/>
      <c r="T67" s="434">
        <f>SUM(T64:T66)</f>
        <v>16913441</v>
      </c>
      <c r="U67" s="388"/>
      <c r="V67" s="434">
        <f>SUM(V64:V66)</f>
        <v>18530941</v>
      </c>
      <c r="W67" s="388"/>
      <c r="X67" s="434">
        <f>SUM(X64:X66)</f>
        <v>23612820</v>
      </c>
      <c r="Y67" s="388"/>
      <c r="Z67" s="434">
        <f>SUM(Z64:Z66)</f>
        <v>24577546</v>
      </c>
      <c r="AA67" s="657"/>
      <c r="AC67" s="658">
        <f t="shared" si="16"/>
        <v>19515918</v>
      </c>
    </row>
    <row r="68" spans="1:29" ht="13.5" thickBot="1" x14ac:dyDescent="0.25">
      <c r="A68" s="3"/>
      <c r="B68" s="1070" t="s">
        <v>63</v>
      </c>
      <c r="C68" s="134"/>
      <c r="D68" s="181">
        <f>SUM(D62,D67)</f>
        <v>2339510</v>
      </c>
      <c r="E68" s="7"/>
      <c r="F68" s="188">
        <f>SUM(F62,F67)</f>
        <v>3006542</v>
      </c>
      <c r="G68" s="261"/>
      <c r="H68" s="434">
        <f>SUM(H62,H67)</f>
        <v>3992889</v>
      </c>
      <c r="I68" s="231"/>
      <c r="J68" s="474">
        <f>SUM(J62,J67)</f>
        <v>23595046</v>
      </c>
      <c r="K68" s="261"/>
      <c r="L68" s="474">
        <f>SUM(L62,L67)</f>
        <v>23229396</v>
      </c>
      <c r="M68" s="261"/>
      <c r="N68" s="434">
        <f>SUM(N62,N67)</f>
        <v>21550802</v>
      </c>
      <c r="O68" s="231"/>
      <c r="P68" s="434">
        <f>SUM(P62,P67)</f>
        <v>18649968</v>
      </c>
      <c r="Q68" s="231"/>
      <c r="R68" s="434">
        <f>SUM(R62,R67)</f>
        <v>18580964</v>
      </c>
      <c r="S68" s="231"/>
      <c r="T68" s="434">
        <f>SUM(T62,T67)</f>
        <v>21308700</v>
      </c>
      <c r="U68" s="231"/>
      <c r="V68" s="434">
        <f>SUM(V62,V67)</f>
        <v>22966260</v>
      </c>
      <c r="W68" s="231"/>
      <c r="X68" s="434">
        <f>SUM(X62,X67)</f>
        <v>27411336</v>
      </c>
      <c r="Y68" s="231"/>
      <c r="Z68" s="434">
        <f>SUM(Z62,Z67)</f>
        <v>28553594</v>
      </c>
      <c r="AA68" s="657"/>
      <c r="AB68" s="665"/>
      <c r="AC68" s="668">
        <f t="shared" si="16"/>
        <v>23764170.800000001</v>
      </c>
    </row>
    <row r="69" spans="1:29" ht="12" x14ac:dyDescent="0.2">
      <c r="B69" s="1048" t="s">
        <v>202</v>
      </c>
      <c r="C69" s="142"/>
      <c r="D69" s="143"/>
      <c r="E69" s="54"/>
      <c r="F69" s="54"/>
      <c r="G69" s="265"/>
      <c r="H69" s="435"/>
      <c r="I69" s="138"/>
      <c r="J69" s="138"/>
      <c r="K69" s="265"/>
      <c r="L69" s="138"/>
      <c r="M69" s="265"/>
      <c r="N69" s="435"/>
      <c r="O69" s="138"/>
      <c r="P69" s="435"/>
      <c r="Q69" s="138"/>
      <c r="R69" s="435"/>
      <c r="S69" s="138"/>
      <c r="T69" s="435"/>
      <c r="U69" s="138"/>
      <c r="V69" s="435"/>
      <c r="W69" s="138"/>
      <c r="X69" s="435"/>
      <c r="Y69" s="138"/>
      <c r="Z69" s="236"/>
      <c r="AA69" s="657"/>
      <c r="AC69" s="661"/>
    </row>
    <row r="70" spans="1:29" ht="11.45" customHeight="1" x14ac:dyDescent="0.2">
      <c r="B70" s="45" t="s">
        <v>204</v>
      </c>
      <c r="C70" s="134"/>
      <c r="D70" s="191">
        <f>171817+645</f>
        <v>172462</v>
      </c>
      <c r="E70" s="528"/>
      <c r="F70" s="555">
        <v>157855</v>
      </c>
      <c r="G70" s="491"/>
      <c r="H70" s="503">
        <f>1789+362974</f>
        <v>364763</v>
      </c>
      <c r="I70" s="125"/>
      <c r="J70" s="386">
        <f>18163.19+385558</f>
        <v>403721.19</v>
      </c>
      <c r="K70" s="264"/>
      <c r="L70" s="328">
        <f>17264+319184</f>
        <v>336448</v>
      </c>
      <c r="M70" s="261"/>
      <c r="N70" s="1248">
        <f>4739+835685</f>
        <v>840424</v>
      </c>
      <c r="O70" s="231"/>
      <c r="P70" s="454">
        <f>7774+77618</f>
        <v>85392</v>
      </c>
      <c r="Q70" s="327"/>
      <c r="R70" s="454">
        <f>12459+69983</f>
        <v>82442</v>
      </c>
      <c r="S70" s="327"/>
      <c r="T70" s="454">
        <f>7679+211655.26+46645.14+1863.05+1262.09</f>
        <v>269104.54000000004</v>
      </c>
      <c r="U70" s="327"/>
      <c r="V70" s="454">
        <f>11828</f>
        <v>11828</v>
      </c>
      <c r="W70" s="327"/>
      <c r="X70" s="454">
        <v>12475.52</v>
      </c>
      <c r="Y70" s="327"/>
      <c r="Z70" s="1323"/>
      <c r="AA70" s="657"/>
      <c r="AC70" s="661">
        <f>AVERAGE(V70,R70,T70,P70,X70)</f>
        <v>92248.412000000011</v>
      </c>
    </row>
    <row r="71" spans="1:29" ht="12" customHeight="1" x14ac:dyDescent="0.2">
      <c r="B71" s="1129" t="s">
        <v>203</v>
      </c>
      <c r="C71" s="184"/>
      <c r="D71" s="191">
        <v>1580035</v>
      </c>
      <c r="E71" s="49"/>
      <c r="F71" s="386">
        <f>1032068+695840</f>
        <v>1727908</v>
      </c>
      <c r="G71" s="556"/>
      <c r="H71" s="503">
        <f>1759618+167755+36875</f>
        <v>1964248</v>
      </c>
      <c r="I71" s="557"/>
      <c r="J71" s="386">
        <f>879006.5+856095.5+184614+1160</f>
        <v>1920876</v>
      </c>
      <c r="K71" s="1266"/>
      <c r="L71" s="386">
        <f>24799+833876+102919+489969+6967+439869+45641+117207+1583</f>
        <v>2062830</v>
      </c>
      <c r="M71" s="296"/>
      <c r="N71" s="503">
        <f>805079+1103451</f>
        <v>1908530</v>
      </c>
      <c r="O71" s="421"/>
      <c r="P71" s="454">
        <f>1700047-21-18+46412+184935+1850</f>
        <v>1933205</v>
      </c>
      <c r="Q71" s="327"/>
      <c r="R71" s="1268">
        <f>279147.34+552223.56+1509.9+213584.06+172396.86+942450.09+46029.13+88.37+931.37</f>
        <v>2208360.6800000002</v>
      </c>
      <c r="S71" s="327"/>
      <c r="T71" s="1268">
        <f>172246.99+537991.93-165.41-608.8+287407.16+883685.66+796.22+46945.14+211655.26+1863.05</f>
        <v>2141817.1999999993</v>
      </c>
      <c r="U71" s="327"/>
      <c r="V71" s="1268">
        <f>1684213+258078+7061</f>
        <v>1949352</v>
      </c>
      <c r="W71" s="327"/>
      <c r="X71" s="1268">
        <f>2066014.32+119242.47</f>
        <v>2185256.79</v>
      </c>
      <c r="Y71" s="327"/>
      <c r="Z71" s="1324"/>
      <c r="AA71" s="657"/>
      <c r="AC71" s="661">
        <f>AVERAGE(V71,R71,T71,P71,X71)</f>
        <v>2083598.3339999996</v>
      </c>
    </row>
    <row r="72" spans="1:29" ht="11.45" customHeight="1" thickBot="1" x14ac:dyDescent="0.25">
      <c r="B72" s="1130"/>
      <c r="C72" s="144"/>
      <c r="D72" s="157"/>
      <c r="E72" s="19"/>
      <c r="F72" s="332"/>
      <c r="G72" s="266"/>
      <c r="H72" s="436"/>
      <c r="I72" s="422"/>
      <c r="J72" s="332"/>
      <c r="K72" s="266"/>
      <c r="L72" s="332"/>
      <c r="M72" s="266"/>
      <c r="N72" s="436"/>
      <c r="O72" s="422"/>
      <c r="P72" s="436"/>
      <c r="Q72" s="422"/>
      <c r="R72" s="436"/>
      <c r="S72" s="422"/>
      <c r="T72" s="436"/>
      <c r="U72" s="422"/>
      <c r="V72" s="436"/>
      <c r="W72" s="422"/>
      <c r="X72" s="436"/>
      <c r="Y72" s="422"/>
      <c r="Z72" s="237"/>
      <c r="AA72" s="657"/>
      <c r="AB72" s="665"/>
      <c r="AC72" s="666"/>
    </row>
    <row r="73" spans="1:29" ht="11.45" customHeight="1" x14ac:dyDescent="0.2">
      <c r="B73" s="1131"/>
      <c r="C73" s="145" t="s">
        <v>97</v>
      </c>
      <c r="D73" s="146" t="s">
        <v>104</v>
      </c>
      <c r="E73" s="53" t="s">
        <v>97</v>
      </c>
      <c r="F73" s="155" t="s">
        <v>104</v>
      </c>
      <c r="G73" s="267" t="s">
        <v>97</v>
      </c>
      <c r="H73" s="437" t="s">
        <v>104</v>
      </c>
      <c r="I73" s="423" t="s">
        <v>97</v>
      </c>
      <c r="J73" s="475" t="s">
        <v>104</v>
      </c>
      <c r="K73" s="267" t="s">
        <v>97</v>
      </c>
      <c r="L73" s="475" t="s">
        <v>104</v>
      </c>
      <c r="M73" s="267" t="s">
        <v>97</v>
      </c>
      <c r="N73" s="437" t="s">
        <v>104</v>
      </c>
      <c r="O73" s="423" t="s">
        <v>97</v>
      </c>
      <c r="P73" s="437" t="s">
        <v>104</v>
      </c>
      <c r="Q73" s="423" t="s">
        <v>97</v>
      </c>
      <c r="R73" s="437" t="s">
        <v>104</v>
      </c>
      <c r="S73" s="423" t="s">
        <v>97</v>
      </c>
      <c r="T73" s="437" t="s">
        <v>104</v>
      </c>
      <c r="U73" s="423" t="s">
        <v>97</v>
      </c>
      <c r="V73" s="437" t="s">
        <v>104</v>
      </c>
      <c r="W73" s="423" t="s">
        <v>97</v>
      </c>
      <c r="X73" s="437" t="s">
        <v>104</v>
      </c>
      <c r="Y73" s="423" t="s">
        <v>97</v>
      </c>
      <c r="Z73" s="250" t="s">
        <v>104</v>
      </c>
      <c r="AA73" s="657"/>
      <c r="AB73" s="267" t="s">
        <v>97</v>
      </c>
      <c r="AC73" s="667" t="s">
        <v>104</v>
      </c>
    </row>
    <row r="74" spans="1:29" ht="11.45" customHeight="1" x14ac:dyDescent="0.2">
      <c r="B74" s="1072" t="s">
        <v>50</v>
      </c>
      <c r="C74" s="764">
        <v>1</v>
      </c>
      <c r="D74" s="515">
        <v>0</v>
      </c>
      <c r="E74" s="64">
        <v>2</v>
      </c>
      <c r="F74" s="515">
        <v>0</v>
      </c>
      <c r="G74" s="768">
        <v>0</v>
      </c>
      <c r="H74" s="515">
        <v>0</v>
      </c>
      <c r="I74" s="799">
        <v>1</v>
      </c>
      <c r="J74" s="515">
        <v>0</v>
      </c>
      <c r="K74" s="768">
        <v>1</v>
      </c>
      <c r="L74" s="327">
        <v>75000</v>
      </c>
      <c r="M74" s="1093">
        <f>1+2</f>
        <v>3</v>
      </c>
      <c r="N74" s="503">
        <f>7076+80334</f>
        <v>87410</v>
      </c>
      <c r="O74" s="1093">
        <v>0</v>
      </c>
      <c r="P74" s="503">
        <v>0</v>
      </c>
      <c r="Q74" s="771">
        <v>5</v>
      </c>
      <c r="R74" s="454">
        <f>1402478+74134+18623</f>
        <v>1495235</v>
      </c>
      <c r="S74" s="771">
        <v>1</v>
      </c>
      <c r="T74" s="454">
        <v>144561</v>
      </c>
      <c r="U74" s="771">
        <f>3+1</f>
        <v>4</v>
      </c>
      <c r="V74" s="454">
        <f>150370+10573121</f>
        <v>10723491</v>
      </c>
      <c r="W74" s="771">
        <v>11</v>
      </c>
      <c r="X74" s="454">
        <v>77766</v>
      </c>
      <c r="Y74" s="992"/>
      <c r="Z74" s="385"/>
      <c r="AA74" s="657"/>
      <c r="AB74" s="801">
        <f>AVERAGE(U74,Q74,S74,O74,W74)</f>
        <v>4.2</v>
      </c>
      <c r="AC74" s="661">
        <f>AVERAGE(V74,R74,T74,P74,X74)</f>
        <v>2488210.6</v>
      </c>
    </row>
    <row r="75" spans="1:29" ht="11.45" customHeight="1" x14ac:dyDescent="0.2">
      <c r="B75" s="834"/>
      <c r="C75" s="797"/>
      <c r="D75" s="192"/>
      <c r="E75" s="64"/>
      <c r="F75" s="13"/>
      <c r="G75" s="798"/>
      <c r="H75" s="438"/>
      <c r="I75" s="799"/>
      <c r="J75" s="421"/>
      <c r="K75" s="798"/>
      <c r="L75" s="327"/>
      <c r="M75" s="1093"/>
      <c r="N75" s="503"/>
      <c r="O75" s="1093"/>
      <c r="P75" s="503"/>
      <c r="Q75" s="1356"/>
      <c r="R75" s="454"/>
      <c r="S75" s="421"/>
      <c r="T75" s="438"/>
      <c r="U75" s="421"/>
      <c r="V75" s="438"/>
      <c r="W75" s="421"/>
      <c r="X75" s="438"/>
      <c r="Y75" s="1327"/>
      <c r="Z75" s="990"/>
      <c r="AA75" s="657"/>
      <c r="AB75" s="801"/>
      <c r="AC75" s="661"/>
    </row>
    <row r="76" spans="1:29" ht="12.75" thickBot="1" x14ac:dyDescent="0.25">
      <c r="B76" s="1073" t="s">
        <v>16</v>
      </c>
      <c r="C76" s="766">
        <v>5</v>
      </c>
      <c r="D76" s="551">
        <v>22115</v>
      </c>
      <c r="E76" s="751">
        <v>4</v>
      </c>
      <c r="F76" s="552">
        <v>35742</v>
      </c>
      <c r="G76" s="770">
        <v>3</v>
      </c>
      <c r="H76" s="553">
        <v>18323</v>
      </c>
      <c r="I76" s="773">
        <v>2</v>
      </c>
      <c r="J76" s="647">
        <v>19275</v>
      </c>
      <c r="K76" s="800">
        <f>1+1</f>
        <v>2</v>
      </c>
      <c r="L76" s="633">
        <f>19546+11938</f>
        <v>31484</v>
      </c>
      <c r="M76" s="770">
        <v>1</v>
      </c>
      <c r="N76" s="632">
        <v>74134</v>
      </c>
      <c r="O76" s="770">
        <v>5</v>
      </c>
      <c r="P76" s="632">
        <f>41518+221702</f>
        <v>263220</v>
      </c>
      <c r="Q76" s="1358">
        <v>3</v>
      </c>
      <c r="R76" s="632">
        <f>150210+3982</f>
        <v>154192</v>
      </c>
      <c r="S76" s="1358">
        <f>2+2+1</f>
        <v>5</v>
      </c>
      <c r="T76" s="632">
        <f>81958+74134+125945</f>
        <v>282037</v>
      </c>
      <c r="U76" s="1358">
        <f>2+3</f>
        <v>5</v>
      </c>
      <c r="V76" s="632">
        <f>453714+150737</f>
        <v>604451</v>
      </c>
      <c r="W76" s="1358">
        <v>4</v>
      </c>
      <c r="X76" s="632">
        <v>4080119</v>
      </c>
      <c r="Y76" s="993"/>
      <c r="Z76" s="368"/>
      <c r="AA76" s="657"/>
      <c r="AB76" s="802">
        <f>AVERAGE(U76,Q76,S76,O76,W76)</f>
        <v>4.4000000000000004</v>
      </c>
      <c r="AC76" s="661">
        <f>AVERAGE(V76,R76,T76,P76,X76)</f>
        <v>1076803.8</v>
      </c>
    </row>
    <row r="77" spans="1:29" ht="12" x14ac:dyDescent="0.2">
      <c r="B77" s="1048" t="s">
        <v>68</v>
      </c>
      <c r="C77" s="185"/>
      <c r="D77" s="193"/>
      <c r="E77" s="94"/>
      <c r="F77" s="293"/>
      <c r="G77" s="297"/>
      <c r="H77" s="439"/>
      <c r="I77" s="424"/>
      <c r="J77" s="476"/>
      <c r="K77" s="297"/>
      <c r="L77" s="476"/>
      <c r="M77" s="297"/>
      <c r="N77" s="439"/>
      <c r="O77" s="424"/>
      <c r="P77" s="439"/>
      <c r="Q77" s="424"/>
      <c r="R77" s="439"/>
      <c r="S77" s="424"/>
      <c r="T77" s="439"/>
      <c r="U77" s="424"/>
      <c r="V77" s="439"/>
      <c r="W77" s="424"/>
      <c r="X77" s="439"/>
      <c r="Y77" s="424"/>
      <c r="Z77" s="238"/>
      <c r="AA77" s="657"/>
      <c r="AB77" s="1014"/>
      <c r="AC77" s="1015"/>
    </row>
    <row r="78" spans="1:29" ht="12" x14ac:dyDescent="0.2">
      <c r="B78" s="1132" t="s">
        <v>69</v>
      </c>
      <c r="C78" s="186"/>
      <c r="D78" s="194"/>
      <c r="E78" s="25"/>
      <c r="F78" s="26"/>
      <c r="G78" s="269"/>
      <c r="H78" s="440"/>
      <c r="I78" s="239"/>
      <c r="J78" s="229"/>
      <c r="K78" s="269"/>
      <c r="L78" s="229"/>
      <c r="M78" s="269"/>
      <c r="N78" s="440"/>
      <c r="O78" s="239"/>
      <c r="P78" s="440"/>
      <c r="Q78" s="239"/>
      <c r="R78" s="440"/>
      <c r="S78" s="239"/>
      <c r="T78" s="440"/>
      <c r="U78" s="239"/>
      <c r="V78" s="440"/>
      <c r="W78" s="239"/>
      <c r="X78" s="1447"/>
      <c r="Y78" s="239"/>
      <c r="Z78" s="240"/>
      <c r="AA78" s="657"/>
      <c r="AC78" s="661"/>
    </row>
    <row r="79" spans="1:29" s="222" customFormat="1" ht="12" x14ac:dyDescent="0.2">
      <c r="B79" s="1133" t="s">
        <v>70</v>
      </c>
      <c r="C79" s="268"/>
      <c r="D79" s="220">
        <f>858945.07+40900.68+525</f>
        <v>900370.75</v>
      </c>
      <c r="E79" s="541"/>
      <c r="F79" s="542">
        <f>50010+34446.41+1392996.24</f>
        <v>1477452.65</v>
      </c>
      <c r="G79" s="558"/>
      <c r="H79" s="220">
        <f>51000+25+619432+16651</f>
        <v>687108</v>
      </c>
      <c r="I79" s="541"/>
      <c r="J79" s="559">
        <f>270755.65+303725+965707+10384.38</f>
        <v>1550572.0299999998</v>
      </c>
      <c r="K79" s="558"/>
      <c r="L79" s="616">
        <f>155566+350+1025646+45221</f>
        <v>1226783</v>
      </c>
      <c r="M79" s="558"/>
      <c r="N79" s="1119">
        <v>612716</v>
      </c>
      <c r="O79" s="541"/>
      <c r="P79" s="1119">
        <f>198695+60183+981510+39113</f>
        <v>1279501</v>
      </c>
      <c r="Q79" s="541"/>
      <c r="R79" s="1119">
        <f>158672.38+92236.64+4302186.61+174292.86</f>
        <v>4727388.4900000012</v>
      </c>
      <c r="S79" s="541"/>
      <c r="T79" s="1119">
        <v>1206754.96</v>
      </c>
      <c r="U79" s="541"/>
      <c r="V79" s="1119">
        <v>1872256.95</v>
      </c>
      <c r="W79" s="541"/>
      <c r="X79" s="1119">
        <f>8100+236608+1076886.82+7803.4</f>
        <v>1329398.22</v>
      </c>
      <c r="Y79" s="541"/>
      <c r="Z79" s="1325"/>
      <c r="AA79" s="662"/>
      <c r="AB79" s="1"/>
      <c r="AC79" s="661">
        <f t="shared" ref="AC79:AC80" si="17">AVERAGE(V79,R79,T79,P79,X79)</f>
        <v>2083059.9240000006</v>
      </c>
    </row>
    <row r="80" spans="1:29" s="222" customFormat="1" ht="18" customHeight="1" thickBot="1" x14ac:dyDescent="0.25">
      <c r="B80" s="1134" t="s">
        <v>71</v>
      </c>
      <c r="C80" s="270"/>
      <c r="D80" s="544">
        <f>1899041.88+172105.66</f>
        <v>2071147.5399999998</v>
      </c>
      <c r="E80" s="543"/>
      <c r="F80" s="490">
        <f>2024889.65+188441.1</f>
        <v>2213330.75</v>
      </c>
      <c r="G80" s="560"/>
      <c r="H80" s="455">
        <f>2148424.39+235981.64</f>
        <v>2384406.0300000003</v>
      </c>
      <c r="I80" s="543"/>
      <c r="J80" s="490">
        <f>438238.03+2436105.66</f>
        <v>2874343.6900000004</v>
      </c>
      <c r="K80" s="560"/>
      <c r="L80" s="490">
        <f>534065.07+2353211.71</f>
        <v>2887276.78</v>
      </c>
      <c r="M80" s="560"/>
      <c r="N80" s="455">
        <f>422419.89+1752946.68</f>
        <v>2175366.5699999998</v>
      </c>
      <c r="O80" s="543"/>
      <c r="P80" s="455">
        <f>453514+1892980</f>
        <v>2346494</v>
      </c>
      <c r="Q80" s="543"/>
      <c r="R80" s="455">
        <f>522351.78+2045187.17</f>
        <v>2567538.9500000002</v>
      </c>
      <c r="S80" s="543"/>
      <c r="T80" s="455">
        <v>2448392.42</v>
      </c>
      <c r="U80" s="543"/>
      <c r="V80" s="455">
        <f>524581.07+2100676.97</f>
        <v>2625258.04</v>
      </c>
      <c r="W80" s="543"/>
      <c r="X80" s="455">
        <f>594310.07+2370576.38</f>
        <v>2964886.4499999997</v>
      </c>
      <c r="Y80" s="543"/>
      <c r="Z80" s="1326"/>
      <c r="AA80" s="662"/>
      <c r="AB80" s="659"/>
      <c r="AC80" s="661">
        <f t="shared" si="17"/>
        <v>2590513.9720000001</v>
      </c>
    </row>
    <row r="81" spans="1:30" ht="11.45" customHeight="1" thickTop="1" x14ac:dyDescent="0.2">
      <c r="B81" s="50" t="s">
        <v>109</v>
      </c>
      <c r="C81" s="25"/>
      <c r="D81" s="62"/>
      <c r="E81" s="25"/>
      <c r="F81" s="26"/>
      <c r="G81" s="239"/>
      <c r="H81" s="229"/>
      <c r="I81" s="239"/>
      <c r="J81" s="229"/>
      <c r="K81" s="239"/>
      <c r="L81" s="229"/>
      <c r="M81" s="239"/>
      <c r="N81" s="229"/>
      <c r="O81" s="239"/>
      <c r="P81" s="229"/>
      <c r="Q81" s="239"/>
      <c r="R81" s="229"/>
      <c r="S81" s="239"/>
      <c r="T81" s="229"/>
      <c r="U81" s="239"/>
      <c r="V81" s="229"/>
      <c r="W81" s="239"/>
      <c r="X81" s="229"/>
      <c r="Y81" s="239"/>
      <c r="Z81" s="229"/>
      <c r="AA81" s="24"/>
      <c r="AB81" s="24"/>
      <c r="AC81" s="664"/>
      <c r="AD81" s="24"/>
    </row>
    <row r="82" spans="1:30" s="3" customFormat="1" ht="13.5" customHeight="1" x14ac:dyDescent="0.2">
      <c r="A82" s="3" t="s">
        <v>235</v>
      </c>
      <c r="B82" s="75"/>
      <c r="C82" s="76"/>
      <c r="D82" s="77"/>
      <c r="E82" s="76"/>
      <c r="F82" s="78"/>
      <c r="G82" s="241"/>
      <c r="H82" s="242"/>
      <c r="I82" s="241"/>
      <c r="J82" s="242"/>
      <c r="K82" s="241"/>
      <c r="L82" s="242"/>
      <c r="M82" s="241"/>
      <c r="N82" s="242"/>
      <c r="O82" s="241"/>
      <c r="P82" s="242"/>
      <c r="Q82" s="241"/>
      <c r="R82" s="242"/>
      <c r="S82" s="241"/>
      <c r="T82" s="242"/>
      <c r="U82" s="241"/>
      <c r="V82" s="242"/>
      <c r="W82" s="241"/>
      <c r="X82" s="242"/>
      <c r="Y82" s="241"/>
      <c r="Z82" s="242"/>
      <c r="AB82" s="1"/>
      <c r="AC82" s="24"/>
    </row>
    <row r="83" spans="1:30" ht="11.45" customHeight="1" thickBot="1" x14ac:dyDescent="0.25">
      <c r="B83" s="61"/>
      <c r="C83" s="25"/>
      <c r="D83" s="62"/>
      <c r="E83" s="25"/>
      <c r="F83" s="26"/>
      <c r="G83" s="239"/>
      <c r="H83" s="229"/>
      <c r="I83" s="239"/>
      <c r="J83" s="229"/>
      <c r="K83" s="239"/>
      <c r="L83" s="229"/>
      <c r="M83" s="239"/>
      <c r="N83" s="229"/>
      <c r="O83" s="239"/>
      <c r="P83" s="229"/>
      <c r="Q83" s="239"/>
      <c r="R83" s="229"/>
      <c r="S83" s="239"/>
      <c r="T83" s="229"/>
      <c r="U83" s="239"/>
      <c r="V83" s="229"/>
      <c r="W83" s="239"/>
      <c r="X83" s="229"/>
      <c r="Y83" s="239"/>
      <c r="Z83" s="229"/>
      <c r="AB83" s="71"/>
      <c r="AC83" s="71"/>
    </row>
    <row r="84" spans="1:30" ht="14.25" customHeight="1" thickTop="1" thickBot="1" x14ac:dyDescent="0.25">
      <c r="B84" s="1055"/>
      <c r="C84" s="1498" t="s">
        <v>33</v>
      </c>
      <c r="D84" s="1499"/>
      <c r="E84" s="1501" t="s">
        <v>34</v>
      </c>
      <c r="F84" s="1501"/>
      <c r="G84" s="1500" t="s">
        <v>106</v>
      </c>
      <c r="H84" s="1495"/>
      <c r="I84" s="1494" t="s">
        <v>118</v>
      </c>
      <c r="J84" s="1494"/>
      <c r="K84" s="1500" t="s">
        <v>121</v>
      </c>
      <c r="L84" s="1494"/>
      <c r="M84" s="1500" t="s">
        <v>127</v>
      </c>
      <c r="N84" s="1495"/>
      <c r="O84" s="1494" t="s">
        <v>174</v>
      </c>
      <c r="P84" s="1495"/>
      <c r="Q84" s="1494" t="s">
        <v>193</v>
      </c>
      <c r="R84" s="1495"/>
      <c r="S84" s="1494" t="s">
        <v>218</v>
      </c>
      <c r="T84" s="1495"/>
      <c r="U84" s="1494" t="s">
        <v>221</v>
      </c>
      <c r="V84" s="1495"/>
      <c r="W84" s="1494" t="s">
        <v>232</v>
      </c>
      <c r="X84" s="1495"/>
      <c r="Y84" s="1494" t="s">
        <v>241</v>
      </c>
      <c r="Z84" s="1508"/>
      <c r="AA84" s="657"/>
      <c r="AB84" s="1521" t="s">
        <v>134</v>
      </c>
      <c r="AC84" s="1520"/>
    </row>
    <row r="85" spans="1:30" ht="12" x14ac:dyDescent="0.2">
      <c r="B85" s="41" t="s">
        <v>37</v>
      </c>
      <c r="C85" s="132"/>
      <c r="D85" s="133"/>
      <c r="E85" s="16"/>
      <c r="F85" s="16"/>
      <c r="G85" s="260"/>
      <c r="H85" s="407"/>
      <c r="I85" s="387"/>
      <c r="J85" s="387"/>
      <c r="K85" s="260"/>
      <c r="L85" s="387"/>
      <c r="M85" s="260"/>
      <c r="N85" s="407"/>
      <c r="O85" s="387"/>
      <c r="P85" s="407"/>
      <c r="Q85" s="387"/>
      <c r="R85" s="407"/>
      <c r="S85" s="387"/>
      <c r="T85" s="407"/>
      <c r="U85" s="387"/>
      <c r="V85" s="407"/>
      <c r="W85" s="387"/>
      <c r="X85" s="407"/>
      <c r="Y85" s="387"/>
      <c r="Z85" s="230"/>
      <c r="AA85" s="657"/>
      <c r="AC85" s="652"/>
    </row>
    <row r="86" spans="1:30" ht="12" x14ac:dyDescent="0.2">
      <c r="B86" s="98" t="s">
        <v>38</v>
      </c>
      <c r="C86" s="134"/>
      <c r="D86" s="168"/>
      <c r="E86" s="7"/>
      <c r="F86" s="99"/>
      <c r="G86" s="261"/>
      <c r="H86" s="408"/>
      <c r="I86" s="231"/>
      <c r="J86" s="244"/>
      <c r="K86" s="261"/>
      <c r="L86" s="244"/>
      <c r="M86" s="261"/>
      <c r="N86" s="408"/>
      <c r="O86" s="231"/>
      <c r="P86" s="408"/>
      <c r="Q86" s="231"/>
      <c r="R86" s="408"/>
      <c r="S86" s="231"/>
      <c r="T86" s="408"/>
      <c r="U86" s="231"/>
      <c r="V86" s="408"/>
      <c r="W86" s="231"/>
      <c r="X86" s="408"/>
      <c r="Y86" s="231"/>
      <c r="Z86" s="221"/>
      <c r="AA86" s="657"/>
      <c r="AC86" s="652"/>
    </row>
    <row r="87" spans="1:30" ht="12" x14ac:dyDescent="0.2">
      <c r="B87" s="42" t="s">
        <v>39</v>
      </c>
      <c r="C87" s="134"/>
      <c r="D87" s="168">
        <v>1</v>
      </c>
      <c r="E87" s="7"/>
      <c r="F87" s="99">
        <v>1</v>
      </c>
      <c r="G87" s="261"/>
      <c r="H87" s="408">
        <v>0</v>
      </c>
      <c r="I87" s="231"/>
      <c r="J87" s="244">
        <v>0</v>
      </c>
      <c r="K87" s="261"/>
      <c r="L87" s="244">
        <v>0</v>
      </c>
      <c r="M87" s="261"/>
      <c r="N87" s="408">
        <v>0</v>
      </c>
      <c r="O87" s="231"/>
      <c r="P87" s="408">
        <v>0</v>
      </c>
      <c r="Q87" s="231"/>
      <c r="R87" s="408">
        <v>0</v>
      </c>
      <c r="S87" s="231"/>
      <c r="T87" s="408">
        <v>0</v>
      </c>
      <c r="U87" s="231"/>
      <c r="V87" s="408">
        <v>1</v>
      </c>
      <c r="W87" s="231"/>
      <c r="X87" s="408">
        <v>0</v>
      </c>
      <c r="Y87" s="231"/>
      <c r="Z87" s="221">
        <v>1</v>
      </c>
      <c r="AA87" s="657"/>
      <c r="AC87" s="658">
        <f>AVERAGE(V87,R87,T87,Z87,X87)</f>
        <v>0.4</v>
      </c>
    </row>
    <row r="88" spans="1:30" ht="12" x14ac:dyDescent="0.2">
      <c r="B88" s="42" t="s">
        <v>161</v>
      </c>
      <c r="C88" s="134"/>
      <c r="D88" s="168">
        <v>0</v>
      </c>
      <c r="E88" s="7"/>
      <c r="F88" s="99">
        <v>0</v>
      </c>
      <c r="G88" s="261"/>
      <c r="H88" s="408">
        <v>0</v>
      </c>
      <c r="I88" s="231"/>
      <c r="J88" s="244">
        <v>0</v>
      </c>
      <c r="K88" s="261"/>
      <c r="L88" s="244">
        <v>0</v>
      </c>
      <c r="M88" s="261"/>
      <c r="N88" s="408">
        <v>0</v>
      </c>
      <c r="O88" s="231"/>
      <c r="P88" s="408">
        <v>0</v>
      </c>
      <c r="Q88" s="231"/>
      <c r="R88" s="408">
        <v>0</v>
      </c>
      <c r="S88" s="231"/>
      <c r="T88" s="408">
        <v>0</v>
      </c>
      <c r="U88" s="231"/>
      <c r="V88" s="408">
        <v>0</v>
      </c>
      <c r="W88" s="231"/>
      <c r="X88" s="408">
        <v>0</v>
      </c>
      <c r="Y88" s="231"/>
      <c r="Z88" s="221">
        <v>0</v>
      </c>
      <c r="AA88" s="657"/>
      <c r="AC88" s="658">
        <f t="shared" ref="AC88" si="18">AVERAGE(V88,R88,T88,Z88,X88)</f>
        <v>0</v>
      </c>
    </row>
    <row r="89" spans="1:30" ht="12" x14ac:dyDescent="0.2">
      <c r="B89" s="98" t="s">
        <v>130</v>
      </c>
      <c r="C89" s="134"/>
      <c r="D89" s="136"/>
      <c r="E89" s="7"/>
      <c r="F89" s="12"/>
      <c r="G89" s="261"/>
      <c r="H89" s="217"/>
      <c r="I89" s="231"/>
      <c r="J89" s="105"/>
      <c r="K89" s="261"/>
      <c r="L89" s="105"/>
      <c r="M89" s="261"/>
      <c r="N89" s="217"/>
      <c r="O89" s="231"/>
      <c r="P89" s="217"/>
      <c r="Q89" s="231"/>
      <c r="R89" s="217"/>
      <c r="S89" s="231"/>
      <c r="T89" s="217"/>
      <c r="U89" s="231"/>
      <c r="V89" s="217"/>
      <c r="W89" s="231"/>
      <c r="X89" s="217"/>
      <c r="Y89" s="231"/>
      <c r="Z89" s="232"/>
      <c r="AA89" s="657"/>
      <c r="AC89" s="658"/>
    </row>
    <row r="90" spans="1:30" ht="12" x14ac:dyDescent="0.2">
      <c r="B90" s="42" t="s">
        <v>39</v>
      </c>
      <c r="C90" s="134"/>
      <c r="D90" s="136">
        <v>23</v>
      </c>
      <c r="E90" s="7"/>
      <c r="F90" s="12">
        <v>23</v>
      </c>
      <c r="G90" s="261"/>
      <c r="H90" s="217">
        <v>23</v>
      </c>
      <c r="I90" s="231"/>
      <c r="J90" s="105">
        <v>22</v>
      </c>
      <c r="K90" s="261"/>
      <c r="L90" s="105">
        <v>22</v>
      </c>
      <c r="M90" s="261"/>
      <c r="N90" s="217">
        <v>25</v>
      </c>
      <c r="O90" s="231"/>
      <c r="P90" s="217">
        <v>23</v>
      </c>
      <c r="Q90" s="231"/>
      <c r="R90" s="217">
        <v>22</v>
      </c>
      <c r="S90" s="231"/>
      <c r="T90" s="217">
        <v>22</v>
      </c>
      <c r="U90" s="231"/>
      <c r="V90" s="217">
        <v>19</v>
      </c>
      <c r="W90" s="231"/>
      <c r="X90" s="217">
        <f>3+1+2+7+4+4</f>
        <v>21</v>
      </c>
      <c r="Y90" s="231"/>
      <c r="Z90" s="232">
        <v>21</v>
      </c>
      <c r="AA90" s="657"/>
      <c r="AC90" s="658">
        <f t="shared" ref="AC90:AC92" si="19">AVERAGE(V90,R90,T90,Z90,X90)</f>
        <v>21</v>
      </c>
    </row>
    <row r="91" spans="1:30" ht="12" x14ac:dyDescent="0.2">
      <c r="B91" s="680" t="s">
        <v>161</v>
      </c>
      <c r="C91" s="134"/>
      <c r="D91" s="136">
        <v>0</v>
      </c>
      <c r="E91" s="7"/>
      <c r="F91" s="12">
        <v>0</v>
      </c>
      <c r="G91" s="261"/>
      <c r="H91" s="217">
        <v>0</v>
      </c>
      <c r="I91" s="231"/>
      <c r="J91" s="105">
        <v>0</v>
      </c>
      <c r="K91" s="261"/>
      <c r="L91" s="105">
        <v>0</v>
      </c>
      <c r="M91" s="261"/>
      <c r="N91" s="217">
        <v>0</v>
      </c>
      <c r="O91" s="231"/>
      <c r="P91" s="217">
        <v>0</v>
      </c>
      <c r="Q91" s="231"/>
      <c r="R91" s="217">
        <v>0</v>
      </c>
      <c r="S91" s="231"/>
      <c r="T91" s="217">
        <v>0</v>
      </c>
      <c r="U91" s="231"/>
      <c r="V91" s="217">
        <v>0</v>
      </c>
      <c r="W91" s="231"/>
      <c r="X91" s="217">
        <v>0</v>
      </c>
      <c r="Y91" s="231"/>
      <c r="Z91" s="232">
        <v>0</v>
      </c>
      <c r="AB91" s="663"/>
      <c r="AC91" s="658">
        <f t="shared" si="19"/>
        <v>0</v>
      </c>
    </row>
    <row r="92" spans="1:30" ht="12.75" thickBot="1" x14ac:dyDescent="0.25">
      <c r="B92" s="1056" t="s">
        <v>13</v>
      </c>
      <c r="C92" s="196"/>
      <c r="D92" s="208">
        <f>SUM(D87:D91)</f>
        <v>24</v>
      </c>
      <c r="E92" s="120"/>
      <c r="F92" s="47">
        <f>SUM(F87:F91)</f>
        <v>24</v>
      </c>
      <c r="G92" s="288"/>
      <c r="H92" s="409">
        <v>23</v>
      </c>
      <c r="I92" s="396"/>
      <c r="J92" s="315">
        <f>SUM(J87:J91)</f>
        <v>22</v>
      </c>
      <c r="K92" s="288"/>
      <c r="L92" s="315">
        <f>SUM(L87:L91)</f>
        <v>22</v>
      </c>
      <c r="M92" s="288"/>
      <c r="N92" s="409">
        <f>SUM(N87:N91)</f>
        <v>25</v>
      </c>
      <c r="O92" s="396"/>
      <c r="P92" s="409">
        <f>SUM(P87:P91)</f>
        <v>23</v>
      </c>
      <c r="Q92" s="396"/>
      <c r="R92" s="409">
        <f>SUM(R87:R91)</f>
        <v>22</v>
      </c>
      <c r="S92" s="396"/>
      <c r="T92" s="409">
        <f>SUM(T87:T91)</f>
        <v>22</v>
      </c>
      <c r="U92" s="396"/>
      <c r="V92" s="409">
        <f>SUM(V87:V91)</f>
        <v>20</v>
      </c>
      <c r="W92" s="396"/>
      <c r="X92" s="409">
        <f>SUM(X87:X91)</f>
        <v>21</v>
      </c>
      <c r="Y92" s="396"/>
      <c r="Z92" s="1359">
        <f>SUM(Z87:Z91)</f>
        <v>22</v>
      </c>
      <c r="AB92" s="665"/>
      <c r="AC92" s="668">
        <f t="shared" si="19"/>
        <v>21.4</v>
      </c>
    </row>
    <row r="93" spans="1:30" ht="13.5" customHeight="1" x14ac:dyDescent="0.2">
      <c r="B93" s="710" t="s">
        <v>100</v>
      </c>
      <c r="C93" s="197" t="s">
        <v>97</v>
      </c>
      <c r="D93" s="198" t="s">
        <v>98</v>
      </c>
      <c r="E93" s="128" t="s">
        <v>97</v>
      </c>
      <c r="F93" s="195" t="s">
        <v>98</v>
      </c>
      <c r="G93" s="289" t="s">
        <v>97</v>
      </c>
      <c r="H93" s="441" t="s">
        <v>98</v>
      </c>
      <c r="I93" s="427" t="s">
        <v>97</v>
      </c>
      <c r="J93" s="477" t="s">
        <v>98</v>
      </c>
      <c r="K93" s="289" t="s">
        <v>97</v>
      </c>
      <c r="L93" s="477" t="s">
        <v>98</v>
      </c>
      <c r="M93" s="289" t="s">
        <v>97</v>
      </c>
      <c r="N93" s="441" t="s">
        <v>98</v>
      </c>
      <c r="O93" s="427" t="s">
        <v>97</v>
      </c>
      <c r="P93" s="441" t="s">
        <v>98</v>
      </c>
      <c r="Q93" s="427" t="s">
        <v>97</v>
      </c>
      <c r="R93" s="441" t="s">
        <v>98</v>
      </c>
      <c r="S93" s="427" t="s">
        <v>97</v>
      </c>
      <c r="T93" s="441" t="s">
        <v>98</v>
      </c>
      <c r="U93" s="427" t="s">
        <v>97</v>
      </c>
      <c r="V93" s="441" t="s">
        <v>98</v>
      </c>
      <c r="W93" s="427" t="s">
        <v>97</v>
      </c>
      <c r="X93" s="441" t="s">
        <v>98</v>
      </c>
      <c r="Y93" s="427" t="s">
        <v>97</v>
      </c>
      <c r="Z93" s="243" t="s">
        <v>98</v>
      </c>
      <c r="AA93" s="657"/>
      <c r="AB93" s="427" t="s">
        <v>97</v>
      </c>
      <c r="AC93" s="243" t="s">
        <v>98</v>
      </c>
    </row>
    <row r="94" spans="1:30" ht="12" x14ac:dyDescent="0.2">
      <c r="B94" s="42" t="s">
        <v>81</v>
      </c>
      <c r="C94" s="199">
        <v>24</v>
      </c>
      <c r="D94" s="200">
        <f>C94/D$92</f>
        <v>1</v>
      </c>
      <c r="E94" s="125">
        <v>24</v>
      </c>
      <c r="F94" s="206">
        <f t="shared" ref="F94:F101" si="20">E94/F$92</f>
        <v>1</v>
      </c>
      <c r="G94" s="373">
        <v>23</v>
      </c>
      <c r="H94" s="442">
        <f t="shared" ref="H94:J101" si="21">G94/H$92</f>
        <v>1</v>
      </c>
      <c r="I94" s="125">
        <v>22</v>
      </c>
      <c r="J94" s="478">
        <f t="shared" si="21"/>
        <v>1</v>
      </c>
      <c r="K94" s="199">
        <v>22</v>
      </c>
      <c r="L94" s="206">
        <f t="shared" ref="L94:N101" si="22">K94/L$92</f>
        <v>1</v>
      </c>
      <c r="M94" s="199">
        <v>24</v>
      </c>
      <c r="N94" s="372">
        <f t="shared" si="22"/>
        <v>0.96</v>
      </c>
      <c r="O94" s="125">
        <v>22</v>
      </c>
      <c r="P94" s="372">
        <f t="shared" ref="P94:R101" si="23">O94/P$92</f>
        <v>0.95652173913043481</v>
      </c>
      <c r="Q94" s="125">
        <v>19</v>
      </c>
      <c r="R94" s="372">
        <f t="shared" si="23"/>
        <v>0.86363636363636365</v>
      </c>
      <c r="S94" s="125">
        <v>19</v>
      </c>
      <c r="T94" s="372">
        <f t="shared" ref="T94:T101" si="24">S94/T$92</f>
        <v>0.86363636363636365</v>
      </c>
      <c r="U94" s="125">
        <v>18</v>
      </c>
      <c r="V94" s="372">
        <f t="shared" ref="V94:V101" si="25">U94/V$92</f>
        <v>0.9</v>
      </c>
      <c r="W94" s="125">
        <f>3+1+2+4+3+4</f>
        <v>17</v>
      </c>
      <c r="X94" s="372">
        <f t="shared" ref="X94:X101" si="26">W94/X$92</f>
        <v>0.80952380952380953</v>
      </c>
      <c r="Y94" s="125">
        <v>18</v>
      </c>
      <c r="Z94" s="1397">
        <f t="shared" ref="Z94:Z101" si="27">Y94/Z$92</f>
        <v>0.81818181818181823</v>
      </c>
      <c r="AA94" s="657"/>
      <c r="AB94" s="687">
        <f t="shared" ref="AB94:AB101" si="28">AVERAGE(U94,Q94,S94,Y94,W94)</f>
        <v>18.2</v>
      </c>
      <c r="AC94" s="685">
        <f t="shared" ref="AC94:AC101" si="29">AVERAGE(V94,R94,T94,Z94,X94)</f>
        <v>0.85099567099567108</v>
      </c>
    </row>
    <row r="95" spans="1:30" ht="12" x14ac:dyDescent="0.2">
      <c r="B95" s="1057" t="s">
        <v>82</v>
      </c>
      <c r="C95" s="199">
        <v>0</v>
      </c>
      <c r="D95" s="200">
        <f t="shared" ref="D95:D113" si="30">C95/$D$92</f>
        <v>0</v>
      </c>
      <c r="E95" s="125">
        <v>0</v>
      </c>
      <c r="F95" s="206">
        <f t="shared" si="20"/>
        <v>0</v>
      </c>
      <c r="G95" s="373">
        <v>0</v>
      </c>
      <c r="H95" s="442">
        <f t="shared" si="21"/>
        <v>0</v>
      </c>
      <c r="I95" s="125">
        <v>0</v>
      </c>
      <c r="J95" s="478">
        <f t="shared" si="21"/>
        <v>0</v>
      </c>
      <c r="K95" s="199"/>
      <c r="L95" s="206">
        <f t="shared" si="22"/>
        <v>0</v>
      </c>
      <c r="M95" s="199">
        <v>0</v>
      </c>
      <c r="N95" s="372">
        <f t="shared" si="22"/>
        <v>0</v>
      </c>
      <c r="O95" s="125">
        <v>0</v>
      </c>
      <c r="P95" s="372">
        <f t="shared" si="23"/>
        <v>0</v>
      </c>
      <c r="Q95" s="125">
        <v>0</v>
      </c>
      <c r="R95" s="372">
        <f t="shared" si="23"/>
        <v>0</v>
      </c>
      <c r="S95" s="125">
        <v>0</v>
      </c>
      <c r="T95" s="372">
        <f t="shared" si="24"/>
        <v>0</v>
      </c>
      <c r="U95" s="125">
        <v>0</v>
      </c>
      <c r="V95" s="372">
        <f t="shared" si="25"/>
        <v>0</v>
      </c>
      <c r="W95" s="125">
        <v>2</v>
      </c>
      <c r="X95" s="372">
        <f t="shared" si="26"/>
        <v>9.5238095238095233E-2</v>
      </c>
      <c r="Y95" s="125">
        <v>2</v>
      </c>
      <c r="Z95" s="1397">
        <f t="shared" si="27"/>
        <v>9.0909090909090912E-2</v>
      </c>
      <c r="AA95" s="657"/>
      <c r="AB95" s="687">
        <f t="shared" si="28"/>
        <v>0.8</v>
      </c>
      <c r="AC95" s="1104">
        <f t="shared" si="29"/>
        <v>3.722943722943723E-2</v>
      </c>
    </row>
    <row r="96" spans="1:30" ht="12" x14ac:dyDescent="0.2">
      <c r="B96" s="1057" t="s">
        <v>83</v>
      </c>
      <c r="C96" s="199">
        <v>0</v>
      </c>
      <c r="D96" s="200">
        <f t="shared" si="30"/>
        <v>0</v>
      </c>
      <c r="E96" s="125">
        <v>0</v>
      </c>
      <c r="F96" s="206">
        <f t="shared" si="20"/>
        <v>0</v>
      </c>
      <c r="G96" s="373">
        <v>0</v>
      </c>
      <c r="H96" s="442">
        <f t="shared" si="21"/>
        <v>0</v>
      </c>
      <c r="I96" s="125">
        <v>0</v>
      </c>
      <c r="J96" s="478">
        <f t="shared" si="21"/>
        <v>0</v>
      </c>
      <c r="K96" s="199"/>
      <c r="L96" s="206">
        <f t="shared" si="22"/>
        <v>0</v>
      </c>
      <c r="M96" s="199">
        <v>1</v>
      </c>
      <c r="N96" s="372">
        <f t="shared" si="22"/>
        <v>0.04</v>
      </c>
      <c r="O96" s="125">
        <v>1</v>
      </c>
      <c r="P96" s="372">
        <f t="shared" si="23"/>
        <v>4.3478260869565216E-2</v>
      </c>
      <c r="Q96" s="125">
        <v>1</v>
      </c>
      <c r="R96" s="372">
        <f t="shared" si="23"/>
        <v>4.5454545454545456E-2</v>
      </c>
      <c r="S96" s="125">
        <v>1</v>
      </c>
      <c r="T96" s="372">
        <f t="shared" si="24"/>
        <v>4.5454545454545456E-2</v>
      </c>
      <c r="U96" s="125">
        <v>0</v>
      </c>
      <c r="V96" s="372">
        <f t="shared" si="25"/>
        <v>0</v>
      </c>
      <c r="W96" s="125">
        <v>0</v>
      </c>
      <c r="X96" s="372">
        <f t="shared" si="26"/>
        <v>0</v>
      </c>
      <c r="Y96" s="125">
        <v>0</v>
      </c>
      <c r="Z96" s="1397">
        <f t="shared" si="27"/>
        <v>0</v>
      </c>
      <c r="AA96" s="657"/>
      <c r="AB96" s="687">
        <f t="shared" si="28"/>
        <v>0.4</v>
      </c>
      <c r="AC96" s="1104">
        <f t="shared" si="29"/>
        <v>1.8181818181818181E-2</v>
      </c>
    </row>
    <row r="97" spans="2:29" ht="12" x14ac:dyDescent="0.2">
      <c r="B97" s="1057" t="s">
        <v>84</v>
      </c>
      <c r="C97" s="199">
        <v>0</v>
      </c>
      <c r="D97" s="200">
        <f t="shared" si="30"/>
        <v>0</v>
      </c>
      <c r="E97" s="125">
        <v>0</v>
      </c>
      <c r="F97" s="206">
        <f t="shared" si="20"/>
        <v>0</v>
      </c>
      <c r="G97" s="373">
        <v>0</v>
      </c>
      <c r="H97" s="442">
        <f t="shared" si="21"/>
        <v>0</v>
      </c>
      <c r="I97" s="125">
        <v>0</v>
      </c>
      <c r="J97" s="478">
        <f t="shared" si="21"/>
        <v>0</v>
      </c>
      <c r="K97" s="199"/>
      <c r="L97" s="206">
        <f t="shared" si="22"/>
        <v>0</v>
      </c>
      <c r="M97" s="199">
        <v>0</v>
      </c>
      <c r="N97" s="372">
        <f t="shared" si="22"/>
        <v>0</v>
      </c>
      <c r="O97" s="125">
        <v>0</v>
      </c>
      <c r="P97" s="372">
        <f t="shared" si="23"/>
        <v>0</v>
      </c>
      <c r="Q97" s="125">
        <v>0</v>
      </c>
      <c r="R97" s="372">
        <f t="shared" si="23"/>
        <v>0</v>
      </c>
      <c r="S97" s="125">
        <v>0</v>
      </c>
      <c r="T97" s="372">
        <f t="shared" si="24"/>
        <v>0</v>
      </c>
      <c r="U97" s="125">
        <v>0</v>
      </c>
      <c r="V97" s="372">
        <f t="shared" si="25"/>
        <v>0</v>
      </c>
      <c r="W97" s="125">
        <v>0</v>
      </c>
      <c r="X97" s="372">
        <f t="shared" si="26"/>
        <v>0</v>
      </c>
      <c r="Y97" s="125">
        <v>0</v>
      </c>
      <c r="Z97" s="1397">
        <f t="shared" si="27"/>
        <v>0</v>
      </c>
      <c r="AA97" s="657"/>
      <c r="AB97" s="687">
        <f t="shared" si="28"/>
        <v>0</v>
      </c>
      <c r="AC97" s="1104">
        <f t="shared" si="29"/>
        <v>0</v>
      </c>
    </row>
    <row r="98" spans="2:29" ht="12" x14ac:dyDescent="0.2">
      <c r="B98" s="1057" t="s">
        <v>85</v>
      </c>
      <c r="C98" s="199">
        <v>0</v>
      </c>
      <c r="D98" s="200">
        <f t="shared" si="30"/>
        <v>0</v>
      </c>
      <c r="E98" s="125">
        <v>0</v>
      </c>
      <c r="F98" s="206">
        <f t="shared" si="20"/>
        <v>0</v>
      </c>
      <c r="G98" s="373">
        <v>0</v>
      </c>
      <c r="H98" s="442">
        <f t="shared" si="21"/>
        <v>0</v>
      </c>
      <c r="I98" s="125">
        <v>0</v>
      </c>
      <c r="J98" s="478">
        <f t="shared" si="21"/>
        <v>0</v>
      </c>
      <c r="K98" s="199"/>
      <c r="L98" s="206">
        <f t="shared" si="22"/>
        <v>0</v>
      </c>
      <c r="M98" s="199">
        <v>0</v>
      </c>
      <c r="N98" s="372">
        <f t="shared" si="22"/>
        <v>0</v>
      </c>
      <c r="O98" s="125">
        <v>0</v>
      </c>
      <c r="P98" s="372">
        <f t="shared" si="23"/>
        <v>0</v>
      </c>
      <c r="Q98" s="125">
        <v>1</v>
      </c>
      <c r="R98" s="372">
        <f t="shared" si="23"/>
        <v>4.5454545454545456E-2</v>
      </c>
      <c r="S98" s="125">
        <v>1</v>
      </c>
      <c r="T98" s="372">
        <f t="shared" si="24"/>
        <v>4.5454545454545456E-2</v>
      </c>
      <c r="U98" s="125">
        <v>2</v>
      </c>
      <c r="V98" s="372">
        <f t="shared" si="25"/>
        <v>0.1</v>
      </c>
      <c r="W98" s="125">
        <v>2</v>
      </c>
      <c r="X98" s="372">
        <f t="shared" si="26"/>
        <v>9.5238095238095233E-2</v>
      </c>
      <c r="Y98" s="125">
        <v>2</v>
      </c>
      <c r="Z98" s="1397">
        <f t="shared" si="27"/>
        <v>9.0909090909090912E-2</v>
      </c>
      <c r="AA98" s="657"/>
      <c r="AB98" s="687">
        <f t="shared" si="28"/>
        <v>1.6</v>
      </c>
      <c r="AC98" s="1104">
        <f t="shared" si="29"/>
        <v>7.5411255411255415E-2</v>
      </c>
    </row>
    <row r="99" spans="2:29" ht="12" x14ac:dyDescent="0.2">
      <c r="B99" s="1057" t="s">
        <v>86</v>
      </c>
      <c r="C99" s="199">
        <v>0</v>
      </c>
      <c r="D99" s="200">
        <f t="shared" si="30"/>
        <v>0</v>
      </c>
      <c r="E99" s="125">
        <v>0</v>
      </c>
      <c r="F99" s="206">
        <f t="shared" si="20"/>
        <v>0</v>
      </c>
      <c r="G99" s="373">
        <v>0</v>
      </c>
      <c r="H99" s="442">
        <f t="shared" si="21"/>
        <v>0</v>
      </c>
      <c r="I99" s="125">
        <v>0</v>
      </c>
      <c r="J99" s="478">
        <f t="shared" si="21"/>
        <v>0</v>
      </c>
      <c r="K99" s="199"/>
      <c r="L99" s="206">
        <f t="shared" si="22"/>
        <v>0</v>
      </c>
      <c r="M99" s="199">
        <v>0</v>
      </c>
      <c r="N99" s="372">
        <f t="shared" si="22"/>
        <v>0</v>
      </c>
      <c r="O99" s="125">
        <v>0</v>
      </c>
      <c r="P99" s="372">
        <f t="shared" si="23"/>
        <v>0</v>
      </c>
      <c r="Q99" s="125">
        <v>0</v>
      </c>
      <c r="R99" s="372">
        <f t="shared" si="23"/>
        <v>0</v>
      </c>
      <c r="S99" s="125">
        <v>0</v>
      </c>
      <c r="T99" s="372">
        <f t="shared" si="24"/>
        <v>0</v>
      </c>
      <c r="U99" s="125">
        <v>0</v>
      </c>
      <c r="V99" s="372">
        <f t="shared" si="25"/>
        <v>0</v>
      </c>
      <c r="W99" s="125">
        <v>0</v>
      </c>
      <c r="X99" s="372">
        <f t="shared" si="26"/>
        <v>0</v>
      </c>
      <c r="Y99" s="125">
        <v>0</v>
      </c>
      <c r="Z99" s="1397">
        <f t="shared" si="27"/>
        <v>0</v>
      </c>
      <c r="AA99" s="657"/>
      <c r="AB99" s="687">
        <f t="shared" si="28"/>
        <v>0</v>
      </c>
      <c r="AC99" s="1104">
        <f t="shared" si="29"/>
        <v>0</v>
      </c>
    </row>
    <row r="100" spans="2:29" ht="12" x14ac:dyDescent="0.2">
      <c r="B100" s="1057" t="s">
        <v>201</v>
      </c>
      <c r="C100" s="201"/>
      <c r="D100" s="200"/>
      <c r="E100" s="126"/>
      <c r="F100" s="206"/>
      <c r="G100" s="1252"/>
      <c r="H100" s="1253"/>
      <c r="I100" s="1254"/>
      <c r="J100" s="1255"/>
      <c r="K100" s="1252"/>
      <c r="L100" s="1255"/>
      <c r="M100" s="1252"/>
      <c r="N100" s="1253"/>
      <c r="O100" s="1254"/>
      <c r="P100" s="1253"/>
      <c r="Q100" s="126">
        <v>1</v>
      </c>
      <c r="R100" s="372">
        <f t="shared" si="23"/>
        <v>4.5454545454545456E-2</v>
      </c>
      <c r="S100" s="126">
        <v>1</v>
      </c>
      <c r="T100" s="372">
        <f t="shared" si="24"/>
        <v>4.5454545454545456E-2</v>
      </c>
      <c r="U100" s="126">
        <v>0</v>
      </c>
      <c r="V100" s="372">
        <f t="shared" si="25"/>
        <v>0</v>
      </c>
      <c r="W100" s="126">
        <v>0</v>
      </c>
      <c r="X100" s="372">
        <f t="shared" si="26"/>
        <v>0</v>
      </c>
      <c r="Y100" s="126">
        <v>0</v>
      </c>
      <c r="Z100" s="1397">
        <f t="shared" si="27"/>
        <v>0</v>
      </c>
      <c r="AA100" s="657"/>
      <c r="AB100" s="687">
        <f t="shared" si="28"/>
        <v>0.4</v>
      </c>
      <c r="AC100" s="1104">
        <f t="shared" si="29"/>
        <v>1.8181818181818181E-2</v>
      </c>
    </row>
    <row r="101" spans="2:29" ht="12" x14ac:dyDescent="0.2">
      <c r="B101" s="1057" t="s">
        <v>87</v>
      </c>
      <c r="C101" s="201">
        <v>0</v>
      </c>
      <c r="D101" s="200">
        <f t="shared" si="30"/>
        <v>0</v>
      </c>
      <c r="E101" s="126">
        <v>0</v>
      </c>
      <c r="F101" s="206">
        <f t="shared" si="20"/>
        <v>0</v>
      </c>
      <c r="G101" s="374">
        <v>0</v>
      </c>
      <c r="H101" s="442">
        <f t="shared" si="21"/>
        <v>0</v>
      </c>
      <c r="I101" s="126">
        <v>0</v>
      </c>
      <c r="J101" s="478">
        <f t="shared" si="21"/>
        <v>0</v>
      </c>
      <c r="K101" s="201"/>
      <c r="L101" s="206">
        <f t="shared" si="22"/>
        <v>0</v>
      </c>
      <c r="M101" s="201">
        <v>0</v>
      </c>
      <c r="N101" s="372">
        <f t="shared" si="22"/>
        <v>0</v>
      </c>
      <c r="O101" s="126">
        <v>0</v>
      </c>
      <c r="P101" s="372">
        <f t="shared" si="23"/>
        <v>0</v>
      </c>
      <c r="Q101" s="126">
        <v>0</v>
      </c>
      <c r="R101" s="372">
        <f t="shared" si="23"/>
        <v>0</v>
      </c>
      <c r="S101" s="126">
        <v>0</v>
      </c>
      <c r="T101" s="372">
        <f t="shared" si="24"/>
        <v>0</v>
      </c>
      <c r="U101" s="126">
        <v>0</v>
      </c>
      <c r="V101" s="372">
        <f t="shared" si="25"/>
        <v>0</v>
      </c>
      <c r="W101" s="126">
        <v>0</v>
      </c>
      <c r="X101" s="372">
        <f t="shared" si="26"/>
        <v>0</v>
      </c>
      <c r="Y101" s="126">
        <v>0</v>
      </c>
      <c r="Z101" s="1397">
        <f t="shared" si="27"/>
        <v>0</v>
      </c>
      <c r="AA101" s="657"/>
      <c r="AB101" s="687">
        <f t="shared" si="28"/>
        <v>0</v>
      </c>
      <c r="AC101" s="1104">
        <f t="shared" si="29"/>
        <v>0</v>
      </c>
    </row>
    <row r="102" spans="2:29" ht="12" x14ac:dyDescent="0.2">
      <c r="B102" s="1058" t="s">
        <v>101</v>
      </c>
      <c r="C102" s="202"/>
      <c r="D102" s="200"/>
      <c r="E102" s="164"/>
      <c r="F102" s="285"/>
      <c r="G102" s="375"/>
      <c r="H102" s="443"/>
      <c r="I102" s="164"/>
      <c r="J102" s="285"/>
      <c r="K102" s="290"/>
      <c r="L102" s="285"/>
      <c r="M102" s="290"/>
      <c r="N102" s="452"/>
      <c r="O102" s="164"/>
      <c r="P102" s="452"/>
      <c r="Q102" s="164"/>
      <c r="R102" s="452"/>
      <c r="S102" s="164"/>
      <c r="T102" s="452"/>
      <c r="U102" s="164"/>
      <c r="V102" s="452"/>
      <c r="W102" s="164"/>
      <c r="X102" s="452"/>
      <c r="Y102" s="164"/>
      <c r="Z102" s="1458"/>
      <c r="AA102" s="657"/>
      <c r="AB102" s="687"/>
      <c r="AC102" s="1104"/>
    </row>
    <row r="103" spans="2:29" ht="12" x14ac:dyDescent="0.2">
      <c r="B103" s="42" t="s">
        <v>88</v>
      </c>
      <c r="C103" s="210">
        <v>22</v>
      </c>
      <c r="D103" s="200">
        <f t="shared" si="30"/>
        <v>0.91666666666666663</v>
      </c>
      <c r="E103" s="99">
        <v>22</v>
      </c>
      <c r="F103" s="286">
        <f>E103/F$92</f>
        <v>0.91666666666666663</v>
      </c>
      <c r="G103" s="376">
        <v>22</v>
      </c>
      <c r="H103" s="442">
        <f>G103/H$92</f>
        <v>0.95652173913043481</v>
      </c>
      <c r="I103" s="244">
        <v>21</v>
      </c>
      <c r="J103" s="478">
        <f>I103/J$92</f>
        <v>0.95454545454545459</v>
      </c>
      <c r="K103" s="210">
        <v>21</v>
      </c>
      <c r="L103" s="206">
        <f>K103/L$92</f>
        <v>0.95454545454545459</v>
      </c>
      <c r="M103" s="210">
        <v>22</v>
      </c>
      <c r="N103" s="372">
        <f>M103/N$92</f>
        <v>0.88</v>
      </c>
      <c r="O103" s="244">
        <v>20</v>
      </c>
      <c r="P103" s="372">
        <f>O103/P$92</f>
        <v>0.86956521739130432</v>
      </c>
      <c r="Q103" s="244">
        <v>19</v>
      </c>
      <c r="R103" s="372">
        <f>Q103/R$92</f>
        <v>0.86363636363636365</v>
      </c>
      <c r="S103" s="244">
        <v>20</v>
      </c>
      <c r="T103" s="372">
        <f>S103/T$92</f>
        <v>0.90909090909090906</v>
      </c>
      <c r="U103" s="244">
        <v>18</v>
      </c>
      <c r="V103" s="372">
        <f>U103/V$92</f>
        <v>0.9</v>
      </c>
      <c r="W103" s="244">
        <f>2+2+7+4+3</f>
        <v>18</v>
      </c>
      <c r="X103" s="372">
        <f>W103/X$92</f>
        <v>0.8571428571428571</v>
      </c>
      <c r="Y103" s="244">
        <v>19</v>
      </c>
      <c r="Z103" s="1397">
        <f>Y103/Z$92</f>
        <v>0.86363636363636365</v>
      </c>
      <c r="AA103" s="657"/>
      <c r="AB103" s="687">
        <f t="shared" ref="AB103:AB104" si="31">AVERAGE(U103,Q103,S103,Y103,W103)</f>
        <v>18.8</v>
      </c>
      <c r="AC103" s="1104">
        <f t="shared" ref="AC103:AC104" si="32">AVERAGE(V103,R103,T103,Z103,X103)</f>
        <v>0.87870129870129876</v>
      </c>
    </row>
    <row r="104" spans="2:29" ht="12" x14ac:dyDescent="0.2">
      <c r="B104" s="42" t="s">
        <v>89</v>
      </c>
      <c r="C104" s="210">
        <v>2</v>
      </c>
      <c r="D104" s="200">
        <f t="shared" si="30"/>
        <v>8.3333333333333329E-2</v>
      </c>
      <c r="E104" s="165">
        <v>2</v>
      </c>
      <c r="F104" s="286">
        <f>E104/F$92</f>
        <v>8.3333333333333329E-2</v>
      </c>
      <c r="G104" s="377">
        <v>1</v>
      </c>
      <c r="H104" s="442">
        <f>G104/H$92</f>
        <v>4.3478260869565216E-2</v>
      </c>
      <c r="I104" s="428">
        <v>1</v>
      </c>
      <c r="J104" s="478">
        <f>I104/J$92</f>
        <v>4.5454545454545456E-2</v>
      </c>
      <c r="K104" s="370">
        <v>1</v>
      </c>
      <c r="L104" s="206">
        <f>K104/L$92</f>
        <v>4.5454545454545456E-2</v>
      </c>
      <c r="M104" s="370">
        <v>3</v>
      </c>
      <c r="N104" s="372">
        <f>M104/N$92</f>
        <v>0.12</v>
      </c>
      <c r="O104" s="428">
        <v>3</v>
      </c>
      <c r="P104" s="372">
        <f>O104/P$92</f>
        <v>0.13043478260869565</v>
      </c>
      <c r="Q104" s="428">
        <v>3</v>
      </c>
      <c r="R104" s="372">
        <f>Q104/R$92</f>
        <v>0.13636363636363635</v>
      </c>
      <c r="S104" s="428">
        <v>2</v>
      </c>
      <c r="T104" s="372">
        <f>S104/T$92</f>
        <v>9.0909090909090912E-2</v>
      </c>
      <c r="U104" s="428">
        <v>2</v>
      </c>
      <c r="V104" s="372">
        <f>U104/V$92</f>
        <v>0.1</v>
      </c>
      <c r="W104" s="428">
        <f>1+1+1</f>
        <v>3</v>
      </c>
      <c r="X104" s="372">
        <f>W104/X$92</f>
        <v>0.14285714285714285</v>
      </c>
      <c r="Y104" s="428">
        <v>3</v>
      </c>
      <c r="Z104" s="1397">
        <f>Y104/Z$92</f>
        <v>0.13636363636363635</v>
      </c>
      <c r="AA104" s="657"/>
      <c r="AB104" s="687">
        <f t="shared" si="31"/>
        <v>2.6</v>
      </c>
      <c r="AC104" s="1104">
        <f t="shared" si="32"/>
        <v>0.12129870129870128</v>
      </c>
    </row>
    <row r="105" spans="2:29" ht="12" x14ac:dyDescent="0.2">
      <c r="B105" s="1058" t="s">
        <v>102</v>
      </c>
      <c r="C105" s="203"/>
      <c r="D105" s="200"/>
      <c r="E105" s="166"/>
      <c r="F105" s="286"/>
      <c r="G105" s="378"/>
      <c r="H105" s="442"/>
      <c r="I105" s="429"/>
      <c r="J105" s="206"/>
      <c r="K105" s="291"/>
      <c r="L105" s="206"/>
      <c r="M105" s="291"/>
      <c r="N105" s="372"/>
      <c r="O105" s="429"/>
      <c r="P105" s="372"/>
      <c r="Q105" s="429"/>
      <c r="R105" s="372"/>
      <c r="S105" s="429"/>
      <c r="T105" s="372"/>
      <c r="U105" s="429"/>
      <c r="V105" s="372"/>
      <c r="W105" s="429"/>
      <c r="X105" s="372"/>
      <c r="Y105" s="429"/>
      <c r="Z105" s="1397"/>
      <c r="AA105" s="657"/>
      <c r="AB105" s="687"/>
      <c r="AC105" s="1104"/>
    </row>
    <row r="106" spans="2:29" ht="12" x14ac:dyDescent="0.2">
      <c r="B106" s="42" t="s">
        <v>90</v>
      </c>
      <c r="C106" s="209">
        <v>18</v>
      </c>
      <c r="D106" s="200">
        <f t="shared" si="30"/>
        <v>0.75</v>
      </c>
      <c r="E106" s="165">
        <v>18</v>
      </c>
      <c r="F106" s="286">
        <f>E106/F$92</f>
        <v>0.75</v>
      </c>
      <c r="G106" s="377">
        <v>20</v>
      </c>
      <c r="H106" s="442">
        <f>G106/H$92</f>
        <v>0.86956521739130432</v>
      </c>
      <c r="I106" s="428">
        <v>19</v>
      </c>
      <c r="J106" s="478">
        <f>I106/J$92</f>
        <v>0.86363636363636365</v>
      </c>
      <c r="K106" s="370">
        <v>19</v>
      </c>
      <c r="L106" s="206">
        <f>K106/L$92</f>
        <v>0.86363636363636365</v>
      </c>
      <c r="M106" s="370">
        <v>19</v>
      </c>
      <c r="N106" s="372">
        <f>M106/N$92</f>
        <v>0.76</v>
      </c>
      <c r="O106" s="428">
        <v>17</v>
      </c>
      <c r="P106" s="372">
        <f>O106/P$92</f>
        <v>0.73913043478260865</v>
      </c>
      <c r="Q106" s="428">
        <v>15</v>
      </c>
      <c r="R106" s="372">
        <f>Q106/R$92</f>
        <v>0.68181818181818177</v>
      </c>
      <c r="S106" s="428">
        <v>14</v>
      </c>
      <c r="T106" s="372">
        <f>S106/T$92</f>
        <v>0.63636363636363635</v>
      </c>
      <c r="U106" s="428">
        <v>13</v>
      </c>
      <c r="V106" s="372">
        <f>U106/V$92</f>
        <v>0.65</v>
      </c>
      <c r="W106" s="428">
        <f>2+4+3+3</f>
        <v>12</v>
      </c>
      <c r="X106" s="372">
        <f>W106/X$92</f>
        <v>0.5714285714285714</v>
      </c>
      <c r="Y106" s="428">
        <v>13</v>
      </c>
      <c r="Z106" s="1397">
        <f>Y106/Z$92</f>
        <v>0.59090909090909094</v>
      </c>
      <c r="AA106" s="657"/>
      <c r="AB106" s="687">
        <f t="shared" ref="AB106:AB108" si="33">AVERAGE(U106,Q106,S106,Y106,W106)</f>
        <v>13.4</v>
      </c>
      <c r="AC106" s="1104">
        <f t="shared" ref="AC106:AC108" si="34">AVERAGE(V106,R106,T106,Z106,X106)</f>
        <v>0.62610389610389616</v>
      </c>
    </row>
    <row r="107" spans="2:29" ht="12" x14ac:dyDescent="0.2">
      <c r="B107" s="42" t="s">
        <v>91</v>
      </c>
      <c r="C107" s="209">
        <v>3</v>
      </c>
      <c r="D107" s="200">
        <f t="shared" si="30"/>
        <v>0.125</v>
      </c>
      <c r="E107" s="165">
        <v>3</v>
      </c>
      <c r="F107" s="286">
        <f>E107/F$92</f>
        <v>0.125</v>
      </c>
      <c r="G107" s="377">
        <v>2</v>
      </c>
      <c r="H107" s="442">
        <f>G107/H$92</f>
        <v>8.6956521739130432E-2</v>
      </c>
      <c r="I107" s="428">
        <v>3</v>
      </c>
      <c r="J107" s="478">
        <f>I107/J$92</f>
        <v>0.13636363636363635</v>
      </c>
      <c r="K107" s="370">
        <v>3</v>
      </c>
      <c r="L107" s="206">
        <f>K107/L$92</f>
        <v>0.13636363636363635</v>
      </c>
      <c r="M107" s="370">
        <v>4</v>
      </c>
      <c r="N107" s="372">
        <f>M107/N$92</f>
        <v>0.16</v>
      </c>
      <c r="O107" s="428">
        <v>4</v>
      </c>
      <c r="P107" s="372">
        <f>O107/P$92</f>
        <v>0.17391304347826086</v>
      </c>
      <c r="Q107" s="428">
        <v>4</v>
      </c>
      <c r="R107" s="372">
        <f>Q107/R$92</f>
        <v>0.18181818181818182</v>
      </c>
      <c r="S107" s="428">
        <v>3</v>
      </c>
      <c r="T107" s="372">
        <f>S107/T$92</f>
        <v>0.13636363636363635</v>
      </c>
      <c r="U107" s="428">
        <v>1</v>
      </c>
      <c r="V107" s="372">
        <f>U107/V$92</f>
        <v>0.05</v>
      </c>
      <c r="W107" s="428">
        <f>3+1+1</f>
        <v>5</v>
      </c>
      <c r="X107" s="372">
        <f>W107/X$92</f>
        <v>0.23809523809523808</v>
      </c>
      <c r="Y107" s="428">
        <v>5</v>
      </c>
      <c r="Z107" s="1397">
        <f>Y107/Z$92</f>
        <v>0.22727272727272727</v>
      </c>
      <c r="AA107" s="657"/>
      <c r="AB107" s="687">
        <f t="shared" si="33"/>
        <v>3.6</v>
      </c>
      <c r="AC107" s="1104">
        <f t="shared" si="34"/>
        <v>0.16670995670995672</v>
      </c>
    </row>
    <row r="108" spans="2:29" ht="12" x14ac:dyDescent="0.2">
      <c r="B108" s="42" t="s">
        <v>92</v>
      </c>
      <c r="C108" s="209">
        <v>3</v>
      </c>
      <c r="D108" s="200">
        <f t="shared" si="30"/>
        <v>0.125</v>
      </c>
      <c r="E108" s="165">
        <v>3</v>
      </c>
      <c r="F108" s="286">
        <f>E108/F$92</f>
        <v>0.125</v>
      </c>
      <c r="G108" s="377">
        <v>1</v>
      </c>
      <c r="H108" s="442">
        <f>G108/H$92</f>
        <v>4.3478260869565216E-2</v>
      </c>
      <c r="I108" s="428">
        <v>0</v>
      </c>
      <c r="J108" s="478">
        <f>I108/J$92</f>
        <v>0</v>
      </c>
      <c r="K108" s="370"/>
      <c r="L108" s="206">
        <f>K108/L$92</f>
        <v>0</v>
      </c>
      <c r="M108" s="370">
        <v>2</v>
      </c>
      <c r="N108" s="372">
        <f>M108/N$92</f>
        <v>0.08</v>
      </c>
      <c r="O108" s="428">
        <v>1</v>
      </c>
      <c r="P108" s="372">
        <f>O108/P$92</f>
        <v>4.3478260869565216E-2</v>
      </c>
      <c r="Q108" s="428">
        <v>3</v>
      </c>
      <c r="R108" s="372">
        <f>Q108/R$92</f>
        <v>0.13636363636363635</v>
      </c>
      <c r="S108" s="428">
        <v>5</v>
      </c>
      <c r="T108" s="372">
        <f>S108/T$92</f>
        <v>0.22727272727272727</v>
      </c>
      <c r="U108" s="428">
        <v>6</v>
      </c>
      <c r="V108" s="372">
        <f>U108/V$92</f>
        <v>0.3</v>
      </c>
      <c r="W108" s="428">
        <f>3+1</f>
        <v>4</v>
      </c>
      <c r="X108" s="372">
        <f>W108/X$92</f>
        <v>0.19047619047619047</v>
      </c>
      <c r="Y108" s="428">
        <v>4</v>
      </c>
      <c r="Z108" s="1397">
        <f>Y108/Z$92</f>
        <v>0.18181818181818182</v>
      </c>
      <c r="AA108" s="657"/>
      <c r="AB108" s="687">
        <f t="shared" si="33"/>
        <v>4.4000000000000004</v>
      </c>
      <c r="AC108" s="1104">
        <f t="shared" si="34"/>
        <v>0.2071861471861472</v>
      </c>
    </row>
    <row r="109" spans="2:29" ht="12" x14ac:dyDescent="0.2">
      <c r="B109" s="1058" t="s">
        <v>103</v>
      </c>
      <c r="C109" s="203"/>
      <c r="D109" s="200"/>
      <c r="E109" s="166"/>
      <c r="F109" s="286"/>
      <c r="G109" s="378"/>
      <c r="H109" s="442"/>
      <c r="I109" s="429"/>
      <c r="J109" s="206"/>
      <c r="K109" s="291"/>
      <c r="L109" s="206"/>
      <c r="M109" s="291"/>
      <c r="N109" s="372"/>
      <c r="O109" s="429"/>
      <c r="P109" s="372"/>
      <c r="Q109" s="429"/>
      <c r="R109" s="372"/>
      <c r="S109" s="429"/>
      <c r="T109" s="372"/>
      <c r="U109" s="429"/>
      <c r="V109" s="372"/>
      <c r="W109" s="429"/>
      <c r="X109" s="372"/>
      <c r="Y109" s="429"/>
      <c r="Z109" s="1397"/>
      <c r="AA109" s="657"/>
      <c r="AB109" s="687"/>
      <c r="AC109" s="1104"/>
    </row>
    <row r="110" spans="2:29" ht="12" x14ac:dyDescent="0.2">
      <c r="B110" s="42" t="s">
        <v>93</v>
      </c>
      <c r="C110" s="209">
        <v>22</v>
      </c>
      <c r="D110" s="200">
        <f t="shared" si="30"/>
        <v>0.91666666666666663</v>
      </c>
      <c r="E110" s="165">
        <v>22</v>
      </c>
      <c r="F110" s="286">
        <f>E110/F$92</f>
        <v>0.91666666666666663</v>
      </c>
      <c r="G110" s="377">
        <v>21</v>
      </c>
      <c r="H110" s="442">
        <f>G110/H$92</f>
        <v>0.91304347826086951</v>
      </c>
      <c r="I110" s="428">
        <v>21</v>
      </c>
      <c r="J110" s="478">
        <f>I110/J$92</f>
        <v>0.95454545454545459</v>
      </c>
      <c r="K110" s="370">
        <v>21</v>
      </c>
      <c r="L110" s="206">
        <f>K110/L$92</f>
        <v>0.95454545454545459</v>
      </c>
      <c r="M110" s="370">
        <v>24</v>
      </c>
      <c r="N110" s="372">
        <f>M110/N$92</f>
        <v>0.96</v>
      </c>
      <c r="O110" s="428">
        <v>22</v>
      </c>
      <c r="P110" s="372">
        <f>O110/P$92</f>
        <v>0.95652173913043481</v>
      </c>
      <c r="Q110" s="428">
        <v>22</v>
      </c>
      <c r="R110" s="372">
        <f>Q110/R$92</f>
        <v>1</v>
      </c>
      <c r="S110" s="428">
        <v>19</v>
      </c>
      <c r="T110" s="372">
        <f>S110/T$92</f>
        <v>0.86363636363636365</v>
      </c>
      <c r="U110" s="428">
        <v>16</v>
      </c>
      <c r="V110" s="372">
        <f>U110/V$92</f>
        <v>0.8</v>
      </c>
      <c r="W110" s="428">
        <f>1+2+7+4+4</f>
        <v>18</v>
      </c>
      <c r="X110" s="372">
        <f>W110/X$92</f>
        <v>0.8571428571428571</v>
      </c>
      <c r="Y110" s="428">
        <v>19</v>
      </c>
      <c r="Z110" s="1397">
        <f>Y110/Z$92</f>
        <v>0.86363636363636365</v>
      </c>
      <c r="AA110" s="657"/>
      <c r="AB110" s="687">
        <f t="shared" ref="AB110:AB113" si="35">AVERAGE(U110,Q110,S110,Y110,W110)</f>
        <v>18.8</v>
      </c>
      <c r="AC110" s="1104">
        <f t="shared" ref="AC110:AC113" si="36">AVERAGE(V110,R110,T110,Z110,X110)</f>
        <v>0.87688311688311682</v>
      </c>
    </row>
    <row r="111" spans="2:29" ht="12" x14ac:dyDescent="0.2">
      <c r="B111" s="42" t="s">
        <v>94</v>
      </c>
      <c r="C111" s="209">
        <v>2</v>
      </c>
      <c r="D111" s="200">
        <f t="shared" si="30"/>
        <v>8.3333333333333329E-2</v>
      </c>
      <c r="E111" s="165">
        <v>2</v>
      </c>
      <c r="F111" s="286">
        <f>E111/F$92</f>
        <v>8.3333333333333329E-2</v>
      </c>
      <c r="G111" s="377">
        <v>2</v>
      </c>
      <c r="H111" s="442">
        <f>G111/H$92</f>
        <v>8.6956521739130432E-2</v>
      </c>
      <c r="I111" s="428">
        <v>1</v>
      </c>
      <c r="J111" s="478">
        <f>I111/J$92</f>
        <v>4.5454545454545456E-2</v>
      </c>
      <c r="K111" s="370">
        <v>3</v>
      </c>
      <c r="L111" s="206">
        <f>K111/L$92</f>
        <v>0.13636363636363635</v>
      </c>
      <c r="M111" s="370">
        <v>1</v>
      </c>
      <c r="N111" s="372">
        <f>M111/N$92</f>
        <v>0.04</v>
      </c>
      <c r="O111" s="428">
        <v>1</v>
      </c>
      <c r="P111" s="372">
        <f>O111/P$92</f>
        <v>4.3478260869565216E-2</v>
      </c>
      <c r="Q111" s="428">
        <v>0</v>
      </c>
      <c r="R111" s="372">
        <f>Q111/R$92</f>
        <v>0</v>
      </c>
      <c r="S111" s="428">
        <v>2</v>
      </c>
      <c r="T111" s="372">
        <f>S111/T$92</f>
        <v>9.0909090909090912E-2</v>
      </c>
      <c r="U111" s="428">
        <v>3</v>
      </c>
      <c r="V111" s="372">
        <f>U111/V$92</f>
        <v>0.15</v>
      </c>
      <c r="W111" s="428">
        <f>2</f>
        <v>2</v>
      </c>
      <c r="X111" s="372">
        <f>W111/X$92</f>
        <v>9.5238095238095233E-2</v>
      </c>
      <c r="Y111" s="428">
        <v>2</v>
      </c>
      <c r="Z111" s="1397">
        <f>Y111/Z$92</f>
        <v>9.0909090909090912E-2</v>
      </c>
      <c r="AA111" s="657"/>
      <c r="AB111" s="687">
        <f t="shared" si="35"/>
        <v>1.8</v>
      </c>
      <c r="AC111" s="1104">
        <f t="shared" si="36"/>
        <v>8.541125541125541E-2</v>
      </c>
    </row>
    <row r="112" spans="2:29" ht="12" x14ac:dyDescent="0.2">
      <c r="B112" s="42" t="s">
        <v>95</v>
      </c>
      <c r="C112" s="209">
        <v>0</v>
      </c>
      <c r="D112" s="200">
        <f t="shared" si="30"/>
        <v>0</v>
      </c>
      <c r="E112" s="165">
        <v>0</v>
      </c>
      <c r="F112" s="286">
        <f>E112/F$92</f>
        <v>0</v>
      </c>
      <c r="G112" s="377">
        <v>0</v>
      </c>
      <c r="H112" s="442">
        <f>G112/H$92</f>
        <v>0</v>
      </c>
      <c r="I112" s="428">
        <v>0</v>
      </c>
      <c r="J112" s="478">
        <f>I112/J$92</f>
        <v>0</v>
      </c>
      <c r="K112" s="370">
        <v>0</v>
      </c>
      <c r="L112" s="206">
        <f>K112/L$92</f>
        <v>0</v>
      </c>
      <c r="M112" s="370">
        <v>0</v>
      </c>
      <c r="N112" s="372">
        <f>M112/N$92</f>
        <v>0</v>
      </c>
      <c r="O112" s="428">
        <v>0</v>
      </c>
      <c r="P112" s="372">
        <f>O112/P$92</f>
        <v>0</v>
      </c>
      <c r="Q112" s="428">
        <v>0</v>
      </c>
      <c r="R112" s="372">
        <f>Q112/R$92</f>
        <v>0</v>
      </c>
      <c r="S112" s="428">
        <v>1</v>
      </c>
      <c r="T112" s="372">
        <f>S112/T$92</f>
        <v>4.5454545454545456E-2</v>
      </c>
      <c r="U112" s="428">
        <v>1</v>
      </c>
      <c r="V112" s="372">
        <f>U112/V$92</f>
        <v>0.05</v>
      </c>
      <c r="W112" s="428">
        <v>1</v>
      </c>
      <c r="X112" s="372">
        <f>W112/X$92</f>
        <v>4.7619047619047616E-2</v>
      </c>
      <c r="Y112" s="428">
        <v>1</v>
      </c>
      <c r="Z112" s="1397">
        <f>Y112/Z$92</f>
        <v>4.5454545454545456E-2</v>
      </c>
      <c r="AA112" s="657"/>
      <c r="AB112" s="687">
        <f t="shared" si="35"/>
        <v>0.8</v>
      </c>
      <c r="AC112" s="1104">
        <f t="shared" si="36"/>
        <v>3.7705627705627708E-2</v>
      </c>
    </row>
    <row r="113" spans="1:31" ht="12.75" thickBot="1" x14ac:dyDescent="0.25">
      <c r="B113" s="682" t="s">
        <v>96</v>
      </c>
      <c r="C113" s="204">
        <v>0</v>
      </c>
      <c r="D113" s="205">
        <f t="shared" si="30"/>
        <v>0</v>
      </c>
      <c r="E113" s="167">
        <v>0</v>
      </c>
      <c r="F113" s="287">
        <f>E113/F$92</f>
        <v>0</v>
      </c>
      <c r="G113" s="379">
        <v>0</v>
      </c>
      <c r="H113" s="444">
        <f>G113/H$92</f>
        <v>0</v>
      </c>
      <c r="I113" s="430">
        <v>0</v>
      </c>
      <c r="J113" s="479">
        <f>I113/J$92</f>
        <v>0</v>
      </c>
      <c r="K113" s="371">
        <v>0</v>
      </c>
      <c r="L113" s="207">
        <f>K113/L$92</f>
        <v>0</v>
      </c>
      <c r="M113" s="371">
        <v>0</v>
      </c>
      <c r="N113" s="453">
        <f>M113/N$92</f>
        <v>0</v>
      </c>
      <c r="O113" s="430">
        <v>0</v>
      </c>
      <c r="P113" s="453">
        <f>O113/P$92</f>
        <v>0</v>
      </c>
      <c r="Q113" s="430">
        <v>0</v>
      </c>
      <c r="R113" s="453">
        <f>Q113/R$92</f>
        <v>0</v>
      </c>
      <c r="S113" s="430">
        <v>0</v>
      </c>
      <c r="T113" s="453">
        <f>S113/T$92</f>
        <v>0</v>
      </c>
      <c r="U113" s="430">
        <v>0</v>
      </c>
      <c r="V113" s="453">
        <f>U113/V$92</f>
        <v>0</v>
      </c>
      <c r="W113" s="430">
        <v>0</v>
      </c>
      <c r="X113" s="453">
        <f>W113/X$92</f>
        <v>0</v>
      </c>
      <c r="Y113" s="430">
        <v>0</v>
      </c>
      <c r="Z113" s="1398">
        <f>Y113/Z$92</f>
        <v>0</v>
      </c>
      <c r="AA113" s="657"/>
      <c r="AB113" s="761">
        <f t="shared" si="35"/>
        <v>0</v>
      </c>
      <c r="AC113" s="857">
        <f t="shared" si="36"/>
        <v>0</v>
      </c>
    </row>
    <row r="114" spans="1:31" ht="11.85" customHeight="1" thickTop="1" x14ac:dyDescent="0.2">
      <c r="A114" s="652"/>
      <c r="B114" s="669" t="s">
        <v>131</v>
      </c>
      <c r="C114" s="51"/>
      <c r="D114" s="670"/>
      <c r="E114" s="52"/>
      <c r="F114" s="671"/>
      <c r="G114" s="672"/>
      <c r="H114" s="670"/>
      <c r="I114" s="672"/>
      <c r="J114" s="670"/>
      <c r="K114" s="672"/>
      <c r="L114" s="670"/>
      <c r="M114" s="672"/>
      <c r="N114" s="670"/>
      <c r="O114" s="672"/>
      <c r="P114" s="670"/>
      <c r="Q114" s="672"/>
      <c r="R114" s="670"/>
      <c r="S114" s="672"/>
      <c r="T114" s="670"/>
      <c r="U114" s="672"/>
      <c r="V114" s="670"/>
      <c r="W114" s="672"/>
      <c r="X114" s="670"/>
      <c r="Y114" s="672"/>
      <c r="Z114" s="1455"/>
      <c r="AA114" s="673"/>
      <c r="AB114" s="674"/>
      <c r="AC114" s="675"/>
      <c r="AD114" s="24"/>
      <c r="AE114" s="24"/>
    </row>
    <row r="115" spans="1:31" ht="11.85" customHeight="1" x14ac:dyDescent="0.2">
      <c r="A115" s="652"/>
      <c r="B115" s="676"/>
      <c r="C115" s="101" t="s">
        <v>97</v>
      </c>
      <c r="D115" s="677" t="s">
        <v>17</v>
      </c>
      <c r="E115" s="101" t="s">
        <v>97</v>
      </c>
      <c r="F115" s="677" t="s">
        <v>17</v>
      </c>
      <c r="G115" s="101" t="s">
        <v>97</v>
      </c>
      <c r="H115" s="677" t="s">
        <v>17</v>
      </c>
      <c r="I115" s="101" t="s">
        <v>97</v>
      </c>
      <c r="J115" s="677" t="s">
        <v>17</v>
      </c>
      <c r="K115" s="253" t="s">
        <v>97</v>
      </c>
      <c r="L115" s="677" t="s">
        <v>17</v>
      </c>
      <c r="M115" s="253" t="s">
        <v>97</v>
      </c>
      <c r="N115" s="677" t="s">
        <v>17</v>
      </c>
      <c r="O115" s="101" t="s">
        <v>97</v>
      </c>
      <c r="P115" s="677" t="s">
        <v>17</v>
      </c>
      <c r="Q115" s="253" t="s">
        <v>97</v>
      </c>
      <c r="R115" s="677" t="s">
        <v>17</v>
      </c>
      <c r="S115" s="253" t="s">
        <v>97</v>
      </c>
      <c r="T115" s="677" t="s">
        <v>17</v>
      </c>
      <c r="U115" s="253" t="s">
        <v>97</v>
      </c>
      <c r="V115" s="677" t="s">
        <v>17</v>
      </c>
      <c r="W115" s="253" t="s">
        <v>97</v>
      </c>
      <c r="X115" s="677" t="s">
        <v>17</v>
      </c>
      <c r="Y115" s="253" t="s">
        <v>97</v>
      </c>
      <c r="Z115" s="678" t="s">
        <v>17</v>
      </c>
      <c r="AA115" s="679"/>
      <c r="AB115" s="101" t="s">
        <v>97</v>
      </c>
      <c r="AC115" s="678" t="s">
        <v>17</v>
      </c>
      <c r="AD115" s="24"/>
      <c r="AE115" s="24"/>
    </row>
    <row r="116" spans="1:31" ht="11.85" customHeight="1" x14ac:dyDescent="0.2">
      <c r="A116" s="652"/>
      <c r="B116" s="680" t="s">
        <v>132</v>
      </c>
      <c r="C116" s="253">
        <v>0</v>
      </c>
      <c r="D116" s="706">
        <v>0</v>
      </c>
      <c r="E116" s="253">
        <v>0</v>
      </c>
      <c r="F116" s="706">
        <v>0</v>
      </c>
      <c r="G116" s="253">
        <v>0</v>
      </c>
      <c r="H116" s="706">
        <v>0</v>
      </c>
      <c r="I116" s="253">
        <v>0</v>
      </c>
      <c r="J116" s="706">
        <v>0</v>
      </c>
      <c r="K116" s="253">
        <v>0</v>
      </c>
      <c r="L116" s="706">
        <v>0</v>
      </c>
      <c r="M116" s="253">
        <v>0</v>
      </c>
      <c r="N116" s="706">
        <v>0</v>
      </c>
      <c r="O116" s="101">
        <v>0</v>
      </c>
      <c r="P116" s="706">
        <v>0</v>
      </c>
      <c r="Q116" s="253">
        <v>1</v>
      </c>
      <c r="R116" s="706">
        <v>0.5</v>
      </c>
      <c r="S116" s="253">
        <v>0</v>
      </c>
      <c r="T116" s="706">
        <v>0</v>
      </c>
      <c r="U116" s="253">
        <v>0</v>
      </c>
      <c r="V116" s="706">
        <v>0</v>
      </c>
      <c r="W116" s="253">
        <v>0</v>
      </c>
      <c r="X116" s="706">
        <v>0</v>
      </c>
      <c r="Y116" s="253">
        <v>0</v>
      </c>
      <c r="Z116" s="1456">
        <v>0</v>
      </c>
      <c r="AA116" s="681"/>
      <c r="AB116" s="877">
        <f t="shared" ref="AB116:AB118" si="37">AVERAGE(U116,Q116,S116,Y116,W116)</f>
        <v>0.2</v>
      </c>
      <c r="AC116" s="896">
        <f t="shared" ref="AC116:AC118" si="38">AVERAGE(V116,R116,T116,Z116,X116)</f>
        <v>0.1</v>
      </c>
      <c r="AD116" s="24"/>
      <c r="AE116" s="24"/>
    </row>
    <row r="117" spans="1:31" ht="11.85" customHeight="1" x14ac:dyDescent="0.2">
      <c r="A117" s="652"/>
      <c r="B117" s="680" t="s">
        <v>133</v>
      </c>
      <c r="C117" s="253">
        <v>0</v>
      </c>
      <c r="D117" s="706">
        <v>0</v>
      </c>
      <c r="E117" s="253">
        <v>0</v>
      </c>
      <c r="F117" s="706">
        <v>0</v>
      </c>
      <c r="G117" s="253">
        <v>0</v>
      </c>
      <c r="H117" s="706">
        <v>0</v>
      </c>
      <c r="I117" s="253">
        <v>0</v>
      </c>
      <c r="J117" s="706">
        <v>0</v>
      </c>
      <c r="K117" s="253">
        <v>0</v>
      </c>
      <c r="L117" s="706">
        <v>0</v>
      </c>
      <c r="M117" s="253">
        <v>0</v>
      </c>
      <c r="N117" s="706">
        <v>0</v>
      </c>
      <c r="O117" s="101">
        <v>0</v>
      </c>
      <c r="P117" s="706">
        <v>0</v>
      </c>
      <c r="Q117" s="253">
        <v>0</v>
      </c>
      <c r="R117" s="706">
        <v>0</v>
      </c>
      <c r="S117" s="253">
        <v>0</v>
      </c>
      <c r="T117" s="706">
        <v>0</v>
      </c>
      <c r="U117" s="253">
        <v>0</v>
      </c>
      <c r="V117" s="706">
        <v>0</v>
      </c>
      <c r="W117" s="253">
        <v>0</v>
      </c>
      <c r="X117" s="706">
        <v>0</v>
      </c>
      <c r="Y117" s="253">
        <v>0</v>
      </c>
      <c r="Z117" s="1456">
        <v>0</v>
      </c>
      <c r="AA117" s="681"/>
      <c r="AB117" s="877">
        <f t="shared" si="37"/>
        <v>0</v>
      </c>
      <c r="AC117" s="896">
        <f t="shared" si="38"/>
        <v>0</v>
      </c>
      <c r="AD117" s="24"/>
      <c r="AE117" s="24"/>
    </row>
    <row r="118" spans="1:31" ht="12" customHeight="1" thickBot="1" x14ac:dyDescent="0.25">
      <c r="A118" s="652"/>
      <c r="B118" s="682" t="s">
        <v>158</v>
      </c>
      <c r="C118" s="878">
        <v>0</v>
      </c>
      <c r="D118" s="707">
        <v>0</v>
      </c>
      <c r="E118" s="878">
        <v>0</v>
      </c>
      <c r="F118" s="707">
        <v>0</v>
      </c>
      <c r="G118" s="878">
        <v>1</v>
      </c>
      <c r="H118" s="707">
        <v>0.5</v>
      </c>
      <c r="I118" s="878">
        <v>0</v>
      </c>
      <c r="J118" s="707">
        <v>0</v>
      </c>
      <c r="K118" s="878">
        <v>1</v>
      </c>
      <c r="L118" s="707">
        <v>0.5</v>
      </c>
      <c r="M118" s="878">
        <v>1</v>
      </c>
      <c r="N118" s="707">
        <v>0.5</v>
      </c>
      <c r="O118" s="683">
        <v>1</v>
      </c>
      <c r="P118" s="707">
        <v>0.5</v>
      </c>
      <c r="Q118" s="878">
        <v>0</v>
      </c>
      <c r="R118" s="707">
        <v>0.5</v>
      </c>
      <c r="S118" s="878">
        <v>0</v>
      </c>
      <c r="T118" s="707">
        <v>0</v>
      </c>
      <c r="U118" s="878">
        <v>0</v>
      </c>
      <c r="V118" s="707">
        <v>0</v>
      </c>
      <c r="W118" s="878">
        <v>1</v>
      </c>
      <c r="X118" s="707">
        <v>0.5</v>
      </c>
      <c r="Y118" s="878">
        <v>1</v>
      </c>
      <c r="Z118" s="1457">
        <v>0.5</v>
      </c>
      <c r="AA118" s="681"/>
      <c r="AB118" s="897">
        <f t="shared" si="37"/>
        <v>0.4</v>
      </c>
      <c r="AC118" s="898">
        <f t="shared" si="38"/>
        <v>0.3</v>
      </c>
      <c r="AD118" s="24"/>
      <c r="AE118" s="24"/>
    </row>
    <row r="119" spans="1:31" customFormat="1" ht="17.25" thickTop="1" thickBot="1" x14ac:dyDescent="0.3">
      <c r="A119" s="708"/>
      <c r="B119" s="709"/>
      <c r="C119" s="1477" t="s">
        <v>35</v>
      </c>
      <c r="D119" s="1482"/>
      <c r="E119" s="1477" t="s">
        <v>36</v>
      </c>
      <c r="F119" s="1482"/>
      <c r="G119" s="1479" t="s">
        <v>122</v>
      </c>
      <c r="H119" s="1487"/>
      <c r="I119" s="1479" t="s">
        <v>123</v>
      </c>
      <c r="J119" s="1487"/>
      <c r="K119" s="1479" t="s">
        <v>148</v>
      </c>
      <c r="L119" s="1487"/>
      <c r="M119" s="1488" t="s">
        <v>149</v>
      </c>
      <c r="N119" s="1484"/>
      <c r="O119" s="1483" t="s">
        <v>175</v>
      </c>
      <c r="P119" s="1484"/>
      <c r="Q119" s="1483" t="s">
        <v>194</v>
      </c>
      <c r="R119" s="1484"/>
      <c r="S119" s="1483" t="s">
        <v>219</v>
      </c>
      <c r="T119" s="1484"/>
      <c r="U119" s="1483" t="s">
        <v>222</v>
      </c>
      <c r="V119" s="1484"/>
      <c r="W119" s="1483" t="s">
        <v>233</v>
      </c>
      <c r="X119" s="1484"/>
      <c r="Y119" s="1483" t="s">
        <v>242</v>
      </c>
      <c r="Z119" s="1489"/>
      <c r="AA119" s="1216"/>
      <c r="AB119" s="1485"/>
      <c r="AC119" s="1486"/>
      <c r="AD119" s="24"/>
      <c r="AE119" s="1"/>
    </row>
    <row r="120" spans="1:31" customFormat="1" ht="12.75" x14ac:dyDescent="0.2">
      <c r="A120" s="1"/>
      <c r="B120" s="710" t="s">
        <v>157</v>
      </c>
      <c r="C120" s="1217"/>
      <c r="D120" s="1218"/>
      <c r="E120" s="1219"/>
      <c r="F120" s="1220"/>
      <c r="G120" s="1221"/>
      <c r="H120" s="1222"/>
      <c r="I120" s="1298"/>
      <c r="J120" s="1299"/>
      <c r="K120" s="730"/>
      <c r="L120" s="1223"/>
      <c r="M120" s="730"/>
      <c r="N120" s="731"/>
      <c r="O120" s="1224"/>
      <c r="P120" s="1225"/>
      <c r="Q120" s="730"/>
      <c r="R120" s="731"/>
      <c r="S120" s="730"/>
      <c r="T120" s="731"/>
      <c r="U120" s="1224"/>
      <c r="V120" s="1225"/>
      <c r="W120" s="730"/>
      <c r="X120" s="731"/>
      <c r="Y120" s="730"/>
      <c r="Z120" s="1226"/>
      <c r="AA120" s="1215"/>
      <c r="AB120" s="1215"/>
      <c r="AC120" s="1215"/>
      <c r="AD120" s="1"/>
      <c r="AE120" s="1"/>
    </row>
    <row r="121" spans="1:31" customFormat="1" ht="12.75" x14ac:dyDescent="0.2">
      <c r="A121" s="652"/>
      <c r="B121" s="719" t="s">
        <v>138</v>
      </c>
      <c r="C121" s="1461">
        <v>6.85</v>
      </c>
      <c r="D121" s="1462"/>
      <c r="E121" s="728"/>
      <c r="F121" s="729"/>
      <c r="G121" s="730"/>
      <c r="H121" s="731"/>
      <c r="I121" s="1461">
        <v>1.45</v>
      </c>
      <c r="J121" s="1462"/>
      <c r="K121" s="1227"/>
      <c r="L121" s="1228"/>
      <c r="M121" s="1227"/>
      <c r="N121" s="731"/>
      <c r="O121" s="1229"/>
      <c r="P121" s="1233">
        <v>2</v>
      </c>
      <c r="Q121" s="1227"/>
      <c r="R121" s="731"/>
      <c r="S121" s="1227"/>
      <c r="T121" s="731"/>
      <c r="U121" s="1232"/>
      <c r="V121" s="1233">
        <v>2</v>
      </c>
      <c r="W121" s="1227"/>
      <c r="X121" s="731"/>
      <c r="Y121" s="1227"/>
      <c r="Z121" s="1226"/>
      <c r="AA121" s="1215"/>
      <c r="AB121" s="1215"/>
      <c r="AC121" s="1215"/>
      <c r="AD121" s="1"/>
      <c r="AE121" s="1"/>
    </row>
    <row r="122" spans="1:31" customFormat="1" ht="12.75" x14ac:dyDescent="0.2">
      <c r="A122" s="652"/>
      <c r="B122" s="725" t="s">
        <v>139</v>
      </c>
      <c r="C122" s="1461"/>
      <c r="D122" s="1462"/>
      <c r="E122" s="728"/>
      <c r="F122" s="729"/>
      <c r="G122" s="730"/>
      <c r="H122" s="731"/>
      <c r="I122" s="1461"/>
      <c r="J122" s="1462"/>
      <c r="K122" s="1227"/>
      <c r="L122" s="1228"/>
      <c r="M122" s="1227"/>
      <c r="N122" s="731"/>
      <c r="O122" s="1229"/>
      <c r="P122" s="1233"/>
      <c r="Q122" s="1227"/>
      <c r="R122" s="731"/>
      <c r="S122" s="1227"/>
      <c r="T122" s="731"/>
      <c r="U122" s="1232"/>
      <c r="V122" s="1233"/>
      <c r="W122" s="1227"/>
      <c r="X122" s="731"/>
      <c r="Y122" s="1227"/>
      <c r="Z122" s="1226"/>
      <c r="AA122" s="1215"/>
      <c r="AB122" s="1215"/>
      <c r="AC122" s="1215"/>
      <c r="AD122" s="1"/>
      <c r="AE122" s="1"/>
    </row>
    <row r="123" spans="1:31" customFormat="1" ht="12.75" x14ac:dyDescent="0.2">
      <c r="A123" s="652"/>
      <c r="B123" s="725" t="s">
        <v>140</v>
      </c>
      <c r="C123" s="1461">
        <v>7.65</v>
      </c>
      <c r="D123" s="1462"/>
      <c r="E123" s="728"/>
      <c r="F123" s="729"/>
      <c r="G123" s="730"/>
      <c r="H123" s="731"/>
      <c r="I123" s="1461">
        <v>0</v>
      </c>
      <c r="J123" s="1462"/>
      <c r="K123" s="1227"/>
      <c r="L123" s="1228"/>
      <c r="M123" s="1227"/>
      <c r="N123" s="731"/>
      <c r="O123" s="1229"/>
      <c r="P123" s="1233">
        <v>0</v>
      </c>
      <c r="Q123" s="1227"/>
      <c r="R123" s="731"/>
      <c r="S123" s="1227"/>
      <c r="T123" s="731"/>
      <c r="U123" s="1232"/>
      <c r="V123" s="1233">
        <v>0</v>
      </c>
      <c r="W123" s="1227"/>
      <c r="X123" s="731"/>
      <c r="Y123" s="1227"/>
      <c r="Z123" s="1226"/>
      <c r="AA123" s="1215"/>
      <c r="AB123" s="1215"/>
      <c r="AC123" s="1215"/>
      <c r="AD123" s="1"/>
      <c r="AE123" s="1"/>
    </row>
    <row r="124" spans="1:31" customFormat="1" ht="12.75" x14ac:dyDescent="0.2">
      <c r="A124" s="652"/>
      <c r="B124" s="719" t="s">
        <v>141</v>
      </c>
      <c r="C124" s="1461">
        <v>0</v>
      </c>
      <c r="D124" s="1462"/>
      <c r="E124" s="728"/>
      <c r="F124" s="729"/>
      <c r="G124" s="730"/>
      <c r="H124" s="731"/>
      <c r="I124" s="1461">
        <v>0</v>
      </c>
      <c r="J124" s="1462"/>
      <c r="K124" s="1227"/>
      <c r="L124" s="1228"/>
      <c r="M124" s="1227"/>
      <c r="N124" s="731"/>
      <c r="O124" s="1229"/>
      <c r="P124" s="1233">
        <v>0</v>
      </c>
      <c r="Q124" s="1227"/>
      <c r="R124" s="731"/>
      <c r="S124" s="1227"/>
      <c r="T124" s="731"/>
      <c r="U124" s="1232"/>
      <c r="V124" s="1233">
        <v>0</v>
      </c>
      <c r="W124" s="1227"/>
      <c r="X124" s="731"/>
      <c r="Y124" s="1227"/>
      <c r="Z124" s="1226"/>
      <c r="AA124" s="1215"/>
      <c r="AB124" s="1215"/>
      <c r="AC124" s="1215"/>
      <c r="AD124" s="1"/>
      <c r="AE124" s="1"/>
    </row>
    <row r="125" spans="1:31" customFormat="1" ht="12.75" x14ac:dyDescent="0.2">
      <c r="A125" s="652"/>
      <c r="B125" s="726" t="s">
        <v>142</v>
      </c>
      <c r="C125" s="1461">
        <v>1.1000000000000001</v>
      </c>
      <c r="D125" s="1462"/>
      <c r="E125" s="728"/>
      <c r="F125" s="729"/>
      <c r="G125" s="730"/>
      <c r="H125" s="731"/>
      <c r="I125" s="1461">
        <v>0</v>
      </c>
      <c r="J125" s="1462"/>
      <c r="K125" s="1227"/>
      <c r="L125" s="1228"/>
      <c r="M125" s="1227"/>
      <c r="N125" s="731"/>
      <c r="O125" s="1229"/>
      <c r="P125" s="1233">
        <v>3.8</v>
      </c>
      <c r="Q125" s="1227"/>
      <c r="R125" s="731"/>
      <c r="S125" s="1227"/>
      <c r="T125" s="731"/>
      <c r="U125" s="1232"/>
      <c r="V125" s="1233">
        <f>6.4+2</f>
        <v>8.4</v>
      </c>
      <c r="W125" s="1227"/>
      <c r="X125" s="731"/>
      <c r="Y125" s="1227"/>
      <c r="Z125" s="1226"/>
      <c r="AA125" s="1215"/>
      <c r="AB125" s="1215"/>
      <c r="AC125" s="1215"/>
      <c r="AD125" s="1"/>
      <c r="AE125" s="1"/>
    </row>
    <row r="126" spans="1:31" customFormat="1" ht="12.75" x14ac:dyDescent="0.2">
      <c r="A126" s="652"/>
      <c r="B126" s="726" t="s">
        <v>143</v>
      </c>
      <c r="C126" s="1461">
        <f>SUM(C121:D125)</f>
        <v>15.6</v>
      </c>
      <c r="D126" s="1462"/>
      <c r="E126" s="728"/>
      <c r="F126" s="729"/>
      <c r="G126" s="730"/>
      <c r="H126" s="731"/>
      <c r="I126" s="1461">
        <v>1.5</v>
      </c>
      <c r="J126" s="1462"/>
      <c r="K126" s="1227"/>
      <c r="L126" s="1228"/>
      <c r="M126" s="1227"/>
      <c r="N126" s="731"/>
      <c r="O126" s="1229"/>
      <c r="P126" s="1233">
        <f>SUM(P121:P125)</f>
        <v>5.8</v>
      </c>
      <c r="Q126" s="1227"/>
      <c r="R126" s="731"/>
      <c r="S126" s="1227"/>
      <c r="T126" s="731"/>
      <c r="U126" s="1232"/>
      <c r="V126" s="1233">
        <f>SUM(V121:V125)</f>
        <v>10.4</v>
      </c>
      <c r="W126" s="1227"/>
      <c r="X126" s="731"/>
      <c r="Y126" s="1227"/>
      <c r="Z126" s="1226"/>
      <c r="AA126" s="1215"/>
      <c r="AB126" s="1215"/>
      <c r="AC126" s="1215"/>
      <c r="AD126" s="1"/>
      <c r="AE126" s="1"/>
    </row>
    <row r="127" spans="1:31" customFormat="1" ht="13.5" thickBot="1" x14ac:dyDescent="0.25">
      <c r="A127" s="652"/>
      <c r="B127" s="727" t="s">
        <v>151</v>
      </c>
      <c r="C127" s="1461"/>
      <c r="D127" s="1462"/>
      <c r="E127" s="728"/>
      <c r="F127" s="729"/>
      <c r="G127" s="730"/>
      <c r="H127" s="731"/>
      <c r="I127" s="1461"/>
      <c r="J127" s="1462"/>
      <c r="K127" s="1227"/>
      <c r="L127" s="1228"/>
      <c r="M127" s="1227"/>
      <c r="N127" s="731"/>
      <c r="O127" s="1229"/>
      <c r="P127" s="1187"/>
      <c r="Q127" s="1227"/>
      <c r="R127" s="731"/>
      <c r="S127" s="1227"/>
      <c r="T127" s="731"/>
      <c r="U127" s="1232"/>
      <c r="V127" s="1233"/>
      <c r="W127" s="1227"/>
      <c r="X127" s="731"/>
      <c r="Y127" s="1227"/>
      <c r="Z127" s="1226"/>
      <c r="AA127" s="1215"/>
      <c r="AB127" s="1215"/>
      <c r="AC127" s="1215"/>
      <c r="AD127" s="1" t="s">
        <v>23</v>
      </c>
      <c r="AE127" s="1"/>
    </row>
    <row r="128" spans="1:31" customFormat="1" ht="12.75" x14ac:dyDescent="0.2">
      <c r="A128" s="652"/>
      <c r="B128" s="719" t="s">
        <v>144</v>
      </c>
      <c r="C128" s="1461">
        <v>3052</v>
      </c>
      <c r="D128" s="1462"/>
      <c r="E128" s="728"/>
      <c r="F128" s="729"/>
      <c r="G128" s="730"/>
      <c r="H128" s="731"/>
      <c r="I128" s="1475">
        <v>218</v>
      </c>
      <c r="J128" s="1476"/>
      <c r="K128" s="879"/>
      <c r="L128" s="880"/>
      <c r="M128" s="879"/>
      <c r="N128" s="1091"/>
      <c r="O128" s="1230"/>
      <c r="P128" s="1231">
        <v>366</v>
      </c>
      <c r="Q128" s="879"/>
      <c r="R128" s="1091"/>
      <c r="S128" s="879"/>
      <c r="T128" s="1091"/>
      <c r="U128" s="1424"/>
      <c r="V128" s="1199">
        <f>68</f>
        <v>68</v>
      </c>
      <c r="W128" s="879"/>
      <c r="X128" s="1091"/>
      <c r="Y128" s="879"/>
      <c r="Z128" s="1201"/>
      <c r="AA128" s="774"/>
      <c r="AB128" s="774"/>
      <c r="AC128" s="550"/>
      <c r="AD128" s="1"/>
      <c r="AE128" s="1"/>
    </row>
    <row r="129" spans="1:31" customFormat="1" ht="12.75" x14ac:dyDescent="0.2">
      <c r="A129" s="652"/>
      <c r="B129" s="726" t="s">
        <v>145</v>
      </c>
      <c r="C129" s="1461">
        <v>1586</v>
      </c>
      <c r="D129" s="1462"/>
      <c r="E129" s="728"/>
      <c r="F129" s="729"/>
      <c r="G129" s="730"/>
      <c r="H129" s="731"/>
      <c r="I129" s="1475">
        <v>0</v>
      </c>
      <c r="J129" s="1476"/>
      <c r="K129" s="879"/>
      <c r="L129" s="880"/>
      <c r="M129" s="879"/>
      <c r="N129" s="1091"/>
      <c r="O129" s="1230"/>
      <c r="P129" s="1231">
        <v>0</v>
      </c>
      <c r="Q129" s="879"/>
      <c r="R129" s="1091"/>
      <c r="S129" s="879"/>
      <c r="T129" s="1091"/>
      <c r="U129" s="1424"/>
      <c r="V129" s="1199">
        <v>0</v>
      </c>
      <c r="W129" s="879"/>
      <c r="X129" s="1091"/>
      <c r="Y129" s="879"/>
      <c r="Z129" s="1201"/>
      <c r="AA129" s="774"/>
      <c r="AB129" s="774"/>
      <c r="AC129" s="550"/>
      <c r="AD129" s="1"/>
      <c r="AE129" s="1"/>
    </row>
    <row r="130" spans="1:31" customFormat="1" ht="12.75" x14ac:dyDescent="0.2">
      <c r="A130" s="652"/>
      <c r="B130" s="726" t="s">
        <v>146</v>
      </c>
      <c r="C130" s="1461">
        <v>216</v>
      </c>
      <c r="D130" s="1462"/>
      <c r="E130" s="728"/>
      <c r="F130" s="729"/>
      <c r="G130" s="730"/>
      <c r="H130" s="731"/>
      <c r="I130" s="1475">
        <v>0</v>
      </c>
      <c r="J130" s="1476"/>
      <c r="K130" s="879"/>
      <c r="L130" s="880"/>
      <c r="M130" s="879"/>
      <c r="N130" s="1091"/>
      <c r="O130" s="1230"/>
      <c r="P130" s="1231">
        <v>43</v>
      </c>
      <c r="Q130" s="879"/>
      <c r="R130" s="1091"/>
      <c r="S130" s="879"/>
      <c r="T130" s="1091"/>
      <c r="U130" s="1424"/>
      <c r="V130" s="1199">
        <v>363</v>
      </c>
      <c r="W130" s="879"/>
      <c r="X130" s="1091"/>
      <c r="Y130" s="879"/>
      <c r="Z130" s="1201"/>
      <c r="AA130" s="774"/>
      <c r="AB130" s="774"/>
      <c r="AC130" s="550"/>
      <c r="AD130" s="1"/>
      <c r="AE130" s="1"/>
    </row>
    <row r="131" spans="1:31" customFormat="1" ht="12.75" x14ac:dyDescent="0.2">
      <c r="A131" s="652"/>
      <c r="B131" s="726" t="s">
        <v>156</v>
      </c>
      <c r="C131" s="1461">
        <f>SUM(C128:D130)</f>
        <v>4854</v>
      </c>
      <c r="D131" s="1462"/>
      <c r="E131" s="728"/>
      <c r="F131" s="729"/>
      <c r="G131" s="730"/>
      <c r="H131" s="731"/>
      <c r="I131" s="1475">
        <v>218</v>
      </c>
      <c r="J131" s="1476"/>
      <c r="K131" s="879"/>
      <c r="L131" s="880"/>
      <c r="M131" s="879"/>
      <c r="N131" s="1091"/>
      <c r="O131" s="1230"/>
      <c r="P131" s="1231">
        <f>SUM(P128:P130)</f>
        <v>409</v>
      </c>
      <c r="Q131" s="879"/>
      <c r="R131" s="1091"/>
      <c r="S131" s="879"/>
      <c r="T131" s="1091"/>
      <c r="U131" s="1424"/>
      <c r="V131" s="1199">
        <f>SUM(V128:V130)</f>
        <v>431</v>
      </c>
      <c r="W131" s="879"/>
      <c r="X131" s="1091"/>
      <c r="Y131" s="879"/>
      <c r="Z131" s="1201"/>
      <c r="AA131" s="774"/>
      <c r="AB131" s="774"/>
      <c r="AC131" s="550"/>
      <c r="AD131" s="1"/>
      <c r="AE131" s="1"/>
    </row>
    <row r="132" spans="1:31" customFormat="1" ht="13.5" thickBot="1" x14ac:dyDescent="0.25">
      <c r="A132" s="652"/>
      <c r="B132" s="727" t="s">
        <v>152</v>
      </c>
      <c r="C132" s="1461"/>
      <c r="D132" s="1462"/>
      <c r="E132" s="728"/>
      <c r="F132" s="729"/>
      <c r="G132" s="730"/>
      <c r="H132" s="731"/>
      <c r="I132" s="1461"/>
      <c r="J132" s="1462"/>
      <c r="K132" s="1227"/>
      <c r="L132" s="1228"/>
      <c r="M132" s="1227"/>
      <c r="N132" s="731"/>
      <c r="O132" s="1232"/>
      <c r="P132" s="1233"/>
      <c r="Q132" s="1227"/>
      <c r="R132" s="731"/>
      <c r="S132" s="1227"/>
      <c r="T132" s="731"/>
      <c r="U132" s="1232"/>
      <c r="V132" s="1233"/>
      <c r="W132" s="1227"/>
      <c r="X132" s="731"/>
      <c r="Y132" s="1227"/>
      <c r="Z132" s="1226"/>
      <c r="AA132" s="1215"/>
      <c r="AB132" s="1215"/>
      <c r="AC132" s="1215"/>
      <c r="AD132" s="24"/>
      <c r="AE132" s="24"/>
    </row>
    <row r="133" spans="1:31" customFormat="1" ht="12.75" x14ac:dyDescent="0.2">
      <c r="A133" s="652"/>
      <c r="B133" s="719" t="s">
        <v>153</v>
      </c>
      <c r="C133" s="1461">
        <f>C128/C121</f>
        <v>445.54744525547449</v>
      </c>
      <c r="D133" s="1462"/>
      <c r="E133" s="728"/>
      <c r="F133" s="729"/>
      <c r="G133" s="730"/>
      <c r="H133" s="731"/>
      <c r="I133" s="1461">
        <f>I128/I121</f>
        <v>150.34482758620689</v>
      </c>
      <c r="J133" s="1462"/>
      <c r="K133" s="1227"/>
      <c r="L133" s="1228"/>
      <c r="M133" s="1227"/>
      <c r="N133" s="731"/>
      <c r="O133" s="1232"/>
      <c r="P133" s="1199">
        <f>P128/P121</f>
        <v>183</v>
      </c>
      <c r="Q133" s="1227"/>
      <c r="R133" s="731"/>
      <c r="S133" s="1227"/>
      <c r="T133" s="731"/>
      <c r="U133" s="1232"/>
      <c r="V133" s="1199">
        <f>V128/V121</f>
        <v>34</v>
      </c>
      <c r="W133" s="1227"/>
      <c r="X133" s="731"/>
      <c r="Y133" s="1227"/>
      <c r="Z133" s="1226"/>
      <c r="AA133" s="1215"/>
      <c r="AB133" s="1215"/>
      <c r="AC133" s="1215"/>
      <c r="AD133" s="15"/>
      <c r="AE133" s="15"/>
    </row>
    <row r="134" spans="1:31" customFormat="1" ht="12.75" x14ac:dyDescent="0.2">
      <c r="A134" s="652"/>
      <c r="B134" s="726" t="s">
        <v>154</v>
      </c>
      <c r="C134" s="1461">
        <f>C129/C123</f>
        <v>207.3202614379085</v>
      </c>
      <c r="D134" s="1462"/>
      <c r="E134" s="728"/>
      <c r="F134" s="729"/>
      <c r="G134" s="730"/>
      <c r="H134" s="731"/>
      <c r="I134" s="1461">
        <v>0</v>
      </c>
      <c r="J134" s="1462"/>
      <c r="K134" s="1227"/>
      <c r="L134" s="1228"/>
      <c r="M134" s="1227"/>
      <c r="N134" s="731"/>
      <c r="O134" s="1232"/>
      <c r="P134" s="1199">
        <v>0</v>
      </c>
      <c r="Q134" s="1227"/>
      <c r="R134" s="731"/>
      <c r="S134" s="1227"/>
      <c r="T134" s="731"/>
      <c r="U134" s="1232"/>
      <c r="V134" s="1199">
        <v>0</v>
      </c>
      <c r="W134" s="1227"/>
      <c r="X134" s="731"/>
      <c r="Y134" s="1227"/>
      <c r="Z134" s="1226"/>
      <c r="AA134" s="1215"/>
      <c r="AB134" s="1215"/>
      <c r="AC134" s="1215"/>
      <c r="AD134" s="15"/>
      <c r="AE134" s="15"/>
    </row>
    <row r="135" spans="1:31" customFormat="1" ht="12.75" x14ac:dyDescent="0.2">
      <c r="A135" s="652"/>
      <c r="B135" s="726" t="s">
        <v>155</v>
      </c>
      <c r="C135" s="1461">
        <f>C130/C125</f>
        <v>196.36363636363635</v>
      </c>
      <c r="D135" s="1462"/>
      <c r="E135" s="728"/>
      <c r="F135" s="729"/>
      <c r="G135" s="730"/>
      <c r="H135" s="731"/>
      <c r="I135" s="1461">
        <v>0</v>
      </c>
      <c r="J135" s="1462"/>
      <c r="K135" s="1227"/>
      <c r="L135" s="1228"/>
      <c r="M135" s="1227"/>
      <c r="N135" s="731"/>
      <c r="O135" s="1232"/>
      <c r="P135" s="1199">
        <f>P130/P125</f>
        <v>11.315789473684211</v>
      </c>
      <c r="Q135" s="1227"/>
      <c r="R135" s="731"/>
      <c r="S135" s="1227"/>
      <c r="T135" s="731"/>
      <c r="U135" s="1232"/>
      <c r="V135" s="1199">
        <f>V130/V125</f>
        <v>43.214285714285715</v>
      </c>
      <c r="W135" s="1227"/>
      <c r="X135" s="731"/>
      <c r="Y135" s="1227"/>
      <c r="Z135" s="1226"/>
      <c r="AA135" s="1215"/>
      <c r="AB135" s="1215"/>
      <c r="AC135" s="1215"/>
      <c r="AD135" s="15"/>
      <c r="AE135" s="15"/>
    </row>
    <row r="136" spans="1:31" customFormat="1" ht="13.5" thickBot="1" x14ac:dyDescent="0.25">
      <c r="A136" s="652"/>
      <c r="B136" s="733" t="s">
        <v>147</v>
      </c>
      <c r="C136" s="1459">
        <f>C131/C126</f>
        <v>311.15384615384619</v>
      </c>
      <c r="D136" s="1460"/>
      <c r="E136" s="734"/>
      <c r="F136" s="735"/>
      <c r="G136" s="736"/>
      <c r="H136" s="737"/>
      <c r="I136" s="1459">
        <f>I131/I126</f>
        <v>145.33333333333334</v>
      </c>
      <c r="J136" s="1460"/>
      <c r="K136" s="736"/>
      <c r="L136" s="737"/>
      <c r="M136" s="736"/>
      <c r="N136" s="737"/>
      <c r="O136" s="1234"/>
      <c r="P136" s="1200">
        <f>P131/P126</f>
        <v>70.517241379310349</v>
      </c>
      <c r="Q136" s="1235"/>
      <c r="R136" s="737"/>
      <c r="S136" s="736"/>
      <c r="T136" s="737"/>
      <c r="U136" s="1234"/>
      <c r="V136" s="1200">
        <f>V131/V126</f>
        <v>41.442307692307693</v>
      </c>
      <c r="W136" s="736"/>
      <c r="X136" s="737"/>
      <c r="Y136" s="736"/>
      <c r="Z136" s="1236"/>
      <c r="AA136" s="1215"/>
      <c r="AB136" s="1215"/>
      <c r="AC136" s="1215"/>
      <c r="AD136" s="15"/>
      <c r="AE136" s="15"/>
    </row>
    <row r="137" spans="1:31" ht="12" customHeight="1" thickTop="1" x14ac:dyDescent="0.2">
      <c r="B137" s="1" t="str">
        <f>'ag sum'!B126</f>
        <v>*Note: For the 2009 collection cycle and later, Instructional FTE was defined according to the national Delaware Study of Instructional Costs and Productivity</v>
      </c>
    </row>
    <row r="138" spans="1:31" ht="12" customHeight="1" x14ac:dyDescent="0.2"/>
    <row r="139" spans="1:31" ht="12" customHeight="1" x14ac:dyDescent="0.2"/>
    <row r="140" spans="1:31" ht="12" customHeight="1" x14ac:dyDescent="0.2"/>
    <row r="141" spans="1:31" ht="12" customHeight="1" x14ac:dyDescent="0.2"/>
    <row r="142" spans="1:31" ht="12" customHeight="1" x14ac:dyDescent="0.2"/>
    <row r="143" spans="1:31" ht="12" customHeight="1" x14ac:dyDescent="0.2"/>
    <row r="144" spans="1:31" ht="12" customHeight="1" x14ac:dyDescent="0.2"/>
    <row r="145" ht="12" customHeight="1" x14ac:dyDescent="0.2"/>
    <row r="146" ht="12" customHeight="1" x14ac:dyDescent="0.2"/>
  </sheetData>
  <mergeCells count="127">
    <mergeCell ref="AB41:AC41"/>
    <mergeCell ref="Q84:R84"/>
    <mergeCell ref="O7:P7"/>
    <mergeCell ref="M84:N84"/>
    <mergeCell ref="M7:N7"/>
    <mergeCell ref="O46:P46"/>
    <mergeCell ref="O57:P57"/>
    <mergeCell ref="O84:P84"/>
    <mergeCell ref="O38:P38"/>
    <mergeCell ref="Q46:R46"/>
    <mergeCell ref="AB7:AC7"/>
    <mergeCell ref="AB46:AC46"/>
    <mergeCell ref="AB57:AC57"/>
    <mergeCell ref="AB84:AC84"/>
    <mergeCell ref="S57:T57"/>
    <mergeCell ref="S84:T84"/>
    <mergeCell ref="S7:T7"/>
    <mergeCell ref="S38:T38"/>
    <mergeCell ref="S41:T41"/>
    <mergeCell ref="U7:V7"/>
    <mergeCell ref="U38:V38"/>
    <mergeCell ref="U41:V41"/>
    <mergeCell ref="U46:V46"/>
    <mergeCell ref="U57:V57"/>
    <mergeCell ref="Y41:Z41"/>
    <mergeCell ref="Y46:Z46"/>
    <mergeCell ref="Y57:Z57"/>
    <mergeCell ref="Y84:Z84"/>
    <mergeCell ref="Y7:Z7"/>
    <mergeCell ref="Y38:Z38"/>
    <mergeCell ref="K7:L7"/>
    <mergeCell ref="K46:L46"/>
    <mergeCell ref="K57:L57"/>
    <mergeCell ref="Q7:R7"/>
    <mergeCell ref="K84:L84"/>
    <mergeCell ref="M46:N46"/>
    <mergeCell ref="Q57:R57"/>
    <mergeCell ref="Q38:R38"/>
    <mergeCell ref="O41:P41"/>
    <mergeCell ref="Q41:R41"/>
    <mergeCell ref="M57:N57"/>
    <mergeCell ref="K38:L38"/>
    <mergeCell ref="M38:N38"/>
    <mergeCell ref="K41:L41"/>
    <mergeCell ref="M41:N41"/>
    <mergeCell ref="S46:T46"/>
    <mergeCell ref="W7:X7"/>
    <mergeCell ref="W38:X38"/>
    <mergeCell ref="W41:X41"/>
    <mergeCell ref="W46:X46"/>
    <mergeCell ref="W57:X57"/>
    <mergeCell ref="W84:X84"/>
    <mergeCell ref="B42:H42"/>
    <mergeCell ref="C57:D57"/>
    <mergeCell ref="G57:H57"/>
    <mergeCell ref="G84:H84"/>
    <mergeCell ref="I57:J57"/>
    <mergeCell ref="I84:J84"/>
    <mergeCell ref="E57:F57"/>
    <mergeCell ref="I46:J46"/>
    <mergeCell ref="C46:D46"/>
    <mergeCell ref="G46:H46"/>
    <mergeCell ref="C84:D84"/>
    <mergeCell ref="E84:F84"/>
    <mergeCell ref="E46:F46"/>
    <mergeCell ref="U84:V84"/>
    <mergeCell ref="Q119:R119"/>
    <mergeCell ref="AB119:AC119"/>
    <mergeCell ref="S119:T119"/>
    <mergeCell ref="C121:D121"/>
    <mergeCell ref="I121:J121"/>
    <mergeCell ref="I119:J119"/>
    <mergeCell ref="K119:L119"/>
    <mergeCell ref="M119:N119"/>
    <mergeCell ref="O119:P119"/>
    <mergeCell ref="G119:H119"/>
    <mergeCell ref="W119:X119"/>
    <mergeCell ref="U119:V119"/>
    <mergeCell ref="Y119:Z119"/>
    <mergeCell ref="C135:D135"/>
    <mergeCell ref="I135:J135"/>
    <mergeCell ref="C130:D130"/>
    <mergeCell ref="I130:J130"/>
    <mergeCell ref="C131:D131"/>
    <mergeCell ref="I131:J131"/>
    <mergeCell ref="C132:D132"/>
    <mergeCell ref="I132:J132"/>
    <mergeCell ref="C38:D38"/>
    <mergeCell ref="E38:F38"/>
    <mergeCell ref="G38:H38"/>
    <mergeCell ref="I38:J38"/>
    <mergeCell ref="C124:D124"/>
    <mergeCell ref="I124:J124"/>
    <mergeCell ref="C125:D125"/>
    <mergeCell ref="I125:J125"/>
    <mergeCell ref="C122:D122"/>
    <mergeCell ref="I122:J122"/>
    <mergeCell ref="C123:D123"/>
    <mergeCell ref="I123:J123"/>
    <mergeCell ref="C128:D128"/>
    <mergeCell ref="I128:J128"/>
    <mergeCell ref="C119:D119"/>
    <mergeCell ref="E119:F119"/>
    <mergeCell ref="C136:D136"/>
    <mergeCell ref="I136:J136"/>
    <mergeCell ref="C133:D133"/>
    <mergeCell ref="I133:J133"/>
    <mergeCell ref="C134:D134"/>
    <mergeCell ref="I134:J134"/>
    <mergeCell ref="C39:D39"/>
    <mergeCell ref="E39:F39"/>
    <mergeCell ref="G39:H39"/>
    <mergeCell ref="I39:J39"/>
    <mergeCell ref="G41:H41"/>
    <mergeCell ref="I41:J41"/>
    <mergeCell ref="C40:D40"/>
    <mergeCell ref="E40:F40"/>
    <mergeCell ref="G40:H40"/>
    <mergeCell ref="I40:J40"/>
    <mergeCell ref="C41:D41"/>
    <mergeCell ref="E41:F41"/>
    <mergeCell ref="C129:D129"/>
    <mergeCell ref="I129:J129"/>
    <mergeCell ref="C126:D126"/>
    <mergeCell ref="I126:J126"/>
    <mergeCell ref="C127:D127"/>
    <mergeCell ref="I127:J127"/>
  </mergeCells>
  <phoneticPr fontId="0" type="noConversion"/>
  <printOptions horizontalCentered="1"/>
  <pageMargins left="0.25" right="0.25" top="0.25" bottom="0.25" header="0.5" footer="0.5"/>
  <pageSetup scale="75" orientation="landscape" horizontalDpi="4294967292" verticalDpi="4294967292" r:id="rId1"/>
  <headerFooter alignWithMargins="0">
    <oddFooter>&amp;R&amp;P of &amp;N
&amp;D</oddFooter>
  </headerFooter>
  <rowBreaks count="2" manualBreakCount="2">
    <brk id="54" max="16383" man="1"/>
    <brk id="81" max="22" man="1"/>
  </rowBreaks>
  <ignoredErrors>
    <ignoredError sqref="W94:W112"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6"/>
  <sheetViews>
    <sheetView tabSelected="1" zoomScaleNormal="100" zoomScaleSheetLayoutView="100" workbookViewId="0">
      <pane xSplit="4" ySplit="2" topLeftCell="E21" activePane="bottomRight" state="frozen"/>
      <selection activeCell="W1" sqref="W1:Z1048576"/>
      <selection pane="topRight" activeCell="W1" sqref="W1:Z1048576"/>
      <selection pane="bottomLeft" activeCell="W1" sqref="W1:Z1048576"/>
      <selection pane="bottomRight" activeCell="AB1" sqref="AB1:AC1048576"/>
    </sheetView>
  </sheetViews>
  <sheetFormatPr defaultColWidth="10.28515625" defaultRowHeight="12.75" x14ac:dyDescent="0.2"/>
  <cols>
    <col min="1" max="1" width="1.5703125" style="1" customWidth="1"/>
    <col min="2" max="2" width="32.42578125" style="1" customWidth="1"/>
    <col min="3" max="3" width="7.7109375" hidden="1" customWidth="1"/>
    <col min="4" max="4" width="11.28515625" hidden="1" customWidth="1"/>
    <col min="5" max="5" width="7.7109375" hidden="1" customWidth="1"/>
    <col min="6" max="6" width="11.5703125" hidden="1" customWidth="1"/>
    <col min="7" max="7" width="7.7109375" style="223" hidden="1" customWidth="1"/>
    <col min="8" max="8" width="11.7109375" style="223" hidden="1" customWidth="1"/>
    <col min="9" max="9" width="7.7109375" style="223" hidden="1" customWidth="1"/>
    <col min="10" max="10" width="11.42578125" style="223" hidden="1" customWidth="1"/>
    <col min="11" max="11" width="7.7109375" style="1" hidden="1" customWidth="1"/>
    <col min="12" max="12" width="11.7109375" style="1" hidden="1" customWidth="1"/>
    <col min="13" max="13" width="7.7109375" style="1" hidden="1" customWidth="1"/>
    <col min="14" max="14" width="12" style="1" hidden="1" customWidth="1"/>
    <col min="15" max="15" width="8.7109375" style="1" customWidth="1"/>
    <col min="16" max="16" width="12" style="1" customWidth="1"/>
    <col min="17" max="17" width="8.7109375" style="1" customWidth="1"/>
    <col min="18" max="18" width="11.85546875" style="1" customWidth="1"/>
    <col min="19" max="19" width="8.7109375" style="1" customWidth="1"/>
    <col min="20" max="20" width="11.85546875" style="1" customWidth="1"/>
    <col min="21" max="21" width="8.7109375" style="1" customWidth="1"/>
    <col min="22" max="22" width="11.85546875" style="1" customWidth="1"/>
    <col min="23" max="23" width="8.7109375" style="1" customWidth="1"/>
    <col min="24" max="24" width="11.85546875" style="1" customWidth="1"/>
    <col min="25" max="25" width="8.7109375" style="1" customWidth="1"/>
    <col min="26" max="26" width="11.85546875" style="1" customWidth="1"/>
    <col min="27" max="27" width="3.28515625" style="1" customWidth="1"/>
    <col min="28" max="28" width="7.7109375" style="1" hidden="1" customWidth="1"/>
    <col min="29" max="29" width="11.5703125" style="1" hidden="1" customWidth="1"/>
    <col min="30" max="30" width="1.85546875" style="1" customWidth="1"/>
    <col min="31" max="16384" width="10.28515625" style="1"/>
  </cols>
  <sheetData>
    <row r="1" spans="1:33" ht="18" x14ac:dyDescent="0.25">
      <c r="A1" s="1100" t="s">
        <v>248</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row>
    <row r="2" spans="1:33" ht="15.75" x14ac:dyDescent="0.25">
      <c r="A2" s="1196"/>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row>
    <row r="3" spans="1:33" x14ac:dyDescent="0.2">
      <c r="A3" s="3" t="s">
        <v>55</v>
      </c>
      <c r="C3" s="1"/>
      <c r="D3" s="1"/>
      <c r="E3" s="1"/>
      <c r="F3" s="1"/>
      <c r="G3" s="222"/>
      <c r="H3" s="222"/>
      <c r="I3" s="222"/>
      <c r="J3" s="222"/>
      <c r="T3" s="506"/>
      <c r="V3" s="506"/>
      <c r="X3" s="506"/>
      <c r="Z3" s="506"/>
    </row>
    <row r="4" spans="1:33" ht="5.25" customHeight="1" thickBot="1" x14ac:dyDescent="0.25">
      <c r="A4" s="2"/>
      <c r="C4" s="1"/>
      <c r="D4" s="1"/>
      <c r="E4" s="1"/>
      <c r="F4" s="1"/>
      <c r="G4" s="222"/>
      <c r="H4" s="222"/>
      <c r="I4" s="222"/>
      <c r="J4" s="222"/>
      <c r="AB4" s="71"/>
      <c r="AC4" s="71"/>
    </row>
    <row r="5" spans="1:33" ht="13.5" customHeight="1" thickTop="1" x14ac:dyDescent="0.2">
      <c r="B5" s="38"/>
      <c r="C5" s="8" t="s">
        <v>33</v>
      </c>
      <c r="D5" s="29"/>
      <c r="E5" s="8" t="s">
        <v>34</v>
      </c>
      <c r="F5" s="5"/>
      <c r="G5" s="256" t="s">
        <v>106</v>
      </c>
      <c r="H5" s="418"/>
      <c r="I5" s="1512" t="s">
        <v>118</v>
      </c>
      <c r="J5" s="1509"/>
      <c r="K5" s="1512" t="s">
        <v>121</v>
      </c>
      <c r="L5" s="1509"/>
      <c r="M5" s="1512" t="s">
        <v>127</v>
      </c>
      <c r="N5" s="1513"/>
      <c r="O5" s="1509" t="s">
        <v>174</v>
      </c>
      <c r="P5" s="1513"/>
      <c r="Q5" s="1509" t="s">
        <v>193</v>
      </c>
      <c r="R5" s="1513"/>
      <c r="S5" s="1509" t="s">
        <v>218</v>
      </c>
      <c r="T5" s="1513"/>
      <c r="U5" s="1509" t="s">
        <v>221</v>
      </c>
      <c r="V5" s="1513"/>
      <c r="W5" s="1509" t="s">
        <v>232</v>
      </c>
      <c r="X5" s="1513"/>
      <c r="Y5" s="1509" t="s">
        <v>241</v>
      </c>
      <c r="Z5" s="1510"/>
      <c r="AB5" s="1517" t="s">
        <v>134</v>
      </c>
      <c r="AC5" s="1528"/>
    </row>
    <row r="6" spans="1:33" ht="12.6" customHeight="1" x14ac:dyDescent="0.2">
      <c r="B6" s="39"/>
      <c r="C6" s="9" t="s">
        <v>1</v>
      </c>
      <c r="D6" s="31" t="s">
        <v>2</v>
      </c>
      <c r="E6" s="9" t="s">
        <v>1</v>
      </c>
      <c r="F6" s="6" t="s">
        <v>2</v>
      </c>
      <c r="G6" s="257" t="s">
        <v>1</v>
      </c>
      <c r="H6" s="415" t="s">
        <v>2</v>
      </c>
      <c r="I6" s="402" t="s">
        <v>1</v>
      </c>
      <c r="J6" s="470" t="s">
        <v>2</v>
      </c>
      <c r="K6" s="257" t="s">
        <v>1</v>
      </c>
      <c r="L6" s="470" t="s">
        <v>2</v>
      </c>
      <c r="M6" s="257" t="s">
        <v>1</v>
      </c>
      <c r="N6" s="415" t="s">
        <v>2</v>
      </c>
      <c r="O6" s="402" t="s">
        <v>1</v>
      </c>
      <c r="P6" s="415" t="s">
        <v>2</v>
      </c>
      <c r="Q6" s="402" t="s">
        <v>1</v>
      </c>
      <c r="R6" s="415" t="s">
        <v>2</v>
      </c>
      <c r="S6" s="402" t="s">
        <v>1</v>
      </c>
      <c r="T6" s="415" t="s">
        <v>2</v>
      </c>
      <c r="U6" s="402" t="s">
        <v>1</v>
      </c>
      <c r="V6" s="415" t="s">
        <v>2</v>
      </c>
      <c r="W6" s="402" t="s">
        <v>1</v>
      </c>
      <c r="X6" s="415" t="s">
        <v>2</v>
      </c>
      <c r="Y6" s="402" t="s">
        <v>1</v>
      </c>
      <c r="Z6" s="224" t="s">
        <v>2</v>
      </c>
      <c r="AB6" s="755" t="s">
        <v>1</v>
      </c>
      <c r="AC6" s="756" t="s">
        <v>2</v>
      </c>
    </row>
    <row r="7" spans="1:33" thickBot="1" x14ac:dyDescent="0.25">
      <c r="B7" s="40"/>
      <c r="C7" s="22" t="s">
        <v>3</v>
      </c>
      <c r="D7" s="32" t="s">
        <v>4</v>
      </c>
      <c r="E7" s="22" t="s">
        <v>3</v>
      </c>
      <c r="F7" s="23" t="s">
        <v>4</v>
      </c>
      <c r="G7" s="258" t="s">
        <v>3</v>
      </c>
      <c r="H7" s="416" t="s">
        <v>4</v>
      </c>
      <c r="I7" s="403" t="s">
        <v>3</v>
      </c>
      <c r="J7" s="480" t="s">
        <v>4</v>
      </c>
      <c r="K7" s="258" t="s">
        <v>3</v>
      </c>
      <c r="L7" s="480" t="s">
        <v>4</v>
      </c>
      <c r="M7" s="258" t="s">
        <v>3</v>
      </c>
      <c r="N7" s="416" t="s">
        <v>4</v>
      </c>
      <c r="O7" s="403" t="s">
        <v>3</v>
      </c>
      <c r="P7" s="416" t="s">
        <v>4</v>
      </c>
      <c r="Q7" s="403" t="s">
        <v>3</v>
      </c>
      <c r="R7" s="416" t="s">
        <v>4</v>
      </c>
      <c r="S7" s="403" t="s">
        <v>3</v>
      </c>
      <c r="T7" s="416" t="s">
        <v>4</v>
      </c>
      <c r="U7" s="403" t="s">
        <v>3</v>
      </c>
      <c r="V7" s="416" t="s">
        <v>4</v>
      </c>
      <c r="W7" s="403" t="s">
        <v>3</v>
      </c>
      <c r="X7" s="416" t="s">
        <v>4</v>
      </c>
      <c r="Y7" s="403" t="s">
        <v>3</v>
      </c>
      <c r="Z7" s="245" t="s">
        <v>4</v>
      </c>
      <c r="AB7" s="757" t="s">
        <v>3</v>
      </c>
      <c r="AC7" s="758" t="s">
        <v>4</v>
      </c>
    </row>
    <row r="8" spans="1:33" ht="12" x14ac:dyDescent="0.2">
      <c r="B8" s="41" t="s">
        <v>5</v>
      </c>
      <c r="C8" s="20"/>
      <c r="D8" s="33"/>
      <c r="E8" s="20"/>
      <c r="F8" s="18"/>
      <c r="G8" s="259"/>
      <c r="H8" s="339"/>
      <c r="I8" s="338"/>
      <c r="J8" s="340"/>
      <c r="K8" s="259"/>
      <c r="L8" s="340"/>
      <c r="M8" s="259"/>
      <c r="N8" s="339"/>
      <c r="O8" s="338"/>
      <c r="P8" s="339"/>
      <c r="Q8" s="338"/>
      <c r="R8" s="339"/>
      <c r="S8" s="338"/>
      <c r="T8" s="339"/>
      <c r="U8" s="338"/>
      <c r="V8" s="339"/>
      <c r="W8" s="338"/>
      <c r="X8" s="339"/>
      <c r="Y8" s="338"/>
      <c r="Z8" s="130"/>
      <c r="AB8" s="299"/>
      <c r="AC8" s="652"/>
    </row>
    <row r="9" spans="1:33" ht="12" x14ac:dyDescent="0.2">
      <c r="B9" s="98"/>
      <c r="C9" s="10"/>
      <c r="D9" s="100"/>
      <c r="E9" s="10"/>
      <c r="F9" s="4"/>
      <c r="G9" s="129"/>
      <c r="H9" s="337"/>
      <c r="I9" s="336"/>
      <c r="J9" s="106"/>
      <c r="K9" s="129"/>
      <c r="L9" s="106"/>
      <c r="M9" s="129"/>
      <c r="N9" s="337"/>
      <c r="O9" s="336"/>
      <c r="P9" s="337"/>
      <c r="Q9" s="336"/>
      <c r="R9" s="337"/>
      <c r="S9" s="336"/>
      <c r="T9" s="337"/>
      <c r="U9" s="336"/>
      <c r="V9" s="337"/>
      <c r="W9" s="336"/>
      <c r="X9" s="337"/>
      <c r="Y9" s="336"/>
      <c r="Z9" s="227"/>
      <c r="AB9" s="299"/>
      <c r="AC9" s="652"/>
    </row>
    <row r="10" spans="1:33" ht="12.75" customHeight="1" x14ac:dyDescent="0.2">
      <c r="B10" s="507" t="s">
        <v>236</v>
      </c>
      <c r="C10" s="117">
        <f>Dean_Ag!C12+Dean_Ag!C24+Dean_Ag!C36+Ag_Econ!C12+Ag_Econ!C17+Agronomy!C12+Animal_Sci!C11+Animal_Sci!C22+CommAgEd!C14+Grain_Sci!C14+Grain_Sci!C17+Grain_Sci!C20+Horticulture!C11+Horticulture!C17+Horticulture!C20+Horticulture!C22</f>
        <v>1851</v>
      </c>
      <c r="D10" s="504">
        <f>Dean_Ag!D12+Dean_Ag!D24+Ag_Econ!D12+Ag_Econ!D17+Agronomy!D12+Animal_Sci!D11+Animal_Sci!D22+CommAgEd!D14+Grain_Sci!D14+Grain_Sci!D17+Grain_Sci!D20+Horticulture!D11+Horticulture!D17+Horticulture!D20+Horticulture!D22</f>
        <v>439</v>
      </c>
      <c r="E10" s="497">
        <f>Dean_Ag!E12+Dean_Ag!E24+Dean_Ag!E36+Ag_Econ!E12+Ag_Econ!E17+Agronomy!E12+Animal_Sci!E11+Animal_Sci!E22+CommAgEd!E14+Grain_Sci!E14+Grain_Sci!E17+Grain_Sci!E20+Horticulture!E11+Horticulture!E17+Horticulture!E20+Horticulture!E22+CommAgEd!E12</f>
        <v>1931</v>
      </c>
      <c r="F10" s="334">
        <f>Dean_Ag!F12+Dean_Ag!F24+Ag_Econ!F12+Ag_Econ!F17+Agronomy!F12+Animal_Sci!F11+Animal_Sci!F22+CommAgEd!F14+Grain_Sci!F14+Grain_Sci!F17+Grain_Sci!F20+Horticulture!F11+Horticulture!F17+Horticulture!F20+Horticulture!F22+CommAgEd!F12</f>
        <v>393</v>
      </c>
      <c r="G10" s="1081">
        <f>Dean_Ag!G12+Dean_Ag!G24+Dean_Ag!G36+Ag_Econ!G12+Ag_Econ!G17+Agronomy!G12+Animal_Sci!G11+Animal_Sci!G22+CommAgEd!G14+Grain_Sci!G14+Grain_Sci!G17+Grain_Sci!G20+Horticulture!G11+Horticulture!G17+Horticulture!G20+Horticulture!G22+CommAgEd!G12</f>
        <v>1968</v>
      </c>
      <c r="H10" s="1082">
        <f>Dean_Ag!H12+Dean_Ag!H24+Ag_Econ!H12+Ag_Econ!H17+Agronomy!H12+Animal_Sci!H11+Animal_Sci!H22+CommAgEd!H14+Grain_Sci!H14+Grain_Sci!H17+Grain_Sci!H20+Horticulture!H11+Horticulture!H17+Horticulture!H20+Horticulture!H22+CommAgEd!H12</f>
        <v>385</v>
      </c>
      <c r="I10" s="1081">
        <f>Dean_Ag!I12+Dean_Ag!I24+Dean_Ag!I36+Ag_Econ!I12+Ag_Econ!I17+Agronomy!I12+Animal_Sci!I11+Animal_Sci!I22+CommAgEd!I14+Grain_Sci!I14+Grain_Sci!I17+Grain_Sci!I20+Horticulture!I11+Horticulture!I17+Horticulture!I20+Horticulture!I22+CommAgEd!I12</f>
        <v>2021</v>
      </c>
      <c r="J10" s="1082">
        <f>Dean_Ag!J12+Dean_Ag!J24+Ag_Econ!J12+Ag_Econ!J17+Agronomy!J12+Animal_Sci!J11+Animal_Sci!J22+CommAgEd!J14+Grain_Sci!J14+Grain_Sci!J17+Grain_Sci!J20+Horticulture!J11+Horticulture!J17+Horticulture!J20+Horticulture!J22+CommAgEd!J12</f>
        <v>475</v>
      </c>
      <c r="K10" s="497">
        <f>Dean_Ag!K12+Dean_Ag!K24+Dean_Ag!K36+Ag_Econ!K12+Ag_Econ!K17+Agronomy!K12+Animal_Sci!K11+Animal_Sci!K22+CommAgEd!K14+Grain_Sci!K14+Grain_Sci!K17+Grain_Sci!K20+Horticulture!K11+Horticulture!K17+Horticulture!K20+Horticulture!K22+CommAgEd!K12</f>
        <v>1956</v>
      </c>
      <c r="L10" s="334">
        <f>Dean_Ag!L12+Dean_Ag!L24+Ag_Econ!L12+Ag_Econ!L17+Agronomy!L12+Animal_Sci!L11+Animal_Sci!L22+CommAgEd!L14+Grain_Sci!L14+Grain_Sci!L17+Grain_Sci!L20+Horticulture!L11+Horticulture!L17+Horticulture!L20+Horticulture!L22+CommAgEd!L12</f>
        <v>432</v>
      </c>
      <c r="M10" s="497">
        <f>Dean_Ag!M12+Dean_Ag!M24+Dean_Ag!M36+Ag_Econ!M12+Ag_Econ!M17+Agronomy!M12+Animal_Sci!M11+Animal_Sci!M22+CommAgEd!M14+Grain_Sci!M14+Grain_Sci!M17+Grain_Sci!M20+Horticulture!M11+Horticulture!M17+Horticulture!M20+Horticulture!M22+CommAgEd!M12</f>
        <v>2030</v>
      </c>
      <c r="N10" s="448">
        <f>Dean_Ag!N12+Dean_Ag!N24+Ag_Econ!N12+Ag_Econ!N17+Agronomy!N12+Animal_Sci!N11+Animal_Sci!N22+CommAgEd!N14+Grain_Sci!N14+Grain_Sci!N17+Grain_Sci!N20+Horticulture!N11+Horticulture!N17+Horticulture!N20+Horticulture!N22+CommAgEd!N12</f>
        <v>417</v>
      </c>
      <c r="O10" s="334">
        <f>Dean_Ag!O12+Dean_Ag!O24+Dean_Ag!O36+Ag_Econ!O12+Ag_Econ!O17+Agronomy!O12+Animal_Sci!O11+Animal_Sci!O22+CommAgEd!O14+Grain_Sci!O14+Grain_Sci!O17+Grain_Sci!O20+Horticulture!O11+Horticulture!O17+Horticulture!O20+Horticulture!O22+CommAgEd!O12</f>
        <v>2105</v>
      </c>
      <c r="P10" s="448">
        <f>Dean_Ag!P12+Dean_Ag!P24+Ag_Econ!P12+Ag_Econ!P17+Agronomy!P12+Animal_Sci!P11+Animal_Sci!P22+CommAgEd!P14+Grain_Sci!P14+Grain_Sci!P17+Grain_Sci!P20+Horticulture!P11+Horticulture!P17+Horticulture!P20+Horticulture!P22+CommAgEd!P12</f>
        <v>426</v>
      </c>
      <c r="Q10" s="334">
        <f>Dean_Ag!Q12+Dean_Ag!Q24+Dean_Ag!Q36+Ag_Econ!Q12+Ag_Econ!Q17+Agronomy!Q12+Animal_Sci!Q11+Animal_Sci!Q22+CommAgEd!Q14+Grain_Sci!Q14+Grain_Sci!Q17+Grain_Sci!Q20+Horticulture!Q11+Horticulture!Q17+Horticulture!Q20+Horticulture!Q22+CommAgEd!Q12</f>
        <v>2316</v>
      </c>
      <c r="R10" s="448">
        <f>Dean_Ag!R12+Dean_Ag!R24+Ag_Econ!R12+Ag_Econ!R17+Agronomy!R12+Animal_Sci!R11+Animal_Sci!R22+CommAgEd!R14+Grain_Sci!R14+Grain_Sci!R17+Grain_Sci!R20+Horticulture!R11+Horticulture!R17+Horticulture!R20+Horticulture!R22+CommAgEd!R12</f>
        <v>477</v>
      </c>
      <c r="S10" s="334">
        <f>Dean_Ag!S12+Dean_Ag!S24+Dean_Ag!S36+Ag_Econ!S12+Ag_Econ!S17+Agronomy!S12+Animal_Sci!S11+Animal_Sci!S22+CommAgEd!S14+Grain_Sci!S14+Grain_Sci!S17+Grain_Sci!S20+Horticulture!S11+Horticulture!S17+Horticulture!S20+Horticulture!S22+CommAgEd!S12</f>
        <v>2443</v>
      </c>
      <c r="T10" s="448">
        <f>Dean_Ag!T12+Dean_Ag!T24+Ag_Econ!T12+Ag_Econ!T17+Agronomy!T12+Animal_Sci!T11+Animal_Sci!T22+CommAgEd!T14+Grain_Sci!T14+Grain_Sci!T17+Grain_Sci!T20+Horticulture!T11+Horticulture!T17+Horticulture!T20+Horticulture!T22+CommAgEd!T12</f>
        <v>456</v>
      </c>
      <c r="U10" s="334">
        <f>Dean_Ag!U12+Dean_Ag!U24+Dean_Ag!U36+Ag_Econ!U12+Ag_Econ!U17+Agronomy!U12+Animal_Sci!U11+Animal_Sci!U22+CommAgEd!U14+Grain_Sci!U14+Grain_Sci!U17+Grain_Sci!U20+Horticulture!U11+Horticulture!U17+Horticulture!U20+Horticulture!U22+CommAgEd!U12</f>
        <v>2614</v>
      </c>
      <c r="V10" s="448">
        <f>Dean_Ag!V12+Dean_Ag!V24+Ag_Econ!V12+Ag_Econ!V17+Agronomy!V12+Animal_Sci!V11+Animal_Sci!V22+CommAgEd!V14+Grain_Sci!V14+Grain_Sci!V17+Grain_Sci!V20+Horticulture!V11+Horticulture!V17+Horticulture!V20+Horticulture!V22+CommAgEd!V12</f>
        <v>494</v>
      </c>
      <c r="W10" s="334">
        <f>Dean_Ag!W12+Dean_Ag!W24+Dean_Ag!W36+Ag_Econ!W12+Ag_Econ!W17+Agronomy!W12+Animal_Sci!W11+Animal_Sci!W22+CommAgEd!W14+Grain_Sci!W14+Grain_Sci!W17+Grain_Sci!W20+Horticulture!W11+Horticulture!W17+Horticulture!W20+Horticulture!W22+CommAgEd!W12</f>
        <v>2780</v>
      </c>
      <c r="X10" s="1082">
        <f>Dean_Ag!X12+Dean_Ag!X24+Ag_Econ!X12+Ag_Econ!X17+Agronomy!X12+Animal_Sci!X11+Animal_Sci!X22+CommAgEd!X14+Grain_Sci!X14+Grain_Sci!X17+Grain_Sci!X20+Horticulture!X11+Horticulture!X17+Horticulture!X20+Horticulture!X22+CommAgEd!X12</f>
        <v>533</v>
      </c>
      <c r="Y10" s="334">
        <f>Dean_Ag!Y12+Dean_Ag!Y24+Dean_Ag!Y36+Ag_Econ!Y12+Ag_Econ!Y17+Agronomy!Y12+Animal_Sci!Y11+Animal_Sci!Y22+CommAgEd!Y14+Grain_Sci!Y14+Grain_Sci!Y17+Grain_Sci!Y20+Horticulture!Y11+Horticulture!Y17+Horticulture!Y20+Horticulture!Y22+CommAgEd!Y12</f>
        <v>2865</v>
      </c>
      <c r="Z10" s="1428"/>
      <c r="AB10" s="742">
        <f>AVERAGE(W10,U10,S10,Q10,Y10)</f>
        <v>2603.6</v>
      </c>
      <c r="AC10" s="759">
        <f>AVERAGE(X10,V10,T10,R10,Z10)</f>
        <v>490</v>
      </c>
    </row>
    <row r="11" spans="1:33" ht="13.5" customHeight="1" x14ac:dyDescent="0.2">
      <c r="B11" s="42" t="s">
        <v>79</v>
      </c>
      <c r="C11" s="117">
        <f>Dean_Ag!C21</f>
        <v>69</v>
      </c>
      <c r="D11" s="255" t="s">
        <v>107</v>
      </c>
      <c r="E11" s="497">
        <f>Dean_Ag!E21</f>
        <v>71</v>
      </c>
      <c r="F11" s="255" t="s">
        <v>107</v>
      </c>
      <c r="G11" s="369">
        <f>Dean_Ag!G21</f>
        <v>78</v>
      </c>
      <c r="H11" s="254" t="s">
        <v>107</v>
      </c>
      <c r="I11" s="406">
        <f>Dean_Ag!I21</f>
        <v>78</v>
      </c>
      <c r="J11" s="540" t="s">
        <v>107</v>
      </c>
      <c r="K11" s="406">
        <f>Dean_Ag!K21</f>
        <v>71</v>
      </c>
      <c r="L11" s="505" t="s">
        <v>107</v>
      </c>
      <c r="M11" s="497">
        <f>Dean_Ag!M21</f>
        <v>65</v>
      </c>
      <c r="N11" s="540" t="s">
        <v>107</v>
      </c>
      <c r="O11" s="334">
        <f>Dean_Ag!O21</f>
        <v>76</v>
      </c>
      <c r="P11" s="540" t="s">
        <v>107</v>
      </c>
      <c r="Q11" s="334">
        <f>Dean_Ag!Q21</f>
        <v>83</v>
      </c>
      <c r="R11" s="540" t="s">
        <v>107</v>
      </c>
      <c r="S11" s="334">
        <f>Dean_Ag!S21</f>
        <v>68</v>
      </c>
      <c r="T11" s="540" t="s">
        <v>107</v>
      </c>
      <c r="U11" s="334">
        <f>Dean_Ag!U21</f>
        <v>72</v>
      </c>
      <c r="V11" s="540" t="s">
        <v>107</v>
      </c>
      <c r="W11" s="334">
        <f>Dean_Ag!W21</f>
        <v>58</v>
      </c>
      <c r="X11" s="540" t="s">
        <v>107</v>
      </c>
      <c r="Y11" s="334">
        <f>Dean_Ag!Y21</f>
        <v>62</v>
      </c>
      <c r="Z11" s="1429"/>
      <c r="AB11" s="742">
        <f t="shared" ref="AB11:AB16" si="0">AVERAGE(W11,U11,S11,Q11,Y11)</f>
        <v>68.599999999999994</v>
      </c>
      <c r="AC11" s="1203"/>
    </row>
    <row r="12" spans="1:33" ht="13.5" customHeight="1" x14ac:dyDescent="0.2">
      <c r="B12" s="42" t="s">
        <v>171</v>
      </c>
      <c r="C12" s="497">
        <f>Dean_Ag!C27+Dean_Ag!C29+Ag_Econ!C13+Ag_Econ!C18+Agronomy!C13+Animal_Sci!C12+Entomology!C12+Horticulture!C12+Plant_Path!C12+Dean_Ag!C29</f>
        <v>118</v>
      </c>
      <c r="D12" s="99">
        <f>Dean_Ag!D25+Dean_Ag!D27+Dean_Ag!D29+Ag_Econ!D13+Ag_Econ!D18+Agronomy!D13+Animal_Sci!D12+Entomology!D12+Grain_Sci!D15+Grain_Sci!D18+Grain_Sci!D22+Horticulture!D12+Plant_Path!D12</f>
        <v>49</v>
      </c>
      <c r="E12" s="497">
        <f>Dean_Ag!E25+Dean_Ag!E27+Dean_Ag!E29+Ag_Econ!E13+Ag_Econ!E18+Agronomy!E13+Animal_Sci!E12+Animal_Sci!E23+Entomology!E12+Grain_Sci!E15+Grain_Sci!E18+Grain_Sci!E22+Horticulture!E12+Plant_Path!E12</f>
        <v>120</v>
      </c>
      <c r="F12" s="334">
        <f>Dean_Ag!F25+Dean_Ag!F27+Dean_Ag!F29+Ag_Econ!F13+Ag_Econ!F18+Agronomy!F13+Animal_Sci!F12+Animal_Sci!F23+Entomology!F12+Grain_Sci!F15+Grain_Sci!F18+Grain_Sci!F22+Horticulture!F12+Plant_Path!F12</f>
        <v>35</v>
      </c>
      <c r="G12" s="1081">
        <f>Dean_Ag!G25+Dean_Ag!G27+Dean_Ag!G29+Ag_Econ!G13+Ag_Econ!G18+Agronomy!G13+Animal_Sci!G12+Animal_Sci!G23+Entomology!G12+Grain_Sci!G15+Grain_Sci!G18+Grain_Sci!G22+Horticulture!G12+Plant_Path!G12</f>
        <v>117</v>
      </c>
      <c r="H12" s="1082">
        <f>Dean_Ag!H25+Dean_Ag!H27+Dean_Ag!H29+Ag_Econ!H13+Ag_Econ!H18+Agronomy!H13+Animal_Sci!H12+Animal_Sci!H23+Entomology!H12+Grain_Sci!H15+Grain_Sci!H18+Grain_Sci!H22+Horticulture!H12+Plant_Path!H12</f>
        <v>31</v>
      </c>
      <c r="I12" s="497">
        <f>Dean_Ag!I25+Dean_Ag!I27+Dean_Ag!I29+Ag_Econ!I13+Ag_Econ!I18+Agronomy!I13+Animal_Sci!I12+Animal_Sci!I23+Entomology!I12+Grain_Sci!I15+Grain_Sci!I18+Grain_Sci!I22+Horticulture!I12+Plant_Path!I12</f>
        <v>112</v>
      </c>
      <c r="J12" s="334">
        <f>Dean_Ag!J25+Dean_Ag!J27+Dean_Ag!J29+Ag_Econ!J13+Ag_Econ!J18+Agronomy!J13+Animal_Sci!J12+Animal_Sci!J23+Entomology!J12+Grain_Sci!J15+Grain_Sci!J18+Grain_Sci!J22+Horticulture!J12+Plant_Path!J12</f>
        <v>36</v>
      </c>
      <c r="K12" s="1081">
        <f>Dean_Ag!K25+Dean_Ag!K27+Dean_Ag!K29+Ag_Econ!K13+Ag_Econ!K18+Agronomy!K13+Animal_Sci!K12+Animal_Sci!K23+Entomology!K12+Grain_Sci!K15+Grain_Sci!K18+Grain_Sci!K22+Horticulture!K12+Plant_Path!K12</f>
        <v>114</v>
      </c>
      <c r="L12" s="1082">
        <f>Dean_Ag!L25+Dean_Ag!L27+Dean_Ag!L29+Ag_Econ!L13+Ag_Econ!L18+Agronomy!L13+Animal_Sci!L12+Animal_Sci!L23+Entomology!L12+Grain_Sci!L15+Grain_Sci!L18+Grain_Sci!L22+Horticulture!L12+Plant_Path!L12</f>
        <v>21</v>
      </c>
      <c r="M12" s="497">
        <f>Dean_Ag!M25+Dean_Ag!M27+Dean_Ag!M29+Ag_Econ!M13+Ag_Econ!M18+Agronomy!M13+Animal_Sci!M12+Animal_Sci!M23+Entomology!M12+Grain_Sci!M15+Grain_Sci!M18+Grain_Sci!M22+Horticulture!M12+Plant_Path!M12</f>
        <v>85</v>
      </c>
      <c r="N12" s="334">
        <f>Dean_Ag!N25+Dean_Ag!N27+Dean_Ag!N29+Ag_Econ!N13+Ag_Econ!N18+Agronomy!N13+Animal_Sci!N12+Animal_Sci!N23+Entomology!N12+Grain_Sci!N15+Grain_Sci!N18+Grain_Sci!N22+Horticulture!N12+Plant_Path!N12</f>
        <v>51</v>
      </c>
      <c r="O12" s="497">
        <f>Dean_Ag!O25+Dean_Ag!O27+Dean_Ag!O29+Ag_Econ!O13+Ag_Econ!O18+Agronomy!O13+Animal_Sci!O12+Animal_Sci!O23+Entomology!O12+Grain_Sci!O15+Grain_Sci!O18+Grain_Sci!O22+Horticulture!O12+Plant_Path!O12+Dean_Ag!O34</f>
        <v>101</v>
      </c>
      <c r="P12" s="1082">
        <f>Dean_Ag!P25+Dean_Ag!P27+Dean_Ag!P29+Ag_Econ!P13+Ag_Econ!P18+Agronomy!P13+Animal_Sci!P12+Animal_Sci!P23+Entomology!P12+Grain_Sci!P15+Grain_Sci!P18+Grain_Sci!P22+Horticulture!P12+Plant_Path!P12</f>
        <v>45</v>
      </c>
      <c r="Q12" s="334">
        <f>Dean_Ag!Q25+Dean_Ag!Q27+Dean_Ag!Q29+Ag_Econ!Q13+Ag_Econ!Q18+Agronomy!Q13+Animal_Sci!Q12+Animal_Sci!Q23+Entomology!Q12+Grain_Sci!Q15+Grain_Sci!Q18+Grain_Sci!Q22+Horticulture!Q12+Plant_Path!Q12+Dean_Ag!Q34</f>
        <v>116</v>
      </c>
      <c r="R12" s="1082">
        <f>Dean_Ag!R25+Dean_Ag!R27+Dean_Ag!R29+Ag_Econ!R13+Ag_Econ!R18+Agronomy!R13+Animal_Sci!R12+Animal_Sci!R23+Entomology!R12+Grain_Sci!R15+Grain_Sci!R18+Grain_Sci!R22+Horticulture!R12+Plant_Path!R12</f>
        <v>61</v>
      </c>
      <c r="S12" s="334">
        <f>Dean_Ag!S25+Dean_Ag!S27+Dean_Ag!S29+Ag_Econ!S13+Ag_Econ!S18+Agronomy!S13+Animal_Sci!S12+Animal_Sci!S23+Entomology!S12+Grain_Sci!S15+Grain_Sci!S18+Grain_Sci!S22+Horticulture!S12+Plant_Path!S12+Dean_Ag!S34</f>
        <v>133</v>
      </c>
      <c r="T12" s="1082">
        <f>Dean_Ag!T25+Dean_Ag!T27+Dean_Ag!T29+Ag_Econ!T13+Ag_Econ!T18+Agronomy!T13+Animal_Sci!T12+Animal_Sci!T23+Entomology!T12+Grain_Sci!T15+Grain_Sci!T18+Grain_Sci!T22+Horticulture!T12+Plant_Path!T12</f>
        <v>65</v>
      </c>
      <c r="U12" s="334">
        <f>Dean_Ag!U25+Dean_Ag!U27+Dean_Ag!U29+Ag_Econ!U13+Ag_Econ!U18+Agronomy!U13+Animal_Sci!U12+Animal_Sci!U23+Entomology!U12+Grain_Sci!U15+Grain_Sci!U18+Grain_Sci!U22+Horticulture!U12+Plant_Path!U12+Dean_Ag!U34</f>
        <v>144</v>
      </c>
      <c r="V12" s="1082">
        <f>Dean_Ag!V25+Dean_Ag!V27+Dean_Ag!V29+Dean_Ag!V34+Ag_Econ!V13+Ag_Econ!V18+Agronomy!V13+Animal_Sci!V12+Animal_Sci!V23+Entomology!V12+Grain_Sci!V15+Grain_Sci!V18+Grain_Sci!V22+Horticulture!V12+Plant_Path!V12</f>
        <v>79</v>
      </c>
      <c r="W12" s="334">
        <f>Dean_Ag!W25+Dean_Ag!W27+Dean_Ag!W29+Ag_Econ!W13+Ag_Econ!W18+Agronomy!W13+Animal_Sci!W12+Animal_Sci!W23+Entomology!W12+Grain_Sci!W15+Grain_Sci!W18+Grain_Sci!W22+Horticulture!W12+Plant_Path!W12+Dean_Ag!W34+Animal_Sci!W13</f>
        <v>171</v>
      </c>
      <c r="X12" s="1082">
        <f>Dean_Ag!X25+Dean_Ag!X27+Dean_Ag!X29+Dean_Ag!X34+Ag_Econ!X13+Ag_Econ!X18+Agronomy!X13+Animal_Sci!X12+Animal_Sci!X23+Entomology!X12+Grain_Sci!X15+Grain_Sci!X18+Grain_Sci!X22+Horticulture!X12+Plant_Path!X12+Animal_Sci!X13</f>
        <v>78</v>
      </c>
      <c r="Y12" s="334">
        <f>Dean_Ag!Y25+Dean_Ag!Y27+Dean_Ag!Y29+Ag_Econ!Y13+Ag_Econ!Y18+Agronomy!Y13+Animal_Sci!Y12+Animal_Sci!Y23+Entomology!Y12+Grain_Sci!Y15+Grain_Sci!Y18+Grain_Sci!Y22+Horticulture!Y12+Plant_Path!Y12+Dean_Ag!Y34+Animal_Sci!Y13+Grain_Sci!Y21</f>
        <v>232</v>
      </c>
      <c r="Z12" s="1428"/>
      <c r="AB12" s="742">
        <f t="shared" si="0"/>
        <v>159.19999999999999</v>
      </c>
      <c r="AC12" s="759">
        <f>AVERAGE(X12,V12,T12,R12,Z12)</f>
        <v>70.75</v>
      </c>
    </row>
    <row r="13" spans="1:33" ht="13.5" customHeight="1" x14ac:dyDescent="0.2">
      <c r="B13" s="594" t="s">
        <v>105</v>
      </c>
      <c r="C13" s="131"/>
      <c r="D13" s="883"/>
      <c r="E13" s="1084"/>
      <c r="F13" s="1085"/>
      <c r="G13" s="370">
        <f>Animal_Sci!G15</f>
        <v>0</v>
      </c>
      <c r="H13" s="366">
        <f>Animal_Sci!H15</f>
        <v>0</v>
      </c>
      <c r="I13" s="370">
        <f>Animal_Sci!I15</f>
        <v>0</v>
      </c>
      <c r="J13" s="366">
        <f>Animal_Sci!J15</f>
        <v>0</v>
      </c>
      <c r="K13" s="370">
        <f>Animal_Sci!K15</f>
        <v>0</v>
      </c>
      <c r="L13" s="366">
        <f>Animal_Sci!L15</f>
        <v>0</v>
      </c>
      <c r="M13" s="370">
        <f>Animal_Sci!M15</f>
        <v>0</v>
      </c>
      <c r="N13" s="333">
        <f>Animal_Sci!N15</f>
        <v>0</v>
      </c>
      <c r="O13" s="428">
        <f>Animal_Sci!O15</f>
        <v>0</v>
      </c>
      <c r="P13" s="333">
        <f>Animal_Sci!P15</f>
        <v>0</v>
      </c>
      <c r="Q13" s="428">
        <f>Animal_Sci!Q15+Animal_Sci!Q14+Animal_Sci!Q16+Animal_Sci!Q17</f>
        <v>74</v>
      </c>
      <c r="R13" s="333">
        <f>Animal_Sci!R15</f>
        <v>0</v>
      </c>
      <c r="S13" s="428">
        <f>Animal_Sci!S15+Animal_Sci!S14+Animal_Sci!S16+Animal_Sci!S17</f>
        <v>76</v>
      </c>
      <c r="T13" s="333">
        <f>Animal_Sci!T15</f>
        <v>0</v>
      </c>
      <c r="U13" s="428">
        <f>Animal_Sci!U15+Animal_Sci!U14+Animal_Sci!U16+Animal_Sci!U17</f>
        <v>80</v>
      </c>
      <c r="V13" s="333">
        <f>Animal_Sci!V15+Animal_Sci!V14+Animal_Sci!V16+Animal_Sci!V17+Animal_Sci!V18</f>
        <v>15</v>
      </c>
      <c r="W13" s="428">
        <f>Animal_Sci!W15+Animal_Sci!W14+Animal_Sci!W16+Animal_Sci!W17</f>
        <v>97</v>
      </c>
      <c r="X13" s="333">
        <f>Animal_Sci!X15+Animal_Sci!X14+Animal_Sci!X16+Animal_Sci!X17+Animal_Sci!X18</f>
        <v>13</v>
      </c>
      <c r="Y13" s="428">
        <f>Animal_Sci!Y15+Animal_Sci!Y14+Animal_Sci!Y16+Animal_Sci!Y17</f>
        <v>117</v>
      </c>
      <c r="Z13" s="1430"/>
      <c r="AA13" s="1423"/>
      <c r="AB13" s="742">
        <f t="shared" si="0"/>
        <v>88.8</v>
      </c>
      <c r="AC13" s="759">
        <f>AVERAGE(X13,V13,T13,R13,Z13)</f>
        <v>7</v>
      </c>
      <c r="AE13" s="1" t="s">
        <v>23</v>
      </c>
    </row>
    <row r="14" spans="1:33" ht="13.5" customHeight="1" x14ac:dyDescent="0.2">
      <c r="B14" s="42" t="s">
        <v>172</v>
      </c>
      <c r="C14" s="79">
        <f>Dean_Ag!C14+Dean_Ag!C18+Ag_Econ!C14+Ag_Econ!C19+Agronomy!C14+Animal_Sci!C19+Entomology!C13+Grain_Sci!C11+Horticulture!C13+Plant_Path!C13</f>
        <v>210</v>
      </c>
      <c r="D14" s="333">
        <f>Dean_Ag!D14+Dean_Ag!D18+Ag_Econ!D14+Ag_Econ!D19+Agronomy!D14+Animal_Sci!D19+Entomology!D13+Grain_Sci!D11+Horticulture!D13+Plant_Path!D13</f>
        <v>79</v>
      </c>
      <c r="E14" s="79">
        <f>Dean_Ag!E14+Dean_Ag!E18+Ag_Econ!E14+Ag_Econ!E19+Agronomy!E14+Animal_Sci!E19+Entomology!E13+Grain_Sci!E11+Horticulture!E13+Plant_Path!E13</f>
        <v>242</v>
      </c>
      <c r="F14" s="244">
        <f>Dean_Ag!F14+Dean_Ag!F18+Ag_Econ!F14+Ag_Econ!F19+Agronomy!F14+Animal_Sci!F19+Entomology!F13+Grain_Sci!F11+Horticulture!F13+Plant_Path!F13</f>
        <v>100</v>
      </c>
      <c r="G14" s="117">
        <f>Dean_Ag!G14+Dean_Ag!G18+Ag_Econ!G14+Ag_Econ!G19+Agronomy!G14+Animal_Sci!G19+Entomology!G13+Grain_Sci!G11+Horticulture!G13+Plant_Path!G13</f>
        <v>229</v>
      </c>
      <c r="H14" s="333">
        <f>Dean_Ag!H14+Dean_Ag!H18+Ag_Econ!H14+Ag_Econ!H19+Agronomy!H14+Animal_Sci!H19+Entomology!H13+Grain_Sci!H11+Horticulture!H13+Plant_Path!H13</f>
        <v>79</v>
      </c>
      <c r="I14" s="79">
        <f>Dean_Ag!I14+Dean_Ag!I18+Ag_Econ!I14+Ag_Econ!I19+Agronomy!I14+Animal_Sci!I19+Entomology!I13+Grain_Sci!I11+Horticulture!I13+Plant_Path!I13</f>
        <v>259</v>
      </c>
      <c r="J14" s="244">
        <f>Dean_Ag!J14+Dean_Ag!J18+Ag_Econ!J14+Ag_Econ!J19+Agronomy!J14+Animal_Sci!J19+Entomology!J13+Grain_Sci!J11+Horticulture!J13+Plant_Path!J13</f>
        <v>58</v>
      </c>
      <c r="K14" s="497">
        <f>Dean_Ag!K14+Dean_Ag!K18+Ag_Econ!K14+Ag_Econ!K19+Agronomy!K14+Animal_Sci!K19+Entomology!K13+Grain_Sci!K11+Horticulture!K13+Plant_Path!K13</f>
        <v>291</v>
      </c>
      <c r="L14" s="366">
        <f>Ag_Econ!L14+Ag_Econ!L19+Agronomy!L14+Animal_Sci!L19+Entomology!L13+Grain_Sci!L11+Horticulture!L13+Plant_Path!L13+Dean_Ag!L14+Dean_Ag!L18</f>
        <v>87</v>
      </c>
      <c r="M14" s="497">
        <f>Dean_Ag!M14+Dean_Ag!M18+Ag_Econ!M14+Ag_Econ!M19+Agronomy!M14+Animal_Sci!M19+Entomology!M13+Grain_Sci!M11+Horticulture!M13+Plant_Path!M13+Dean_Ag!M37</f>
        <v>351</v>
      </c>
      <c r="N14" s="333">
        <f>Dean_Ag!N14+Dean_Ag!N18+Ag_Econ!N14+Ag_Econ!N19+Agronomy!N14+Animal_Sci!N19+Entomology!N13+Grain_Sci!N11+Horticulture!N13+Plant_Path!N13</f>
        <v>91</v>
      </c>
      <c r="O14" s="334">
        <f>Dean_Ag!O14+Dean_Ag!O18+Ag_Econ!O14+Ag_Econ!O19+Agronomy!O14+Animal_Sci!O19+Entomology!O13+Grain_Sci!O11+Horticulture!O13+Plant_Path!O13+Dean_Ag!O37</f>
        <v>366</v>
      </c>
      <c r="P14" s="333">
        <f>Dean_Ag!P14+Dean_Ag!P18+Ag_Econ!P14+Ag_Econ!P19+Agronomy!P14+Animal_Sci!P19+Entomology!P13+Grain_Sci!P11+Horticulture!P13+Plant_Path!P13</f>
        <v>105</v>
      </c>
      <c r="Q14" s="334">
        <f>Dean_Ag!Q14+Dean_Ag!Q18+Ag_Econ!Q14+Ag_Econ!Q19+Agronomy!Q14+Animal_Sci!Q19+Entomology!Q13+Grain_Sci!Q11+Horticulture!Q13+Plant_Path!Q13+Dean_Ag!Q37</f>
        <v>326</v>
      </c>
      <c r="R14" s="333">
        <f>Dean_Ag!R14+Dean_Ag!R18+Ag_Econ!R14+Ag_Econ!R19+Agronomy!R14+Animal_Sci!R19+Entomology!R13+Grain_Sci!R11+Horticulture!R13+Plant_Path!R13</f>
        <v>103</v>
      </c>
      <c r="S14" s="334">
        <f>Dean_Ag!S14+Dean_Ag!S18+Ag_Econ!S14+Ag_Econ!S19+Agronomy!S14+Animal_Sci!S19+Entomology!S13+Grain_Sci!S11+Horticulture!S13+Plant_Path!S13+Dean_Ag!S37</f>
        <v>337</v>
      </c>
      <c r="T14" s="333">
        <f>Dean_Ag!T14+Dean_Ag!T18+Ag_Econ!T14+Ag_Econ!T19+Agronomy!T14+Animal_Sci!T19+Entomology!T13+Grain_Sci!T11+Horticulture!T13+Plant_Path!T13</f>
        <v>101</v>
      </c>
      <c r="U14" s="334">
        <f>Dean_Ag!U14+Dean_Ag!U18+Ag_Econ!U14+Ag_Econ!U19+Agronomy!U14+Animal_Sci!U19+Entomology!U13+Grain_Sci!U11+Horticulture!U13+Plant_Path!U13+Dean_Ag!U37+CommAgEd!U16</f>
        <v>348</v>
      </c>
      <c r="V14" s="333">
        <f>Dean_Ag!V14+Dean_Ag!V18+Ag_Econ!V14+Ag_Econ!V19+Agronomy!V14+Animal_Sci!V19+Entomology!V13+Grain_Sci!V11+Horticulture!V13+Plant_Path!V13</f>
        <v>96</v>
      </c>
      <c r="W14" s="334">
        <f>Dean_Ag!W14+Dean_Ag!W18+Ag_Econ!W14+Ag_Econ!W19+Agronomy!W14+Animal_Sci!W19+Entomology!W13+Grain_Sci!W11+Horticulture!W13+Plant_Path!W13+Dean_Ag!W37+CommAgEd!W16</f>
        <v>401</v>
      </c>
      <c r="X14" s="333">
        <f>Dean_Ag!X14+Dean_Ag!X18+Ag_Econ!X14+Ag_Econ!X19+Agronomy!X14+Animal_Sci!X19+Entomology!X13+Grain_Sci!X11+Horticulture!X13+Plant_Path!X13+CommAgEd!X16</f>
        <v>111</v>
      </c>
      <c r="Y14" s="334">
        <f>Dean_Ag!Y14+Dean_Ag!Y18+Ag_Econ!Y14+Ag_Econ!Y19+Agronomy!Y14+Animal_Sci!Y19+Entomology!Y13+Grain_Sci!Y11+Horticulture!Y13+Plant_Path!Y13+Dean_Ag!Y37+CommAgEd!Y16</f>
        <v>419</v>
      </c>
      <c r="Z14" s="1430"/>
      <c r="AB14" s="742">
        <f t="shared" si="0"/>
        <v>366.2</v>
      </c>
      <c r="AC14" s="759">
        <f>AVERAGE(X14,V14,T14,R14,Z14)</f>
        <v>102.75</v>
      </c>
    </row>
    <row r="15" spans="1:33" ht="13.5" customHeight="1" x14ac:dyDescent="0.2">
      <c r="B15" s="42" t="s">
        <v>76</v>
      </c>
      <c r="C15" s="79">
        <f>Dean_Ag!C15+Dean_Ag!C19+Ag_Econ!C15+Agronomy!C15+Animal_Sci!C20+Entomology!C14+Grain_Sci!C12+Horticulture!C14+Plant_Path!C14</f>
        <v>187</v>
      </c>
      <c r="D15" s="333">
        <f>Dean_Ag!D15+Ag_Econ!D15+Agronomy!D15+Animal_Sci!D20+Entomology!D14+Grain_Sci!D12+Horticulture!D14+Plant_Path!D14+Dean_Ag!D19</f>
        <v>39</v>
      </c>
      <c r="E15" s="79">
        <f>Dean_Ag!E15+Dean_Ag!E19+Ag_Econ!E15+Agronomy!E15+Animal_Sci!E20+Entomology!E14+Grain_Sci!E12+Horticulture!E14+Plant_Path!E14</f>
        <v>176</v>
      </c>
      <c r="F15" s="48">
        <f>Dean_Ag!F15+Ag_Econ!F15+Agronomy!F15+Animal_Sci!F20+Entomology!F14+Grain_Sci!F12+Horticulture!F14+Plant_Path!F14+Dean_Ag!F19</f>
        <v>29</v>
      </c>
      <c r="G15" s="117">
        <f>Dean_Ag!G15+Dean_Ag!G19+Ag_Econ!G15+Agronomy!G15+Animal_Sci!G20+Entomology!G14+Grain_Sci!G12+Horticulture!G14+Plant_Path!G14</f>
        <v>165</v>
      </c>
      <c r="H15" s="100">
        <f>Dean_Ag!H15+Ag_Econ!H15+Agronomy!H15+Animal_Sci!H20+Entomology!H14+Grain_Sci!H12+Horticulture!H14+Plant_Path!H14+Dean_Ag!H19</f>
        <v>42</v>
      </c>
      <c r="I15" s="79">
        <f>Dean_Ag!I15+Dean_Ag!I19+Ag_Econ!I15+Agronomy!I15+Animal_Sci!I20+Entomology!I14+Grain_Sci!I12+Horticulture!I14+Plant_Path!I14</f>
        <v>135</v>
      </c>
      <c r="J15" s="366">
        <f>Dean_Ag!J15+Ag_Econ!J15+Agronomy!J15+Animal_Sci!J20+Entomology!J14+Grain_Sci!J12+Horticulture!J14+Plant_Path!J14+Dean_Ag!J19</f>
        <v>37</v>
      </c>
      <c r="K15" s="497">
        <f>Dean_Ag!K15+Dean_Ag!K19+Ag_Econ!K15+Agronomy!K15+Animal_Sci!K20+Entomology!K14+Grain_Sci!K12+Horticulture!K14+Plant_Path!K14</f>
        <v>135</v>
      </c>
      <c r="L15" s="366">
        <f>Dean_Ag!L15+Ag_Econ!L15+Agronomy!L15+Animal_Sci!L20+Entomology!L14+Grain_Sci!L12+Horticulture!L14+Plant_Path!L14+Dean_Ag!L19</f>
        <v>32</v>
      </c>
      <c r="M15" s="497">
        <f>Dean_Ag!M15+Dean_Ag!M19+Ag_Econ!M15+Agronomy!M15+Animal_Sci!M20+Entomology!M14+Grain_Sci!M12+Horticulture!M14+Plant_Path!M14</f>
        <v>132</v>
      </c>
      <c r="N15" s="333">
        <f>Dean_Ag!N15+Ag_Econ!N15+Agronomy!N15+Animal_Sci!N20+Entomology!N14+Grain_Sci!N12+Horticulture!N14+Plant_Path!N14+Dean_Ag!N19</f>
        <v>24</v>
      </c>
      <c r="O15" s="497">
        <f>Dean_Ag!O15+Dean_Ag!O19+Ag_Econ!O15+Agronomy!O15+Animal_Sci!O20+Entomology!O14+Grain_Sci!O12+Horticulture!O14+Plant_Path!O14</f>
        <v>149</v>
      </c>
      <c r="P15" s="333">
        <f>Dean_Ag!P15+Ag_Econ!P15+Agronomy!P15+Animal_Sci!P20+Entomology!P14+Grain_Sci!P12+Horticulture!P14+Plant_Path!P14+Dean_Ag!P19</f>
        <v>19</v>
      </c>
      <c r="Q15" s="334">
        <f>Dean_Ag!Q15+Dean_Ag!Q19+Ag_Econ!Q15+Agronomy!Q15+Animal_Sci!Q20+Entomology!Q14+Grain_Sci!Q12+Horticulture!Q14+Plant_Path!Q14</f>
        <v>173</v>
      </c>
      <c r="R15" s="333">
        <f>Dean_Ag!R15+Ag_Econ!R15+Agronomy!R15+Animal_Sci!R20+Entomology!R14+Grain_Sci!R12+Horticulture!R14+Plant_Path!R14+Dean_Ag!R19</f>
        <v>32</v>
      </c>
      <c r="S15" s="334">
        <f>Dean_Ag!S15+Dean_Ag!S19+Ag_Econ!S15+Agronomy!S15+Animal_Sci!S20+Entomology!S14+Grain_Sci!S12+Horticulture!S14+Plant_Path!S14</f>
        <v>173</v>
      </c>
      <c r="T15" s="333">
        <f>Dean_Ag!T15+Ag_Econ!T15+Agronomy!T15+Animal_Sci!T20+Entomology!T14+Grain_Sci!T12+Horticulture!T14+Plant_Path!T14+Dean_Ag!T19</f>
        <v>29</v>
      </c>
      <c r="U15" s="334">
        <f>Dean_Ag!U15+Dean_Ag!U19+Ag_Econ!U15+Agronomy!U15+Animal_Sci!U20+Entomology!U14+Grain_Sci!U12+Horticulture!U14+Plant_Path!U14</f>
        <v>176</v>
      </c>
      <c r="V15" s="333">
        <f>Dean_Ag!V15+Ag_Econ!V15+Agronomy!V15+Animal_Sci!V20+Entomology!V14+Grain_Sci!V12+Horticulture!V14+Plant_Path!V14+Dean_Ag!V19</f>
        <v>31</v>
      </c>
      <c r="W15" s="334">
        <f>Dean_Ag!W15+Dean_Ag!W19+Ag_Econ!W15+Agronomy!W15+Animal_Sci!W20+Entomology!W14+Grain_Sci!W12+Horticulture!W14+Plant_Path!W14</f>
        <v>187</v>
      </c>
      <c r="X15" s="333">
        <f>Dean_Ag!X15+Ag_Econ!X15+Agronomy!X15+Animal_Sci!X20+Entomology!X14+Grain_Sci!X12+Horticulture!X14+Plant_Path!X14+Dean_Ag!X19</f>
        <v>25</v>
      </c>
      <c r="Y15" s="334">
        <f>Dean_Ag!Y15+Dean_Ag!Y19+Ag_Econ!Y15+Agronomy!Y15+Animal_Sci!Y20+Entomology!Y14+Grain_Sci!Y12+Horticulture!Y14+Plant_Path!Y14</f>
        <v>200</v>
      </c>
      <c r="Z15" s="1430"/>
      <c r="AB15" s="742">
        <f t="shared" si="0"/>
        <v>181.8</v>
      </c>
      <c r="AC15" s="759">
        <f>AVERAGE(X15,V15,T15,R15,Z15)</f>
        <v>29.25</v>
      </c>
      <c r="AG15" s="1" t="s">
        <v>23</v>
      </c>
    </row>
    <row r="16" spans="1:33" ht="13.5" customHeight="1" thickBot="1" x14ac:dyDescent="0.25">
      <c r="B16" s="43" t="s">
        <v>78</v>
      </c>
      <c r="C16" s="278">
        <f>Dean_Ag!C16</f>
        <v>1</v>
      </c>
      <c r="D16" s="279">
        <f>Entomology!D15+Dean_Ag!D16</f>
        <v>0</v>
      </c>
      <c r="E16" s="278">
        <f>Dean_Ag!E16</f>
        <v>0</v>
      </c>
      <c r="F16" s="279">
        <f>Entomology!F15+Dean_Ag!F16</f>
        <v>1</v>
      </c>
      <c r="G16" s="278">
        <f>Dean_Ag!G16</f>
        <v>0</v>
      </c>
      <c r="H16" s="279">
        <f>Entomology!H15+Dean_Ag!H16</f>
        <v>1</v>
      </c>
      <c r="I16" s="278">
        <f>Dean_Ag!I16</f>
        <v>3</v>
      </c>
      <c r="J16" s="367">
        <f>Entomology!J15+Dean_Ag!J16</f>
        <v>0</v>
      </c>
      <c r="K16" s="498">
        <f>Dean_Ag!K16</f>
        <v>1</v>
      </c>
      <c r="L16" s="367">
        <f>Entomology!L15+Dean_Ag!L16</f>
        <v>0</v>
      </c>
      <c r="M16" s="498">
        <f>Dean_Ag!M16+Animal_Sci!M25</f>
        <v>2</v>
      </c>
      <c r="N16" s="279">
        <f>Entomology!N15+Dean_Ag!N16</f>
        <v>2</v>
      </c>
      <c r="O16" s="1083">
        <f>Dean_Ag!O16+Dean_Ag!O31+Animal_Sci!O25+Entomology!O15</f>
        <v>3</v>
      </c>
      <c r="P16" s="1198">
        <f>Dean_Ag!P16+Dean_Ag!P31+Animal_Sci!P25+Entomology!P15</f>
        <v>1</v>
      </c>
      <c r="Q16" s="1197">
        <f>Dean_Ag!Q16+Dean_Ag!Q31+Animal_Sci!Q25+Entomology!Q15+Horticulture!Q18</f>
        <v>7</v>
      </c>
      <c r="R16" s="1198">
        <f>Dean_Ag!R16+Dean_Ag!R31+Animal_Sci!R25+Entomology!R15+Dean_Ag!R22</f>
        <v>6</v>
      </c>
      <c r="S16" s="1197">
        <f>Dean_Ag!S16+Dean_Ag!S31+Animal_Sci!S25+Entomology!S15+Horticulture!S18</f>
        <v>6</v>
      </c>
      <c r="T16" s="1198">
        <f>Dean_Ag!T16+Dean_Ag!T31+Animal_Sci!T25+Entomology!T15</f>
        <v>8</v>
      </c>
      <c r="U16" s="1197">
        <f>Dean_Ag!U16+Dean_Ag!U31+Animal_Sci!U25+Entomology!U15+Horticulture!U18</f>
        <v>18</v>
      </c>
      <c r="V16" s="1198">
        <f>Dean_Ag!V16+Dean_Ag!V31+Animal_Sci!V25+Entomology!V15</f>
        <v>10</v>
      </c>
      <c r="W16" s="1197">
        <f>Dean_Ag!W16+Dean_Ag!W31+Animal_Sci!W25+Entomology!W15+Horticulture!W18+Horticulture!W15+Agronomy!W17</f>
        <v>22</v>
      </c>
      <c r="X16" s="1198">
        <f>Dean_Ag!X16+Dean_Ag!X31+Animal_Sci!X25+Entomology!X15+Agronomy!X17+Horticulture!X18+Horticulture!X15</f>
        <v>12</v>
      </c>
      <c r="Y16" s="278">
        <f>Dean_Ag!Y16+Dean_Ag!Y31+Animal_Sci!Y25+Entomology!Y15+Horticulture!Y18+Horticulture!Y15+Agronomy!Y17+Dean_Ag!Y32</f>
        <v>18</v>
      </c>
      <c r="Z16" s="1413"/>
      <c r="AA16" s="657"/>
      <c r="AB16" s="742">
        <f t="shared" si="0"/>
        <v>14.2</v>
      </c>
      <c r="AC16" s="653">
        <f>AVERAGE(X16,V16,T16,R16,Z16)</f>
        <v>9</v>
      </c>
    </row>
    <row r="17" spans="1:31" ht="13.5" customHeight="1" thickTop="1" x14ac:dyDescent="0.2">
      <c r="B17" s="119" t="s">
        <v>170</v>
      </c>
      <c r="C17" s="550"/>
      <c r="D17" s="550"/>
      <c r="E17" s="550"/>
      <c r="F17" s="550"/>
      <c r="G17" s="550"/>
      <c r="H17" s="550"/>
      <c r="I17" s="550"/>
      <c r="J17" s="550"/>
      <c r="K17" s="550"/>
      <c r="L17" s="253"/>
      <c r="M17" s="550"/>
      <c r="N17" s="253"/>
      <c r="O17" s="550"/>
      <c r="P17" s="253"/>
      <c r="Q17" s="550"/>
      <c r="R17" s="253"/>
      <c r="S17" s="550"/>
      <c r="T17" s="253"/>
      <c r="U17" s="550"/>
      <c r="V17" s="253"/>
      <c r="W17" s="550"/>
      <c r="X17" s="253"/>
      <c r="Y17" s="550"/>
      <c r="Z17" s="253"/>
      <c r="AB17" s="66"/>
      <c r="AC17" s="66"/>
    </row>
    <row r="18" spans="1:31" ht="13.5" customHeight="1" thickBot="1" x14ac:dyDescent="0.25">
      <c r="C18" s="1"/>
      <c r="D18" s="1"/>
      <c r="E18" s="1" t="s">
        <v>23</v>
      </c>
      <c r="F18" s="1"/>
      <c r="G18" s="222"/>
      <c r="H18" s="222"/>
      <c r="I18" s="222"/>
      <c r="J18" s="222"/>
      <c r="K18" s="222"/>
      <c r="L18" s="222"/>
      <c r="M18" s="235"/>
      <c r="N18" s="235"/>
      <c r="O18" s="235"/>
      <c r="P18" s="235"/>
      <c r="Q18" s="235" t="s">
        <v>23</v>
      </c>
      <c r="R18" s="235"/>
      <c r="S18" s="235" t="s">
        <v>23</v>
      </c>
      <c r="T18" s="235"/>
      <c r="U18" s="235" t="s">
        <v>23</v>
      </c>
      <c r="V18" s="235"/>
      <c r="W18" s="531"/>
      <c r="X18" s="235"/>
      <c r="Y18" s="531"/>
      <c r="Z18" s="235"/>
      <c r="AB18" s="71"/>
      <c r="AC18" s="71"/>
    </row>
    <row r="19" spans="1:31" ht="13.5" customHeight="1" thickTop="1" thickBot="1" x14ac:dyDescent="0.25">
      <c r="B19" s="1055"/>
      <c r="C19" s="1498" t="s">
        <v>33</v>
      </c>
      <c r="D19" s="1499"/>
      <c r="E19" s="1501" t="s">
        <v>34</v>
      </c>
      <c r="F19" s="1501"/>
      <c r="G19" s="1500" t="s">
        <v>106</v>
      </c>
      <c r="H19" s="1495"/>
      <c r="I19" s="1500" t="s">
        <v>118</v>
      </c>
      <c r="J19" s="1494"/>
      <c r="K19" s="1500" t="s">
        <v>121</v>
      </c>
      <c r="L19" s="1494"/>
      <c r="M19" s="1500" t="s">
        <v>127</v>
      </c>
      <c r="N19" s="1495"/>
      <c r="O19" s="1494" t="s">
        <v>174</v>
      </c>
      <c r="P19" s="1495"/>
      <c r="Q19" s="1494" t="s">
        <v>193</v>
      </c>
      <c r="R19" s="1495"/>
      <c r="S19" s="1494" t="s">
        <v>218</v>
      </c>
      <c r="T19" s="1495"/>
      <c r="U19" s="1500" t="s">
        <v>221</v>
      </c>
      <c r="V19" s="1495"/>
      <c r="W19" s="1494" t="s">
        <v>232</v>
      </c>
      <c r="X19" s="1495"/>
      <c r="Y19" s="1494" t="s">
        <v>241</v>
      </c>
      <c r="Z19" s="1508"/>
      <c r="AB19" s="1529" t="s">
        <v>134</v>
      </c>
      <c r="AC19" s="1530"/>
    </row>
    <row r="20" spans="1:31" ht="13.5" customHeight="1" x14ac:dyDescent="0.2">
      <c r="B20" s="41" t="s">
        <v>7</v>
      </c>
      <c r="C20" s="132"/>
      <c r="D20" s="133"/>
      <c r="E20" s="16"/>
      <c r="F20" s="16"/>
      <c r="G20" s="260"/>
      <c r="H20" s="407"/>
      <c r="I20" s="387"/>
      <c r="J20" s="387"/>
      <c r="K20" s="260"/>
      <c r="L20" s="387"/>
      <c r="M20" s="260"/>
      <c r="N20" s="407"/>
      <c r="O20" s="387"/>
      <c r="P20" s="407"/>
      <c r="Q20" s="387"/>
      <c r="R20" s="407"/>
      <c r="S20" s="387"/>
      <c r="T20" s="407"/>
      <c r="U20" s="387"/>
      <c r="V20" s="407"/>
      <c r="W20" s="387"/>
      <c r="X20" s="407"/>
      <c r="Y20" s="387"/>
      <c r="Z20" s="230"/>
      <c r="AA20" s="657"/>
      <c r="AB20" s="660"/>
      <c r="AC20" s="656"/>
    </row>
    <row r="21" spans="1:31" ht="13.5" customHeight="1" x14ac:dyDescent="0.2">
      <c r="B21" s="45" t="s">
        <v>8</v>
      </c>
      <c r="C21" s="134"/>
      <c r="D21" s="135"/>
      <c r="E21" s="7"/>
      <c r="F21" s="231"/>
      <c r="G21" s="261"/>
      <c r="H21" s="389"/>
      <c r="I21" s="231"/>
      <c r="J21" s="231"/>
      <c r="K21" s="261"/>
      <c r="L21" s="231"/>
      <c r="M21" s="261"/>
      <c r="N21" s="389"/>
      <c r="O21" s="231"/>
      <c r="P21" s="389"/>
      <c r="Q21" s="231"/>
      <c r="R21" s="389"/>
      <c r="S21" s="231"/>
      <c r="T21" s="389"/>
      <c r="U21" s="231"/>
      <c r="V21" s="389"/>
      <c r="W21" s="231"/>
      <c r="X21" s="389"/>
      <c r="Y21" s="231"/>
      <c r="Z21" s="104"/>
      <c r="AA21" s="657"/>
      <c r="AC21" s="652"/>
    </row>
    <row r="22" spans="1:31" ht="13.5" customHeight="1" x14ac:dyDescent="0.2">
      <c r="B22" s="45" t="s">
        <v>9</v>
      </c>
      <c r="C22" s="134"/>
      <c r="D22" s="136">
        <f>Dean_Ag!D49+Ag_Econ!D25+Agronomy!D24+Animal_Sci!D32+CommAgEd!D22+Entomology!D21+Grain_Sci!D32+Horticulture!D29+Plant_Path!D21</f>
        <v>5885</v>
      </c>
      <c r="E22" s="7"/>
      <c r="F22" s="12">
        <f>Dean_Ag!F49+Ag_Econ!F25+Agronomy!F24+Animal_Sci!F32+CommAgEd!F22+Entomology!F21+Grain_Sci!F32+Horticulture!F29+Plant_Path!F21</f>
        <v>6720</v>
      </c>
      <c r="G22" s="261"/>
      <c r="H22" s="217">
        <f>Dean_Ag!H49+Ag_Econ!H25+Agronomy!H24+Animal_Sci!H32+CommAgEd!H22+Entomology!H21+Grain_Sci!H32+Horticulture!H29+Plant_Path!H21</f>
        <v>7163</v>
      </c>
      <c r="I22" s="231"/>
      <c r="J22" s="105">
        <f>Dean_Ag!J49+Ag_Econ!J25+Agronomy!J24+Animal_Sci!J32+CommAgEd!J22+Entomology!J21+Grain_Sci!J32+Horticulture!J29+Plant_Path!J21</f>
        <v>7505</v>
      </c>
      <c r="K22" s="261"/>
      <c r="L22" s="105">
        <f>Dean_Ag!L49+Ag_Econ!L25+Agronomy!L24+Animal_Sci!L32+CommAgEd!L22+Entomology!L21+Grain_Sci!L32+Horticulture!L29+Plant_Path!L21</f>
        <v>7707</v>
      </c>
      <c r="M22" s="261"/>
      <c r="N22" s="217">
        <f>Dean_Ag!N49+Ag_Econ!N25+Agronomy!N24+Animal_Sci!N32+CommAgEd!N22+Entomology!N21+Grain_Sci!N32+Horticulture!N29+Plant_Path!N21</f>
        <v>8029</v>
      </c>
      <c r="O22" s="231"/>
      <c r="P22" s="217">
        <f>Dean_Ag!P49+Ag_Econ!P25+Agronomy!P24+Animal_Sci!P32+CommAgEd!P22+Entomology!P21+Grain_Sci!P32+Horticulture!P29+Plant_Path!P21</f>
        <v>8397</v>
      </c>
      <c r="Q22" s="231"/>
      <c r="R22" s="217">
        <f>Dean_Ag!R49+Ag_Econ!R25+Agronomy!R24+Animal_Sci!R32+CommAgEd!R22+Entomology!R21+Grain_Sci!R32+Horticulture!R29+Plant_Path!R21</f>
        <v>9563</v>
      </c>
      <c r="S22" s="231"/>
      <c r="T22" s="217">
        <f>Dean_Ag!T49+Ag_Econ!T25+Agronomy!T24+Animal_Sci!T32+CommAgEd!T22+Entomology!T21+Grain_Sci!T32+Horticulture!T29+Plant_Path!T21</f>
        <v>10218</v>
      </c>
      <c r="U22" s="231"/>
      <c r="V22" s="217">
        <f>Dean_Ag!V49+Ag_Econ!V25+Agronomy!V24+Animal_Sci!V32+CommAgEd!V22+Entomology!V21+Grain_Sci!V32+Horticulture!V29+Plant_Path!V21</f>
        <v>10167</v>
      </c>
      <c r="W22" s="231"/>
      <c r="X22" s="217">
        <f>Dean_Ag!X49+Ag_Econ!X25+Agronomy!X24+Animal_Sci!X32+CommAgEd!X22+Entomology!X21+Grain_Sci!X32+Horticulture!X29+Plant_Path!X21</f>
        <v>10281</v>
      </c>
      <c r="Y22" s="231"/>
      <c r="Z22" s="1433"/>
      <c r="AA22" s="657"/>
      <c r="AB22" s="16"/>
      <c r="AC22" s="752">
        <f t="shared" ref="AC22:AC26" si="1">AVERAGE(X22,V22,T22,R22,Z22)</f>
        <v>10057.25</v>
      </c>
    </row>
    <row r="23" spans="1:31" ht="13.5" customHeight="1" x14ac:dyDescent="0.2">
      <c r="B23" s="45" t="s">
        <v>10</v>
      </c>
      <c r="C23" s="134"/>
      <c r="D23" s="136">
        <f>Dean_Ag!D50+Ag_Econ!D26+Agronomy!D25+Animal_Sci!D33+CommAgEd!D23+Entomology!D22+Grain_Sci!D33+Horticulture!D30+Plant_Path!D22</f>
        <v>21170</v>
      </c>
      <c r="E23" s="7"/>
      <c r="F23" s="12">
        <f>Dean_Ag!F50+Ag_Econ!F26+Agronomy!F25+Animal_Sci!F33+CommAgEd!F23+Entomology!F22+Grain_Sci!F33+Horticulture!F30+Plant_Path!F22</f>
        <v>21288</v>
      </c>
      <c r="G23" s="261"/>
      <c r="H23" s="217">
        <f>Dean_Ag!H50+Ag_Econ!H26+Agronomy!H25+Animal_Sci!H33+CommAgEd!H23+Entomology!H22+Grain_Sci!H33+Horticulture!H30+Plant_Path!H22</f>
        <v>22153</v>
      </c>
      <c r="I23" s="231"/>
      <c r="J23" s="105">
        <f>Dean_Ag!J50+Ag_Econ!J26+Agronomy!J25+Animal_Sci!J33+CommAgEd!J23+Entomology!J22+Grain_Sci!J33+Horticulture!J30+Plant_Path!J22</f>
        <v>22582</v>
      </c>
      <c r="K23" s="261"/>
      <c r="L23" s="105">
        <f>Dean_Ag!L50+Ag_Econ!L26+Agronomy!L25+Animal_Sci!L33+CommAgEd!L23+Entomology!L22+Grain_Sci!L33+Horticulture!L30+Plant_Path!L22</f>
        <v>22737</v>
      </c>
      <c r="M23" s="261"/>
      <c r="N23" s="217">
        <f>Dean_Ag!N50+Ag_Econ!N26+Agronomy!N25+Animal_Sci!N33+CommAgEd!N23+Entomology!N22+Grain_Sci!N33+Horticulture!N30+Plant_Path!N22</f>
        <v>21916</v>
      </c>
      <c r="O23" s="231"/>
      <c r="P23" s="217">
        <f>Dean_Ag!P50+Ag_Econ!P26+Agronomy!P25+Animal_Sci!P33+CommAgEd!P23+Entomology!P22+Grain_Sci!P33+Horticulture!P30+Plant_Path!P22</f>
        <v>23162</v>
      </c>
      <c r="Q23" s="231"/>
      <c r="R23" s="217">
        <f>Dean_Ag!R50+Ag_Econ!R26+Agronomy!R25+Animal_Sci!R33+CommAgEd!R23+Entomology!R22+Grain_Sci!R33+Horticulture!R30+Plant_Path!R22</f>
        <v>24108</v>
      </c>
      <c r="S23" s="231"/>
      <c r="T23" s="217">
        <f>Dean_Ag!T50+Ag_Econ!T26+Agronomy!T25+Animal_Sci!T33+CommAgEd!T23+Entomology!T22+Grain_Sci!T33+Horticulture!T30+Plant_Path!T22</f>
        <v>26343</v>
      </c>
      <c r="U23" s="231"/>
      <c r="V23" s="217">
        <f>Dean_Ag!V50+Ag_Econ!V26+Agronomy!V25+Animal_Sci!V33+CommAgEd!V23+Entomology!V22+Grain_Sci!V33+Horticulture!V30+Plant_Path!V22</f>
        <v>28092</v>
      </c>
      <c r="W23" s="231"/>
      <c r="X23" s="217">
        <f>Dean_Ag!X50+Ag_Econ!X26+Agronomy!X25+Animal_Sci!X33+CommAgEd!X23+Entomology!X22+Grain_Sci!X33+Horticulture!X30+Plant_Path!X22</f>
        <v>29255</v>
      </c>
      <c r="Y23" s="231"/>
      <c r="Z23" s="1433"/>
      <c r="AB23" s="748"/>
      <c r="AC23" s="752">
        <f t="shared" si="1"/>
        <v>26949.5</v>
      </c>
    </row>
    <row r="24" spans="1:31" ht="13.5" customHeight="1" x14ac:dyDescent="0.2">
      <c r="B24" s="45" t="s">
        <v>11</v>
      </c>
      <c r="C24" s="134"/>
      <c r="D24" s="136">
        <f>Dean_Ag!D51+Ag_Econ!D27+Agronomy!D26+Animal_Sci!D34+CommAgEd!D24+Entomology!D23+Grain_Sci!D34+Horticulture!D31+Plant_Path!D23</f>
        <v>2262</v>
      </c>
      <c r="E24" s="7"/>
      <c r="F24" s="12">
        <f>Dean_Ag!F51+Ag_Econ!F27+Agronomy!F26+Animal_Sci!F34+CommAgEd!F24+Entomology!F23+Grain_Sci!F34+Horticulture!F31+Plant_Path!F23</f>
        <v>2511</v>
      </c>
      <c r="G24" s="261"/>
      <c r="H24" s="217">
        <f>Dean_Ag!H51+Ag_Econ!H27+Agronomy!H26+Animal_Sci!H34+CommAgEd!H24+Entomology!H23+Grain_Sci!H34+Horticulture!H31+Plant_Path!H23</f>
        <v>2720</v>
      </c>
      <c r="I24" s="231"/>
      <c r="J24" s="105">
        <f>Dean_Ag!J51+Ag_Econ!J27+Agronomy!J26+Animal_Sci!J34+CommAgEd!J24+Entomology!J23+Grain_Sci!J34+Horticulture!J31+Plant_Path!J23</f>
        <v>2989</v>
      </c>
      <c r="K24" s="261"/>
      <c r="L24" s="105">
        <f>Dean_Ag!L51+Ag_Econ!L27+Agronomy!L26+Animal_Sci!L34+CommAgEd!L24+Entomology!L23+Grain_Sci!L34+Horticulture!L31+Plant_Path!L23</f>
        <v>3277</v>
      </c>
      <c r="M24" s="261"/>
      <c r="N24" s="217">
        <f>Dean_Ag!N51+Ag_Econ!N27+Agronomy!N26+Animal_Sci!N34+CommAgEd!N24+Entomology!N23+Grain_Sci!N34+Horticulture!N31+Plant_Path!N23</f>
        <v>3589</v>
      </c>
      <c r="O24" s="231"/>
      <c r="P24" s="217">
        <f>Dean_Ag!P51+Ag_Econ!P27+Agronomy!P26+Animal_Sci!P34+CommAgEd!P24+Entomology!P23+Grain_Sci!P34+Horticulture!P31+Plant_Path!P23</f>
        <v>3821</v>
      </c>
      <c r="Q24" s="231"/>
      <c r="R24" s="217">
        <f>Dean_Ag!R51+Ag_Econ!R27+Agronomy!R26+Animal_Sci!R34+CommAgEd!R24+Entomology!R23+Grain_Sci!R34+Horticulture!R31+Plant_Path!R23</f>
        <v>3854</v>
      </c>
      <c r="S24" s="231"/>
      <c r="T24" s="217">
        <f>Dean_Ag!T51+Ag_Econ!T27+Agronomy!T26+Animal_Sci!T34+CommAgEd!T24+Entomology!T23+Grain_Sci!T34+Horticulture!T31+Plant_Path!T23</f>
        <v>4038</v>
      </c>
      <c r="U24" s="231"/>
      <c r="V24" s="217">
        <f>Dean_Ag!V51+Ag_Econ!V27+Agronomy!V26+Animal_Sci!V34+CommAgEd!V24+Entomology!V23+Grain_Sci!V34+Horticulture!V31+Plant_Path!V23</f>
        <v>4071</v>
      </c>
      <c r="W24" s="231"/>
      <c r="X24" s="217">
        <f>Dean_Ag!X51+Ag_Econ!X27+Agronomy!X26+Animal_Sci!X34+CommAgEd!X24+Entomology!X23+Grain_Sci!X34+Horticulture!X31+Plant_Path!X23</f>
        <v>4623</v>
      </c>
      <c r="Y24" s="231"/>
      <c r="Z24" s="1433"/>
      <c r="AB24" s="748"/>
      <c r="AC24" s="752">
        <f t="shared" si="1"/>
        <v>4146.5</v>
      </c>
      <c r="AE24" s="1" t="s">
        <v>23</v>
      </c>
    </row>
    <row r="25" spans="1:31" ht="13.5" customHeight="1" x14ac:dyDescent="0.2">
      <c r="B25" s="45" t="s">
        <v>12</v>
      </c>
      <c r="C25" s="134"/>
      <c r="D25" s="136">
        <f>Dean_Ag!D52+Ag_Econ!D28+Agronomy!D27+Animal_Sci!D35+CommAgEd!D25+Entomology!D24+Grain_Sci!D35+Horticulture!D32+Plant_Path!D24</f>
        <v>2469</v>
      </c>
      <c r="E25" s="7"/>
      <c r="F25" s="12">
        <f>Dean_Ag!F52+Ag_Econ!F28+Agronomy!F27+Animal_Sci!F35+CommAgEd!F25+Entomology!F24+Grain_Sci!F35+Horticulture!F32+Plant_Path!F24</f>
        <v>2051</v>
      </c>
      <c r="G25" s="261"/>
      <c r="H25" s="217">
        <f>Dean_Ag!H52+Ag_Econ!H28+Agronomy!H27+Animal_Sci!H35+CommAgEd!H25+Entomology!H24+Grain_Sci!H35+Horticulture!H32+Plant_Path!H24</f>
        <v>1771</v>
      </c>
      <c r="I25" s="231"/>
      <c r="J25" s="105">
        <f>Dean_Ag!J52+Ag_Econ!J28+Agronomy!J27+Animal_Sci!J35+CommAgEd!J25+Entomology!J24+Grain_Sci!J35+Horticulture!J32+Plant_Path!J24</f>
        <v>1609</v>
      </c>
      <c r="K25" s="261"/>
      <c r="L25" s="105">
        <f>Dean_Ag!L52+Ag_Econ!L28+Agronomy!L27+Animal_Sci!L35+CommAgEd!L25+Entomology!L24+Grain_Sci!L35+Horticulture!L32+Plant_Path!L24</f>
        <v>1539</v>
      </c>
      <c r="M25" s="261"/>
      <c r="N25" s="217">
        <f>Dean_Ag!N52+Ag_Econ!N28+Agronomy!N27+Animal_Sci!N35+CommAgEd!N25+Entomology!N24+Grain_Sci!N35+Horticulture!N32+Plant_Path!N24</f>
        <v>1349</v>
      </c>
      <c r="O25" s="231"/>
      <c r="P25" s="217">
        <f>Dean_Ag!P52+Ag_Econ!P28+Agronomy!P27+Animal_Sci!P35+CommAgEd!P25+Entomology!P24+Grain_Sci!P35+Horticulture!P32+Plant_Path!P24</f>
        <v>1754</v>
      </c>
      <c r="Q25" s="231"/>
      <c r="R25" s="217">
        <f>Dean_Ag!R52+Ag_Econ!R28+Agronomy!R27+Animal_Sci!R35+CommAgEd!R25+Entomology!R24+Grain_Sci!R35+Horticulture!R32+Plant_Path!R24</f>
        <v>1745</v>
      </c>
      <c r="S25" s="231"/>
      <c r="T25" s="217">
        <f>Dean_Ag!T52+Ag_Econ!T28+Agronomy!T27+Animal_Sci!T35+CommAgEd!T25+Entomology!T24+Grain_Sci!T35+Horticulture!T32+Plant_Path!T24</f>
        <v>1853</v>
      </c>
      <c r="U25" s="231"/>
      <c r="V25" s="217">
        <f>Dean_Ag!V52+Ag_Econ!V28+Agronomy!V27+Animal_Sci!V35+CommAgEd!V25+Entomology!V24+Grain_Sci!V35+Horticulture!V32+Plant_Path!V24</f>
        <v>1872</v>
      </c>
      <c r="W25" s="231"/>
      <c r="X25" s="217">
        <f>Dean_Ag!X52+Ag_Econ!X28+Agronomy!X27+Animal_Sci!X35+CommAgEd!X25+Entomology!X24+Grain_Sci!X35+Horticulture!X32+Plant_Path!X24</f>
        <v>2053</v>
      </c>
      <c r="Y25" s="231"/>
      <c r="Z25" s="1433"/>
      <c r="AB25" s="748"/>
      <c r="AC25" s="752">
        <f t="shared" si="1"/>
        <v>1880.75</v>
      </c>
      <c r="AE25" s="24"/>
    </row>
    <row r="26" spans="1:31" ht="13.5" customHeight="1" thickBot="1" x14ac:dyDescent="0.25">
      <c r="B26" s="46" t="s">
        <v>13</v>
      </c>
      <c r="C26" s="137"/>
      <c r="D26" s="178">
        <f>Dean_Ag!D53+Ag_Econ!D29+Agronomy!D28+Animal_Sci!D36+CommAgEd!D26+Entomology!D25+Grain_Sci!D36+Horticulture!D33+Plant_Path!D25</f>
        <v>31786</v>
      </c>
      <c r="E26" s="36"/>
      <c r="F26" s="63">
        <f>SUM(F22:F25)</f>
        <v>32570</v>
      </c>
      <c r="G26" s="262"/>
      <c r="H26" s="417">
        <f>SUM(H22:H25)</f>
        <v>33807</v>
      </c>
      <c r="I26" s="404"/>
      <c r="J26" s="492">
        <f>SUM(J22:J25)</f>
        <v>34685</v>
      </c>
      <c r="K26" s="262"/>
      <c r="L26" s="492">
        <f>SUM(L22:L25)</f>
        <v>35260</v>
      </c>
      <c r="M26" s="262"/>
      <c r="N26" s="417">
        <f>SUM(N22:N25)</f>
        <v>34883</v>
      </c>
      <c r="O26" s="404"/>
      <c r="P26" s="417">
        <f>SUM(P22:P25)</f>
        <v>37134</v>
      </c>
      <c r="Q26" s="404"/>
      <c r="R26" s="417">
        <f>SUM(R22:R25)</f>
        <v>39270</v>
      </c>
      <c r="S26" s="404"/>
      <c r="T26" s="417">
        <f>SUM(T22:T25)</f>
        <v>42452</v>
      </c>
      <c r="U26" s="404"/>
      <c r="V26" s="417">
        <f>SUM(V22:V25)</f>
        <v>44202</v>
      </c>
      <c r="W26" s="404"/>
      <c r="X26" s="417">
        <f>SUM(X22:X25)</f>
        <v>46212</v>
      </c>
      <c r="Y26" s="404"/>
      <c r="Z26" s="1435"/>
      <c r="AB26" s="659"/>
      <c r="AC26" s="859">
        <f t="shared" si="1"/>
        <v>43034</v>
      </c>
      <c r="AE26" s="24"/>
    </row>
    <row r="27" spans="1:31" ht="13.5" customHeight="1" thickTop="1" thickBot="1" x14ac:dyDescent="0.25">
      <c r="A27" s="652"/>
      <c r="B27" s="691" t="s">
        <v>159</v>
      </c>
      <c r="C27" s="1477" t="s">
        <v>35</v>
      </c>
      <c r="D27" s="1478"/>
      <c r="E27" s="1477" t="s">
        <v>36</v>
      </c>
      <c r="F27" s="1478"/>
      <c r="G27" s="1479" t="s">
        <v>122</v>
      </c>
      <c r="H27" s="1480"/>
      <c r="I27" s="1479" t="s">
        <v>123</v>
      </c>
      <c r="J27" s="1481"/>
      <c r="K27" s="1479" t="s">
        <v>148</v>
      </c>
      <c r="L27" s="1481"/>
      <c r="M27" s="1488" t="s">
        <v>149</v>
      </c>
      <c r="N27" s="1480"/>
      <c r="O27" s="1483" t="s">
        <v>175</v>
      </c>
      <c r="P27" s="1480"/>
      <c r="Q27" s="1483" t="s">
        <v>194</v>
      </c>
      <c r="R27" s="1480"/>
      <c r="S27" s="1483" t="s">
        <v>219</v>
      </c>
      <c r="T27" s="1480"/>
      <c r="U27" s="1483" t="s">
        <v>222</v>
      </c>
      <c r="V27" s="1480"/>
      <c r="W27" s="1483" t="s">
        <v>233</v>
      </c>
      <c r="X27" s="1480"/>
      <c r="Y27" s="1483" t="s">
        <v>242</v>
      </c>
      <c r="Z27" s="1511"/>
      <c r="AA27" s="692"/>
      <c r="AB27" s="693"/>
      <c r="AC27" s="694"/>
      <c r="AD27" s="489"/>
      <c r="AE27" s="15"/>
    </row>
    <row r="28" spans="1:31" ht="13.5" customHeight="1" x14ac:dyDescent="0.2">
      <c r="A28" s="652"/>
      <c r="B28" s="695" t="s">
        <v>135</v>
      </c>
      <c r="C28" s="1463">
        <v>0.53</v>
      </c>
      <c r="D28" s="1557"/>
      <c r="E28" s="1558">
        <v>0.71199999999999997</v>
      </c>
      <c r="F28" s="1559"/>
      <c r="G28" s="1465">
        <v>0.77200000000000002</v>
      </c>
      <c r="H28" s="1467"/>
      <c r="I28" s="1465">
        <v>0.78800000000000003</v>
      </c>
      <c r="J28" s="1467"/>
      <c r="K28" s="696"/>
      <c r="L28" s="697">
        <v>0.77</v>
      </c>
      <c r="M28" s="1108"/>
      <c r="N28" s="997">
        <v>0.79700000000000004</v>
      </c>
      <c r="O28" s="995"/>
      <c r="P28" s="997">
        <v>0.73</v>
      </c>
      <c r="Q28" s="1019"/>
      <c r="R28" s="997">
        <v>0.79500000000000004</v>
      </c>
      <c r="S28" s="1019"/>
      <c r="T28" s="997">
        <v>0.78200000000000003</v>
      </c>
      <c r="U28" s="1019"/>
      <c r="V28" s="997">
        <v>0.81200000000000006</v>
      </c>
      <c r="W28" s="1019"/>
      <c r="X28" s="997">
        <v>0.81499999999999995</v>
      </c>
      <c r="Y28" s="1019"/>
      <c r="Z28" s="1241">
        <v>0.82099999999999995</v>
      </c>
      <c r="AA28" s="699"/>
      <c r="AB28" s="848"/>
      <c r="AC28" s="743">
        <f t="shared" ref="AC28:AC29" si="2">AVERAGE(X28,V28,T28,R28,Z28)</f>
        <v>0.80499999999999994</v>
      </c>
      <c r="AD28" s="489"/>
      <c r="AE28" s="15"/>
    </row>
    <row r="29" spans="1:31" ht="13.5" customHeight="1" x14ac:dyDescent="0.2">
      <c r="A29" s="652"/>
      <c r="B29" s="700" t="s">
        <v>136</v>
      </c>
      <c r="C29" s="1553">
        <v>8.1000000000000003E-2</v>
      </c>
      <c r="D29" s="1554"/>
      <c r="E29" s="1555">
        <v>9.8000000000000004E-2</v>
      </c>
      <c r="F29" s="1556"/>
      <c r="G29" s="1472">
        <v>8.1000000000000003E-2</v>
      </c>
      <c r="H29" s="1474"/>
      <c r="I29" s="1472">
        <v>9.0999999999999998E-2</v>
      </c>
      <c r="J29" s="1474"/>
      <c r="K29" s="701"/>
      <c r="L29" s="702">
        <v>9.9000000000000005E-2</v>
      </c>
      <c r="M29" s="1109"/>
      <c r="N29" s="998">
        <v>0.10299999999999999</v>
      </c>
      <c r="O29" s="996"/>
      <c r="P29" s="998">
        <v>0.114</v>
      </c>
      <c r="Q29" s="1020"/>
      <c r="R29" s="998">
        <v>0.107</v>
      </c>
      <c r="S29" s="1020"/>
      <c r="T29" s="998">
        <v>8.6999999999999994E-2</v>
      </c>
      <c r="U29" s="1020"/>
      <c r="V29" s="998">
        <v>8.3000000000000004E-2</v>
      </c>
      <c r="W29" s="1020"/>
      <c r="X29" s="998">
        <v>8.3000000000000004E-2</v>
      </c>
      <c r="Y29" s="1020"/>
      <c r="Z29" s="1242">
        <v>8.3000000000000004E-2</v>
      </c>
      <c r="AA29" s="699"/>
      <c r="AB29" s="848"/>
      <c r="AC29" s="743">
        <f t="shared" si="2"/>
        <v>8.8599999999999998E-2</v>
      </c>
      <c r="AD29" s="489"/>
      <c r="AE29" s="15"/>
    </row>
    <row r="30" spans="1:31" ht="13.5" customHeight="1" thickBot="1" x14ac:dyDescent="0.25">
      <c r="B30" s="703" t="s">
        <v>137</v>
      </c>
      <c r="C30" s="1468">
        <f t="shared" ref="C30:I30" si="3">1-SUM(C28:D29)</f>
        <v>0.38900000000000001</v>
      </c>
      <c r="D30" s="1469"/>
      <c r="E30" s="1540">
        <f t="shared" si="3"/>
        <v>0.19000000000000006</v>
      </c>
      <c r="F30" s="1491"/>
      <c r="G30" s="1468">
        <f t="shared" si="3"/>
        <v>0.14700000000000002</v>
      </c>
      <c r="H30" s="1469"/>
      <c r="I30" s="1468">
        <f t="shared" si="3"/>
        <v>0.121</v>
      </c>
      <c r="J30" s="1469"/>
      <c r="K30" s="1468">
        <f>1-SUM(K28:L29)</f>
        <v>0.13100000000000001</v>
      </c>
      <c r="L30" s="1469"/>
      <c r="M30" s="1540">
        <f>1-SUM(M28:N29)</f>
        <v>9.9999999999999978E-2</v>
      </c>
      <c r="N30" s="1491"/>
      <c r="O30" s="1514">
        <f>1-P28-P29</f>
        <v>0.15600000000000003</v>
      </c>
      <c r="P30" s="1469"/>
      <c r="Q30" s="1490">
        <f>1-R28-R29</f>
        <v>9.7999999999999962E-2</v>
      </c>
      <c r="R30" s="1491"/>
      <c r="S30" s="1490">
        <f>1-T28-T29</f>
        <v>0.13099999999999998</v>
      </c>
      <c r="T30" s="1491"/>
      <c r="U30" s="1490">
        <f>1-V28-V29</f>
        <v>0.10499999999999994</v>
      </c>
      <c r="V30" s="1491"/>
      <c r="W30" s="1490">
        <f>1-X28-X29</f>
        <v>0.10200000000000005</v>
      </c>
      <c r="X30" s="1491"/>
      <c r="Y30" s="1490">
        <f>1-Z28-Z29</f>
        <v>9.6000000000000044E-2</v>
      </c>
      <c r="Z30" s="1506"/>
      <c r="AA30" s="699"/>
      <c r="AB30" s="1515">
        <f t="shared" ref="AB30" si="4">AVERAGE(W30,U30,S30,Q30,Y30)</f>
        <v>0.10640000000000001</v>
      </c>
      <c r="AC30" s="1516" t="e">
        <f t="shared" ref="AC30" si="5">AVERAGE(X30,V30,T30,R30,Z30)</f>
        <v>#DIV/0!</v>
      </c>
      <c r="AD30" s="704"/>
      <c r="AE30" s="15"/>
    </row>
    <row r="31" spans="1:31" ht="13.5" customHeight="1" thickTop="1" x14ac:dyDescent="0.2">
      <c r="B31" s="65"/>
      <c r="C31" s="68"/>
      <c r="D31" s="69"/>
      <c r="E31" s="68"/>
      <c r="F31" s="67"/>
      <c r="G31" s="233"/>
      <c r="H31" s="234"/>
      <c r="I31" s="233"/>
      <c r="J31" s="234"/>
      <c r="K31" s="233"/>
      <c r="L31" s="234"/>
      <c r="M31" s="233"/>
      <c r="N31" s="234"/>
      <c r="O31" s="233"/>
      <c r="P31" s="234"/>
      <c r="Q31" s="233"/>
      <c r="R31" s="234"/>
      <c r="S31" s="233"/>
      <c r="T31" s="234"/>
      <c r="U31" s="233"/>
      <c r="V31" s="234"/>
      <c r="W31" s="233"/>
      <c r="X31" s="234"/>
      <c r="Y31" s="233"/>
      <c r="Z31" s="234"/>
      <c r="AC31" s="66"/>
      <c r="AE31" s="24"/>
    </row>
    <row r="32" spans="1:31" ht="13.5" customHeight="1" x14ac:dyDescent="0.2">
      <c r="A32" s="75" t="s">
        <v>80</v>
      </c>
      <c r="B32" s="61"/>
      <c r="C32" s="24"/>
      <c r="D32" s="24"/>
      <c r="E32" s="24"/>
      <c r="F32" s="24"/>
      <c r="G32" s="235"/>
      <c r="H32" s="235"/>
      <c r="I32" s="235"/>
      <c r="J32" s="235"/>
      <c r="K32" s="235"/>
      <c r="L32" s="235"/>
      <c r="M32" s="235"/>
      <c r="N32" s="235"/>
      <c r="O32" s="235"/>
      <c r="P32" s="235"/>
      <c r="Q32" s="235"/>
      <c r="R32" s="235"/>
      <c r="S32" s="235"/>
      <c r="T32" s="235"/>
      <c r="U32" s="235"/>
      <c r="V32" s="235"/>
      <c r="W32" s="235"/>
      <c r="X32" s="235"/>
      <c r="Y32" s="235"/>
      <c r="Z32" s="235"/>
      <c r="AE32" s="24"/>
    </row>
    <row r="33" spans="1:42" ht="13.5" customHeight="1" thickBot="1" x14ac:dyDescent="0.25">
      <c r="A33" s="75"/>
      <c r="B33" s="61"/>
      <c r="C33" s="24"/>
      <c r="D33" s="24"/>
      <c r="E33" s="24"/>
      <c r="F33" s="24"/>
      <c r="G33" s="235"/>
      <c r="H33" s="235"/>
      <c r="I33" s="235"/>
      <c r="J33" s="235"/>
      <c r="K33" s="235"/>
      <c r="L33" s="235"/>
      <c r="M33" s="235"/>
      <c r="N33" s="235"/>
      <c r="O33" s="235"/>
      <c r="P33" s="235"/>
      <c r="Q33" s="235"/>
      <c r="R33" s="235"/>
      <c r="S33" s="235"/>
      <c r="T33" s="235"/>
      <c r="U33" s="235"/>
      <c r="V33" s="235"/>
      <c r="W33" s="235"/>
      <c r="X33" s="235"/>
      <c r="Y33" s="235"/>
      <c r="Z33" s="235"/>
      <c r="AB33" s="71"/>
      <c r="AC33" s="71"/>
    </row>
    <row r="34" spans="1:42" ht="13.5" customHeight="1" thickTop="1" thickBot="1" x14ac:dyDescent="0.25">
      <c r="A34" s="3"/>
      <c r="B34" s="118" t="s">
        <v>57</v>
      </c>
      <c r="C34" s="1498" t="s">
        <v>33</v>
      </c>
      <c r="D34" s="1499"/>
      <c r="E34" s="1498" t="s">
        <v>34</v>
      </c>
      <c r="F34" s="1501"/>
      <c r="G34" s="1500" t="s">
        <v>106</v>
      </c>
      <c r="H34" s="1495"/>
      <c r="I34" s="1500" t="s">
        <v>118</v>
      </c>
      <c r="J34" s="1494"/>
      <c r="K34" s="1500" t="s">
        <v>121</v>
      </c>
      <c r="L34" s="1494"/>
      <c r="M34" s="1500" t="s">
        <v>127</v>
      </c>
      <c r="N34" s="1495"/>
      <c r="O34" s="1494" t="s">
        <v>174</v>
      </c>
      <c r="P34" s="1495"/>
      <c r="Q34" s="1494" t="s">
        <v>193</v>
      </c>
      <c r="R34" s="1495"/>
      <c r="S34" s="1494" t="s">
        <v>218</v>
      </c>
      <c r="T34" s="1495"/>
      <c r="U34" s="1494" t="s">
        <v>221</v>
      </c>
      <c r="V34" s="1495"/>
      <c r="W34" s="1494" t="s">
        <v>232</v>
      </c>
      <c r="X34" s="1495"/>
      <c r="Y34" s="1494" t="s">
        <v>241</v>
      </c>
      <c r="Z34" s="1508"/>
      <c r="AA34" s="657"/>
      <c r="AB34" s="1529" t="s">
        <v>134</v>
      </c>
      <c r="AC34" s="1530"/>
    </row>
    <row r="35" spans="1:42" ht="13.5" customHeight="1" x14ac:dyDescent="0.2">
      <c r="A35" s="3"/>
      <c r="B35" s="1153" t="s">
        <v>58</v>
      </c>
      <c r="C35" s="134"/>
      <c r="D35" s="135"/>
      <c r="E35" s="134"/>
      <c r="F35" s="7"/>
      <c r="G35" s="261"/>
      <c r="H35" s="389"/>
      <c r="I35" s="387"/>
      <c r="J35" s="387"/>
      <c r="K35" s="260"/>
      <c r="L35" s="387"/>
      <c r="M35" s="260"/>
      <c r="N35" s="407"/>
      <c r="O35" s="387"/>
      <c r="P35" s="407"/>
      <c r="Q35" s="387"/>
      <c r="R35" s="407"/>
      <c r="S35" s="387"/>
      <c r="T35" s="407"/>
      <c r="U35" s="387"/>
      <c r="V35" s="407"/>
      <c r="W35" s="387"/>
      <c r="X35" s="407"/>
      <c r="Y35" s="387"/>
      <c r="Z35" s="230"/>
      <c r="AA35" s="657"/>
      <c r="AB35" s="744"/>
      <c r="AC35" s="745"/>
    </row>
    <row r="36" spans="1:42" ht="13.5" customHeight="1" x14ac:dyDescent="0.2">
      <c r="A36" s="3"/>
      <c r="B36" s="1044" t="s">
        <v>59</v>
      </c>
      <c r="C36" s="132"/>
      <c r="D36" s="139">
        <f>Dean_Ag!D59+Ag_Econ!D39+Agronomy!D38+Animal_Sci!D46+CommAgEd!D36+Entomology!D35+Grain_Sci!D46+Horticulture!D43+Plant_Path!D35</f>
        <v>7482860</v>
      </c>
      <c r="E36" s="132"/>
      <c r="F36" s="153">
        <f>Dean_Ag!F59+Ag_Econ!F39+Agronomy!F38+Animal_Sci!F46+CommAgEd!F36+Entomology!F35+Grain_Sci!F46+Horticulture!F43+Plant_Path!F35</f>
        <v>8001029</v>
      </c>
      <c r="G36" s="260"/>
      <c r="H36" s="219">
        <f>Dean_Ag!H59+Ag_Econ!H39+Agronomy!H38+Animal_Sci!H46+CommAgEd!H36+Entomology!H35+Grain_Sci!H46+Horticulture!H43+Plant_Path!H35</f>
        <v>8221205</v>
      </c>
      <c r="I36" s="387"/>
      <c r="J36" s="488">
        <f>Dean_Ag!J59+Ag_Econ!J39+Agronomy!J38+Animal_Sci!J46+CommAgEd!J36+Entomology!J35+Grain_Sci!J46+Horticulture!J43+Plant_Path!J35</f>
        <v>8789663</v>
      </c>
      <c r="K36" s="260"/>
      <c r="L36" s="488">
        <f>Dean_Ag!L59+Ag_Econ!L39+Agronomy!L38+Animal_Sci!L46+CommAgEd!L36+Entomology!L35+Grain_Sci!L46+Horticulture!L43+Plant_Path!L35</f>
        <v>9108932</v>
      </c>
      <c r="M36" s="260"/>
      <c r="N36" s="219">
        <f>Dean_Ag!N59+Ag_Econ!N39+Agronomy!N38+Animal_Sci!N46+CommAgEd!N36+Entomology!N35+Grain_Sci!N46+Horticulture!N43+Plant_Path!N35</f>
        <v>9792367</v>
      </c>
      <c r="O36" s="387"/>
      <c r="P36" s="219">
        <f>Dean_Ag!P59+Ag_Econ!P39+Agronomy!P38+Animal_Sci!P46+CommAgEd!P36+Entomology!P35+Grain_Sci!P46+Horticulture!P43+Plant_Path!P35</f>
        <v>10743833</v>
      </c>
      <c r="Q36" s="387"/>
      <c r="R36" s="219">
        <f>Dean_Ag!R59+Ag_Econ!R39+Agronomy!R38+Animal_Sci!R46+CommAgEd!R36+Entomology!R35+Grain_Sci!R46+Horticulture!R43+Plant_Path!R35</f>
        <v>11820412</v>
      </c>
      <c r="S36" s="387"/>
      <c r="T36" s="219">
        <f>Dean_Ag!T59+Ag_Econ!T39+Agronomy!T38+Animal_Sci!T46+CommAgEd!T36+Entomology!T35+Grain_Sci!T46+Horticulture!T43+Plant_Path!T35</f>
        <v>13683600</v>
      </c>
      <c r="U36" s="387"/>
      <c r="V36" s="219">
        <f>Dean_Ag!V59+Ag_Econ!V39+Agronomy!V38+Animal_Sci!V46+CommAgEd!V36+Entomology!V35+Grain_Sci!V46+Horticulture!V43+Plant_Path!V35</f>
        <v>14749957</v>
      </c>
      <c r="W36" s="387"/>
      <c r="X36" s="219">
        <f>Dean_Ag!X59+Ag_Econ!X39+Agronomy!X38+Animal_Sci!X46+CommAgEd!X36+Entomology!X35+Grain_Sci!X46+Horticulture!X43+Plant_Path!X35</f>
        <v>18652989</v>
      </c>
      <c r="Y36" s="387"/>
      <c r="Z36" s="1353">
        <f>Dean_Ag!Z59+Ag_Econ!Z39+Agronomy!Z38+Animal_Sci!Z46+CommAgEd!Z36+Entomology!Z35+Grain_Sci!Z46+Horticulture!Z43+Plant_Path!Z35</f>
        <v>19310437</v>
      </c>
      <c r="AA36" s="657"/>
      <c r="AB36" s="7"/>
      <c r="AC36" s="746">
        <f>AVERAGE(X36,V36,T36,R36,Z36)</f>
        <v>15643479</v>
      </c>
    </row>
    <row r="37" spans="1:42" x14ac:dyDescent="0.2">
      <c r="A37" s="3"/>
      <c r="B37" s="1044" t="s">
        <v>196</v>
      </c>
      <c r="C37" s="132"/>
      <c r="D37" s="139"/>
      <c r="E37" s="132"/>
      <c r="F37" s="153"/>
      <c r="G37" s="260"/>
      <c r="H37" s="219">
        <f>Dean_Ag!H60+Ag_Econ!H40+Agronomy!H39+Animal_Sci!H47+CommAgEd!H37+Entomology!H36+Grain_Sci!H47+Horticulture!H44+Plant_Path!H36</f>
        <v>0</v>
      </c>
      <c r="I37" s="231"/>
      <c r="J37" s="488">
        <f>Dean_Ag!J60+Ag_Econ!J40+Agronomy!J39+Animal_Sci!J47+CommAgEd!J37+Entomology!J36+Grain_Sci!J47+Horticulture!J44+Plant_Path!J36</f>
        <v>0</v>
      </c>
      <c r="K37" s="261"/>
      <c r="L37" s="488">
        <f>Dean_Ag!L60+Ag_Econ!L40+Agronomy!L39+Animal_Sci!L47+CommAgEd!L37+Entomology!L36+Grain_Sci!L47+Horticulture!L44+Plant_Path!L36</f>
        <v>0</v>
      </c>
      <c r="M37" s="261"/>
      <c r="N37" s="219">
        <f>Dean_Ag!N60+Ag_Econ!N40+Agronomy!N39+Animal_Sci!N47+CommAgEd!N37+Entomology!N36+Grain_Sci!N47+Horticulture!N44+Plant_Path!N36</f>
        <v>0</v>
      </c>
      <c r="O37" s="231" t="s">
        <v>23</v>
      </c>
      <c r="P37" s="219">
        <f>Dean_Ag!P60+Ag_Econ!P40+Agronomy!P39+Animal_Sci!P47+CommAgEd!P37+Entomology!P36+Grain_Sci!P47+Horticulture!P44+Plant_Path!P36</f>
        <v>0</v>
      </c>
      <c r="Q37" s="231" t="s">
        <v>23</v>
      </c>
      <c r="R37" s="219">
        <f>Dean_Ag!R60+Ag_Econ!R40+Agronomy!R39+Animal_Sci!R47+CommAgEd!R37+Entomology!R36+Grain_Sci!R47+Horticulture!R44+Plant_Path!R36</f>
        <v>0</v>
      </c>
      <c r="S37" s="231" t="s">
        <v>23</v>
      </c>
      <c r="T37" s="219">
        <f>Dean_Ag!T60+Ag_Econ!T40+Agronomy!T39+Animal_Sci!T47+CommAgEd!T37+Entomology!T36+Grain_Sci!T47+Horticulture!T44+Plant_Path!T36</f>
        <v>0</v>
      </c>
      <c r="U37" s="231" t="s">
        <v>23</v>
      </c>
      <c r="V37" s="219">
        <f>Dean_Ag!V60+Ag_Econ!V40+Agronomy!V39+Animal_Sci!V47+CommAgEd!V37+Entomology!V36+Grain_Sci!V47+Horticulture!V44+Plant_Path!V36</f>
        <v>0</v>
      </c>
      <c r="W37" s="231" t="s">
        <v>23</v>
      </c>
      <c r="X37" s="219">
        <f>Dean_Ag!X60+Ag_Econ!X40+Agronomy!X39+Animal_Sci!X47+CommAgEd!X37+Entomology!X36+Grain_Sci!X47+Horticulture!X44+Plant_Path!X36</f>
        <v>0</v>
      </c>
      <c r="Y37" s="231" t="s">
        <v>23</v>
      </c>
      <c r="Z37" s="1353">
        <f>Dean_Ag!Z60+Ag_Econ!Z40+Agronomy!Z39+Animal_Sci!Z47+CommAgEd!Z37+Entomology!Z36+Grain_Sci!Z47+Horticulture!Z44+Plant_Path!Z36</f>
        <v>0</v>
      </c>
      <c r="AA37" s="657"/>
      <c r="AB37" s="7"/>
      <c r="AC37" s="746">
        <f>AVERAGE(V37,T37,R37,P37,N37)</f>
        <v>0</v>
      </c>
    </row>
    <row r="38" spans="1:42" ht="25.5" customHeight="1" x14ac:dyDescent="0.2">
      <c r="A38" s="3"/>
      <c r="B38" s="1045" t="s">
        <v>198</v>
      </c>
      <c r="C38" s="134"/>
      <c r="D38" s="139">
        <f>Dean_Ag!D61+Ag_Econ!D41+Agronomy!D40+Animal_Sci!D48+CommAgEd!D38+Entomology!D37+Grain_Sci!D48+Horticulture!D45+Plant_Path!D37</f>
        <v>129616</v>
      </c>
      <c r="E38" s="134"/>
      <c r="F38" s="153">
        <f>Dean_Ag!F61+Ag_Econ!F41+Agronomy!F40+Animal_Sci!F48+CommAgEd!F38+Entomology!F37+Grain_Sci!F48+Horticulture!F45+Plant_Path!F37</f>
        <v>510761</v>
      </c>
      <c r="G38" s="261"/>
      <c r="H38" s="219">
        <f>Dean_Ag!H61+Ag_Econ!H41+Agronomy!H40+Animal_Sci!H48+CommAgEd!H38+Entomology!H37+Grain_Sci!H48+Horticulture!H45+Plant_Path!H37</f>
        <v>1345339</v>
      </c>
      <c r="I38" s="231"/>
      <c r="J38" s="488">
        <f>Dean_Ag!J61+Ag_Econ!J41+Agronomy!J40+Animal_Sci!J48+CommAgEd!J38+Entomology!J37+Grain_Sci!J48+Horticulture!J45+Plant_Path!J37</f>
        <v>1319793</v>
      </c>
      <c r="K38" s="261"/>
      <c r="L38" s="488">
        <f>Dean_Ag!L61+Ag_Econ!L41+Agronomy!L40+Animal_Sci!L48+CommAgEd!L38+Entomology!L37+Grain_Sci!L48+Horticulture!L45+Plant_Path!L37</f>
        <v>997955</v>
      </c>
      <c r="M38" s="261"/>
      <c r="N38" s="219">
        <f>Dean_Ag!N61+Ag_Econ!N41+Agronomy!N40+Animal_Sci!N48+CommAgEd!N38+Entomology!N37+Grain_Sci!N48+Horticulture!N45+Plant_Path!N37</f>
        <v>1361898</v>
      </c>
      <c r="O38" s="231" t="s">
        <v>23</v>
      </c>
      <c r="P38" s="219">
        <f>Dean_Ag!P61+Ag_Econ!P41+Agronomy!P40+Animal_Sci!P48+CommAgEd!P38+Entomology!P37+Grain_Sci!P48+Horticulture!P45+Plant_Path!P37</f>
        <v>1357463</v>
      </c>
      <c r="Q38" s="231" t="s">
        <v>23</v>
      </c>
      <c r="R38" s="219">
        <f>Dean_Ag!R61+Ag_Econ!R41+Agronomy!R40+Animal_Sci!R48+CommAgEd!R38+Entomology!R37+Grain_Sci!R48+Horticulture!R45+Plant_Path!R37</f>
        <v>1408479</v>
      </c>
      <c r="S38" s="231" t="s">
        <v>23</v>
      </c>
      <c r="T38" s="219">
        <f>Dean_Ag!T61+Ag_Econ!T41+Agronomy!T40+Animal_Sci!T48+CommAgEd!T38+Entomology!T37+Grain_Sci!T48+Horticulture!T45+Plant_Path!T37</f>
        <v>1460527</v>
      </c>
      <c r="U38" s="231" t="s">
        <v>23</v>
      </c>
      <c r="V38" s="219">
        <f>Dean_Ag!V61+Ag_Econ!V41+Agronomy!V40+Animal_Sci!V48+CommAgEd!V38+Entomology!V37+Grain_Sci!V48+Horticulture!V45+Plant_Path!V37</f>
        <v>3082704</v>
      </c>
      <c r="W38" s="231" t="s">
        <v>23</v>
      </c>
      <c r="X38" s="219">
        <f>Dean_Ag!X61+Ag_Econ!X41+Agronomy!X40+Animal_Sci!X48+CommAgEd!X38+Entomology!X37+Grain_Sci!X48+Horticulture!X45+Plant_Path!X37</f>
        <v>3408315</v>
      </c>
      <c r="Y38" s="231" t="s">
        <v>23</v>
      </c>
      <c r="Z38" s="1353">
        <f>Dean_Ag!Z61+Ag_Econ!Z41+Agronomy!Z40+Animal_Sci!Z48+CommAgEd!Z38+Entomology!Z37+Grain_Sci!Z48+Horticulture!Z45+Plant_Path!Z37</f>
        <v>3869130</v>
      </c>
      <c r="AA38" s="657"/>
      <c r="AB38" s="748"/>
      <c r="AC38" s="746">
        <f>AVERAGE(X38,V38,T38,R38,Z38)</f>
        <v>2645831</v>
      </c>
    </row>
    <row r="39" spans="1:42" s="2" customFormat="1" x14ac:dyDescent="0.2">
      <c r="A39" s="3"/>
      <c r="B39" s="1046" t="s">
        <v>200</v>
      </c>
      <c r="C39" s="141"/>
      <c r="D39" s="140">
        <f>Dean_Ag!D62+Ag_Econ!D42+Agronomy!D41+Animal_Sci!D49+CommAgEd!D39+Entomology!D38+Grain_Sci!D49+Horticulture!D46+Plant_Path!D38</f>
        <v>7612476</v>
      </c>
      <c r="E39" s="141"/>
      <c r="F39" s="154">
        <f>Dean_Ag!F62+Ag_Econ!F42+Agronomy!F41+Animal_Sci!F49+CommAgEd!F39+Entomology!F38+Grain_Sci!F49+Horticulture!F46+Plant_Path!F38</f>
        <v>8511790</v>
      </c>
      <c r="G39" s="264"/>
      <c r="H39" s="390">
        <f>Dean_Ag!H62+Ag_Econ!H42+Agronomy!H41+Animal_Sci!H49+CommAgEd!H39+Entomology!H38+Grain_Sci!H49+Horticulture!H46+Plant_Path!H38</f>
        <v>9566544</v>
      </c>
      <c r="I39" s="388"/>
      <c r="J39" s="493">
        <f>Dean_Ag!J62+Ag_Econ!J42+Agronomy!J41+Animal_Sci!J49+CommAgEd!J39+Entomology!J38+Grain_Sci!J49+Horticulture!J46+Plant_Path!J38</f>
        <v>10109456</v>
      </c>
      <c r="K39" s="264"/>
      <c r="L39" s="493">
        <f>+L38+L36</f>
        <v>10106887</v>
      </c>
      <c r="M39" s="264"/>
      <c r="N39" s="390">
        <f>+N38+N36</f>
        <v>11154265</v>
      </c>
      <c r="O39" s="388"/>
      <c r="P39" s="390">
        <f>+P38+P36</f>
        <v>12101296</v>
      </c>
      <c r="Q39" s="388"/>
      <c r="R39" s="390">
        <f>+R38+R36</f>
        <v>13228891</v>
      </c>
      <c r="S39" s="388"/>
      <c r="T39" s="390">
        <f>+T38+T36</f>
        <v>15144127</v>
      </c>
      <c r="U39" s="388"/>
      <c r="V39" s="390">
        <f>Dean_Ag!V62+Ag_Econ!V42+Agronomy!V41+Animal_Sci!V49+CommAgEd!V39+Entomology!V38+Grain_Sci!V49+Horticulture!V46+Plant_Path!V38</f>
        <v>17832661</v>
      </c>
      <c r="W39" s="388"/>
      <c r="X39" s="390">
        <f>Dean_Ag!X62+Ag_Econ!X42+Agronomy!X41+Animal_Sci!X49+CommAgEd!X39+Entomology!X38+Grain_Sci!X49+Horticulture!X46+Plant_Path!X38</f>
        <v>22061304</v>
      </c>
      <c r="Y39" s="388"/>
      <c r="Z39" s="1417">
        <f>Dean_Ag!Z62+Ag_Econ!Z42+Agronomy!Z41+Animal_Sci!Z49+CommAgEd!Z39+Entomology!Z38+Grain_Sci!Z49+Horticulture!Z46+Plant_Path!Z38</f>
        <v>23179567</v>
      </c>
      <c r="AA39" s="861"/>
      <c r="AB39" s="16"/>
      <c r="AC39" s="804">
        <f>AVERAGE(X39,V39,T39,R39,Z39)</f>
        <v>18289310</v>
      </c>
    </row>
    <row r="40" spans="1:42" x14ac:dyDescent="0.2">
      <c r="A40" s="3"/>
      <c r="B40" s="1043" t="s">
        <v>61</v>
      </c>
      <c r="C40" s="134"/>
      <c r="D40" s="139"/>
      <c r="E40" s="134"/>
      <c r="F40" s="153"/>
      <c r="G40" s="261"/>
      <c r="H40" s="219"/>
      <c r="I40" s="231"/>
      <c r="J40" s="488"/>
      <c r="K40" s="261"/>
      <c r="L40" s="488"/>
      <c r="M40" s="261"/>
      <c r="N40" s="219"/>
      <c r="O40" s="231"/>
      <c r="P40" s="219"/>
      <c r="Q40" s="231"/>
      <c r="R40" s="219"/>
      <c r="S40" s="231"/>
      <c r="T40" s="219"/>
      <c r="U40" s="231"/>
      <c r="V40" s="219">
        <f>Dean_Ag!V63+Ag_Econ!V43+Agronomy!V42+Animal_Sci!V50+CommAgEd!V40+Entomology!V39+Grain_Sci!V50+Horticulture!V47+Plant_Path!V39</f>
        <v>0</v>
      </c>
      <c r="W40" s="231"/>
      <c r="X40" s="219">
        <f>Dean_Ag!X63+Ag_Econ!X43+Agronomy!X42+Animal_Sci!X50+CommAgEd!X40+Entomology!X39+Grain_Sci!X50+Horticulture!X47+Plant_Path!X39</f>
        <v>0</v>
      </c>
      <c r="Y40" s="231"/>
      <c r="Z40" s="1353">
        <f>Dean_Ag!Z63+Ag_Econ!Z43+Agronomy!Z42+Animal_Sci!Z50+CommAgEd!Z40+Entomology!Z39+Grain_Sci!Z50+Horticulture!Z47+Plant_Path!Z39</f>
        <v>0</v>
      </c>
      <c r="AA40" s="657"/>
      <c r="AB40" s="7"/>
      <c r="AC40" s="746">
        <f t="shared" ref="AC40" si="6">AVERAGE(V40,T40,R40,P40,X40)</f>
        <v>0</v>
      </c>
    </row>
    <row r="41" spans="1:42" x14ac:dyDescent="0.2">
      <c r="A41" s="3"/>
      <c r="B41" s="1044" t="s">
        <v>59</v>
      </c>
      <c r="C41" s="134"/>
      <c r="D41" s="139">
        <f>Dean_Ag!D64+Ag_Econ!D44+Agronomy!D43+Animal_Sci!D51+CommAgEd!D41+Entomology!D40+Grain_Sci!D51+Horticulture!D48+Plant_Path!D40</f>
        <v>26555512</v>
      </c>
      <c r="E41" s="134"/>
      <c r="F41" s="153">
        <f>Dean_Ag!F64+Ag_Econ!F44+Agronomy!F43+Animal_Sci!F51+CommAgEd!F41+Entomology!F40+Grain_Sci!F51+Horticulture!F48+Plant_Path!F40</f>
        <v>27966946</v>
      </c>
      <c r="G41" s="261"/>
      <c r="H41" s="219">
        <f>Dean_Ag!H64+Ag_Econ!H44+Agronomy!H43+Animal_Sci!H51+CommAgEd!H41+Entomology!H40+Grain_Sci!H51+Horticulture!H48+Plant_Path!H40</f>
        <v>28356491</v>
      </c>
      <c r="I41" s="231"/>
      <c r="J41" s="488">
        <f>Dean_Ag!J64+Ag_Econ!J44+Agronomy!J43+Animal_Sci!J51+CommAgEd!J41+Entomology!J40+Grain_Sci!J51+Horticulture!J48+Plant_Path!J40</f>
        <v>31971166</v>
      </c>
      <c r="K41" s="261"/>
      <c r="L41" s="488">
        <f>Dean_Ag!L64+Ag_Econ!L44+Agronomy!L43+Animal_Sci!L51+CommAgEd!L41+Entomology!L40+Grain_Sci!L51+Horticulture!L48+Plant_Path!L40</f>
        <v>33607034</v>
      </c>
      <c r="M41" s="261"/>
      <c r="N41" s="219">
        <f>Dean_Ag!N64+Ag_Econ!N44+Agronomy!N43+Animal_Sci!N51+CommAgEd!N41+Entomology!N40+Grain_Sci!N51+Horticulture!N48+Plant_Path!N40</f>
        <v>34616529</v>
      </c>
      <c r="O41" s="231"/>
      <c r="P41" s="219">
        <f>Dean_Ag!P64+Ag_Econ!P44+Agronomy!P43+Animal_Sci!P51+CommAgEd!P41+Entomology!P40+Grain_Sci!P51+Horticulture!P48+Plant_Path!P40</f>
        <v>31914939</v>
      </c>
      <c r="Q41" s="231"/>
      <c r="R41" s="219">
        <f>Dean_Ag!R64+Ag_Econ!R44+Agronomy!R43+Animal_Sci!R51+CommAgEd!R41+Entomology!R40+Grain_Sci!R51+Horticulture!R48+Plant_Path!R40</f>
        <v>31462536</v>
      </c>
      <c r="S41" s="231"/>
      <c r="T41" s="219">
        <f>Dean_Ag!T64+Ag_Econ!T44+Agronomy!T43+Animal_Sci!T51+CommAgEd!T41+Entomology!T40+Grain_Sci!T51+Horticulture!T48+Plant_Path!T40</f>
        <v>30483796</v>
      </c>
      <c r="U41" s="231"/>
      <c r="V41" s="219">
        <f>Dean_Ag!V64+Ag_Econ!V44+Agronomy!V43+Animal_Sci!V51+CommAgEd!V41+Entomology!V40+Grain_Sci!V51+Horticulture!V48+Plant_Path!V40</f>
        <v>30857829</v>
      </c>
      <c r="W41" s="231"/>
      <c r="X41" s="219">
        <f>Dean_Ag!X64+Ag_Econ!X44+Agronomy!X43+Animal_Sci!X51+CommAgEd!X41+Entomology!X40+Grain_Sci!X51+Horticulture!X48+Plant_Path!X40</f>
        <v>27393300</v>
      </c>
      <c r="Y41" s="231"/>
      <c r="Z41" s="1353">
        <f>Dean_Ag!Z64+Ag_Econ!Z44+Agronomy!Z43+Animal_Sci!Z51+CommAgEd!Z41+Entomology!Z40+Grain_Sci!Z51+Horticulture!Z48+Plant_Path!Z40</f>
        <v>28935257</v>
      </c>
      <c r="AA41" s="657"/>
      <c r="AC41" s="746">
        <f>AVERAGE(X41,V41,T41,R41,Z41)</f>
        <v>29826543.600000001</v>
      </c>
      <c r="AD41" s="24"/>
      <c r="AE41" s="24"/>
      <c r="AF41" s="24"/>
      <c r="AG41" s="24"/>
      <c r="AH41" s="24"/>
      <c r="AI41" s="24"/>
      <c r="AJ41" s="24"/>
      <c r="AK41" s="24"/>
      <c r="AL41" s="24"/>
      <c r="AM41" s="24"/>
      <c r="AN41" s="24"/>
      <c r="AO41" s="24"/>
      <c r="AP41" s="24"/>
    </row>
    <row r="42" spans="1:42" x14ac:dyDescent="0.2">
      <c r="A42" s="3"/>
      <c r="B42" s="1044" t="s">
        <v>196</v>
      </c>
      <c r="C42" s="134"/>
      <c r="D42" s="139"/>
      <c r="E42" s="134"/>
      <c r="F42" s="153"/>
      <c r="G42" s="261"/>
      <c r="H42" s="219">
        <f>Dean_Ag!H65+Ag_Econ!H45+Agronomy!H44+Animal_Sci!H52+CommAgEd!H42+Entomology!H41+Grain_Sci!H52+Horticulture!H49+Plant_Path!H41</f>
        <v>0</v>
      </c>
      <c r="I42" s="231"/>
      <c r="J42" s="488">
        <f>Dean_Ag!J65+Ag_Econ!J45+Agronomy!J44+Animal_Sci!J52+CommAgEd!J42+Entomology!J41+Grain_Sci!J52+Horticulture!J49+Plant_Path!J41</f>
        <v>729915</v>
      </c>
      <c r="K42" s="261"/>
      <c r="L42" s="488">
        <f>Dean_Ag!L65+Ag_Econ!L45+Agronomy!L44+Animal_Sci!L52+CommAgEd!L42+Entomology!L41+Grain_Sci!L52+Horticulture!L49+Plant_Path!L41</f>
        <v>230104</v>
      </c>
      <c r="M42" s="261"/>
      <c r="N42" s="219">
        <f>Dean_Ag!N65+Ag_Econ!N45+Agronomy!N44+Animal_Sci!N52+CommAgEd!N42+Entomology!N41+Grain_Sci!N52+Horticulture!N49+Plant_Path!N41</f>
        <v>424740</v>
      </c>
      <c r="O42" s="231"/>
      <c r="P42" s="219">
        <f>Dean_Ag!P65+Ag_Econ!P45+Agronomy!P44+Animal_Sci!P52+CommAgEd!P42+Entomology!P41+Grain_Sci!P52+Horticulture!P49+Plant_Path!P41</f>
        <v>326488</v>
      </c>
      <c r="Q42" s="231"/>
      <c r="R42" s="219">
        <f>Dean_Ag!R65+Ag_Econ!R45+Agronomy!R44+Animal_Sci!R52+CommAgEd!R42+Entomology!R41+Grain_Sci!R52+Horticulture!R49+Plant_Path!R41</f>
        <v>427653</v>
      </c>
      <c r="S42" s="231"/>
      <c r="T42" s="219">
        <f>Dean_Ag!T65+Ag_Econ!T45+Agronomy!T44+Animal_Sci!T52+CommAgEd!T42+Entomology!T41+Grain_Sci!T52+Horticulture!T49+Plant_Path!T41</f>
        <v>428799</v>
      </c>
      <c r="U42" s="231"/>
      <c r="V42" s="219">
        <f>Dean_Ag!V65+Ag_Econ!V45+Agronomy!V44+Animal_Sci!V52+CommAgEd!V42+Entomology!V41+Grain_Sci!V52+Horticulture!V49+Plant_Path!V41</f>
        <v>429806</v>
      </c>
      <c r="W42" s="231"/>
      <c r="X42" s="219">
        <f>Dean_Ag!X65+Ag_Econ!X45+Agronomy!X44+Animal_Sci!X52+CommAgEd!X42+Entomology!X41+Grain_Sci!X52+Horticulture!X49+Plant_Path!X41</f>
        <v>429470</v>
      </c>
      <c r="Y42" s="231"/>
      <c r="Z42" s="1353">
        <f>Dean_Ag!Z65+Ag_Econ!Z45+Agronomy!Z44+Animal_Sci!Z52+CommAgEd!Z42+Entomology!Z41+Grain_Sci!Z52+Horticulture!Z49+Plant_Path!Z41</f>
        <v>430355</v>
      </c>
      <c r="AA42" s="657"/>
      <c r="AB42" s="748"/>
      <c r="AC42" s="746">
        <f>AVERAGE(X42,V42,T42,R42,Z42)</f>
        <v>429216.6</v>
      </c>
      <c r="AD42" s="24"/>
      <c r="AE42" s="24"/>
      <c r="AF42" s="24"/>
      <c r="AG42" s="24"/>
      <c r="AH42" s="24"/>
      <c r="AI42" s="24"/>
      <c r="AJ42" s="24"/>
      <c r="AK42" s="24"/>
      <c r="AL42" s="24"/>
      <c r="AM42" s="24"/>
      <c r="AN42" s="24"/>
      <c r="AO42" s="24"/>
      <c r="AP42" s="24"/>
    </row>
    <row r="43" spans="1:42" ht="23.25" customHeight="1" x14ac:dyDescent="0.2">
      <c r="A43" s="3"/>
      <c r="B43" s="1045" t="s">
        <v>198</v>
      </c>
      <c r="C43" s="134"/>
      <c r="D43" s="139">
        <f>Dean_Ag!D66+Ag_Econ!D46+Agronomy!D45+Animal_Sci!D53+CommAgEd!D43+Entomology!D42+Grain_Sci!D53+Horticulture!D50+Plant_Path!D42</f>
        <v>13238705</v>
      </c>
      <c r="E43" s="134"/>
      <c r="F43" s="153">
        <f>Dean_Ag!F66+Ag_Econ!F46+Agronomy!F45+Animal_Sci!F53+CommAgEd!F43+Entomology!F42+Grain_Sci!F53+Horticulture!F50+Plant_Path!F42</f>
        <v>11157590</v>
      </c>
      <c r="G43" s="261"/>
      <c r="H43" s="219">
        <f>Dean_Ag!H66+Ag_Econ!H46+Agronomy!H45+Animal_Sci!H53+CommAgEd!H43+Entomology!H42+Grain_Sci!H53+Horticulture!H50+Plant_Path!H42</f>
        <v>10936509</v>
      </c>
      <c r="I43" s="231"/>
      <c r="J43" s="488">
        <f>Dean_Ag!J66+Ag_Econ!J46+Agronomy!J45+Animal_Sci!J53+CommAgEd!J43+Entomology!J42+Grain_Sci!J53+Horticulture!J50+Plant_Path!J42</f>
        <v>25892448</v>
      </c>
      <c r="K43" s="261"/>
      <c r="L43" s="488">
        <f>Dean_Ag!L66+Ag_Econ!L46+Agronomy!L45+Animal_Sci!L53+CommAgEd!L43+Entomology!L42+Grain_Sci!L53+Horticulture!L50+Plant_Path!L42</f>
        <v>25916600</v>
      </c>
      <c r="M43" s="261"/>
      <c r="N43" s="219">
        <f>Dean_Ag!N66+Ag_Econ!N46+Agronomy!N45+Animal_Sci!N53+CommAgEd!N43+Entomology!N42+Grain_Sci!N53+Horticulture!N50+Plant_Path!N42</f>
        <v>20724139</v>
      </c>
      <c r="O43" s="231"/>
      <c r="P43" s="219">
        <f>Dean_Ag!P66+Ag_Econ!P46+Agronomy!P45+Animal_Sci!P53+CommAgEd!P43+Entomology!P42+Grain_Sci!P53+Horticulture!P50+Plant_Path!P42</f>
        <v>17469370</v>
      </c>
      <c r="Q43" s="231"/>
      <c r="R43" s="219">
        <f>Dean_Ag!R66+Ag_Econ!R46+Agronomy!R45+Animal_Sci!R53+CommAgEd!R43+Entomology!R42+Grain_Sci!R53+Horticulture!R50+Plant_Path!R42</f>
        <v>17510725</v>
      </c>
      <c r="S43" s="231"/>
      <c r="T43" s="219">
        <f>Dean_Ag!T66+Ag_Econ!T46+Agronomy!T45+Animal_Sci!T53+CommAgEd!T43+Entomology!T42+Grain_Sci!T53+Horticulture!T50+Plant_Path!T42</f>
        <v>20615954</v>
      </c>
      <c r="U43" s="231"/>
      <c r="V43" s="219">
        <f>Dean_Ag!V66+Ag_Econ!V46+Agronomy!V45+Animal_Sci!V53+CommAgEd!V43+Entomology!V42+Grain_Sci!V53+Horticulture!V50+Plant_Path!V42</f>
        <v>22586991</v>
      </c>
      <c r="W43" s="231"/>
      <c r="X43" s="219">
        <f>Dean_Ag!X66+Ag_Econ!X46+Agronomy!X45+Animal_Sci!X53+CommAgEd!X43+Entomology!X42+Grain_Sci!X53+Horticulture!X50+Plant_Path!X42</f>
        <v>28904190</v>
      </c>
      <c r="Y43" s="231"/>
      <c r="Z43" s="1353">
        <f>Dean_Ag!Z66+Ag_Econ!Z46+Agronomy!Z45+Animal_Sci!Z53+CommAgEd!Z43+Entomology!Z42+Grain_Sci!Z53+Horticulture!Z50+Plant_Path!Z42</f>
        <v>29302912</v>
      </c>
      <c r="AA43" s="657"/>
      <c r="AB43" s="748"/>
      <c r="AC43" s="746">
        <f>AVERAGE(X43,V43,T43,R43,Z43)</f>
        <v>23784154.399999999</v>
      </c>
      <c r="AD43" s="316"/>
      <c r="AE43" s="24"/>
      <c r="AF43" s="316"/>
      <c r="AG43" s="24"/>
      <c r="AH43" s="316"/>
      <c r="AI43" s="235"/>
      <c r="AJ43" s="317"/>
      <c r="AK43" s="24"/>
      <c r="AL43" s="24"/>
      <c r="AM43" s="24"/>
      <c r="AN43" s="24"/>
      <c r="AO43" s="24"/>
      <c r="AP43" s="24"/>
    </row>
    <row r="44" spans="1:42" s="2" customFormat="1" ht="12.75" customHeight="1" thickBot="1" x14ac:dyDescent="0.25">
      <c r="A44" s="3"/>
      <c r="B44" s="1070" t="s">
        <v>199</v>
      </c>
      <c r="C44" s="1204"/>
      <c r="D44" s="1205">
        <f>Dean_Ag!D67+Ag_Econ!D47+Agronomy!D46+Animal_Sci!D54+CommAgEd!D44+Entomology!D43+Grain_Sci!D54+Horticulture!D51+Plant_Path!D43</f>
        <v>39794217</v>
      </c>
      <c r="E44" s="1204"/>
      <c r="F44" s="1206">
        <f>Dean_Ag!F67+Ag_Econ!F47+Agronomy!F46+Animal_Sci!F54+CommAgEd!F44+Entomology!F43+Grain_Sci!F54+Horticulture!F51+Plant_Path!F43</f>
        <v>39124536</v>
      </c>
      <c r="G44" s="1207"/>
      <c r="H44" s="1208">
        <f>Dean_Ag!H67+Ag_Econ!H47+Agronomy!H46+Animal_Sci!H54+CommAgEd!H44+Entomology!H43+Grain_Sci!H54+Horticulture!H51+Plant_Path!H43</f>
        <v>39293000</v>
      </c>
      <c r="I44" s="1209"/>
      <c r="J44" s="1210">
        <f>Dean_Ag!J67+Ag_Econ!J47+Agronomy!J46+Animal_Sci!J54+CommAgEd!J44+Entomology!J43+Grain_Sci!J54+Horticulture!J51+Plant_Path!J43</f>
        <v>58593529</v>
      </c>
      <c r="K44" s="1207"/>
      <c r="L44" s="1210">
        <f>+L43+L41+L42</f>
        <v>59753738</v>
      </c>
      <c r="M44" s="1207"/>
      <c r="N44" s="1208">
        <f>+N43+N41+N42</f>
        <v>55765408</v>
      </c>
      <c r="O44" s="1209"/>
      <c r="P44" s="1210">
        <f>+P43+P41+P42</f>
        <v>49710797</v>
      </c>
      <c r="Q44" s="1207"/>
      <c r="R44" s="1208">
        <f>+R43+R41+R42</f>
        <v>49400914</v>
      </c>
      <c r="S44" s="1209"/>
      <c r="T44" s="1208">
        <f>+T43+T41+T42</f>
        <v>51528549</v>
      </c>
      <c r="U44" s="1209"/>
      <c r="V44" s="1208">
        <f>Dean_Ag!V67+Ag_Econ!V47+Agronomy!V46+Animal_Sci!V54+CommAgEd!V44+Entomology!V43+Grain_Sci!V54+Horticulture!V51+Plant_Path!V43</f>
        <v>53874626</v>
      </c>
      <c r="W44" s="1209"/>
      <c r="X44" s="1208">
        <f>Dean_Ag!X67+Ag_Econ!X47+Agronomy!X46+Animal_Sci!X54+CommAgEd!X44+Entomology!X43+Grain_Sci!X54+Horticulture!X51+Plant_Path!X43</f>
        <v>56726960</v>
      </c>
      <c r="Y44" s="1209"/>
      <c r="Z44" s="1418">
        <f>Dean_Ag!Z67+Ag_Econ!Z47+Agronomy!Z46+Animal_Sci!Z54+CommAgEd!Z44+Entomology!Z43+Grain_Sci!Z54+Horticulture!Z51+Plant_Path!Z43</f>
        <v>58668524</v>
      </c>
      <c r="AA44" s="657"/>
      <c r="AB44" s="1076"/>
      <c r="AC44" s="1192">
        <f>AVERAGE(X44,V44,T44,R44,Z44)</f>
        <v>54039914.600000001</v>
      </c>
      <c r="AD44" s="316"/>
      <c r="AE44" s="24"/>
      <c r="AF44" s="316"/>
      <c r="AG44" s="24"/>
      <c r="AH44" s="316"/>
      <c r="AI44" s="235"/>
      <c r="AJ44" s="317"/>
      <c r="AK44" s="61"/>
      <c r="AL44" s="61"/>
      <c r="AM44" s="61"/>
      <c r="AN44" s="61"/>
      <c r="AO44" s="61"/>
      <c r="AP44" s="61"/>
    </row>
    <row r="45" spans="1:42" s="2" customFormat="1" ht="16.5" customHeight="1" x14ac:dyDescent="0.2">
      <c r="A45" s="3"/>
      <c r="B45" s="1321" t="s">
        <v>112</v>
      </c>
      <c r="C45" s="132"/>
      <c r="D45" s="139">
        <f>D39+D44</f>
        <v>47406693</v>
      </c>
      <c r="E45" s="132"/>
      <c r="F45" s="153">
        <f>F39+F44</f>
        <v>47636326</v>
      </c>
      <c r="G45" s="260"/>
      <c r="H45" s="219">
        <f>H39+H44</f>
        <v>48859544</v>
      </c>
      <c r="I45" s="387"/>
      <c r="J45" s="488">
        <f>J39+J44</f>
        <v>68702985</v>
      </c>
      <c r="K45" s="260"/>
      <c r="L45" s="488">
        <f>L39+L44</f>
        <v>69860625</v>
      </c>
      <c r="M45" s="260"/>
      <c r="N45" s="219">
        <f>N39+N44</f>
        <v>66919673</v>
      </c>
      <c r="O45" s="387"/>
      <c r="P45" s="219">
        <f>P39+P44</f>
        <v>61812093</v>
      </c>
      <c r="Q45" s="387"/>
      <c r="R45" s="219">
        <f>R39+R44</f>
        <v>62629805</v>
      </c>
      <c r="S45" s="387"/>
      <c r="T45" s="219">
        <f>T39+T44</f>
        <v>66672676</v>
      </c>
      <c r="U45" s="387"/>
      <c r="V45" s="219">
        <f>Dean_Ag!V68+Ag_Econ!V48+Agronomy!V47+Animal_Sci!V55+CommAgEd!V45+Entomology!V44+Grain_Sci!V55+Horticulture!V52+Plant_Path!V44</f>
        <v>71707287</v>
      </c>
      <c r="W45" s="387"/>
      <c r="X45" s="219">
        <f>Dean_Ag!X68+Ag_Econ!X48+Agronomy!X47+Animal_Sci!X55+CommAgEd!X45+Entomology!X44+Grain_Sci!X55+Horticulture!X52+Plant_Path!X44</f>
        <v>78788264</v>
      </c>
      <c r="Y45" s="387"/>
      <c r="Z45" s="1353">
        <f>Dean_Ag!Z68+Ag_Econ!Z48+Agronomy!Z47+Animal_Sci!Z55+CommAgEd!Z45+Entomology!Z44+Grain_Sci!Z55+Horticulture!Z52+Plant_Path!Z44</f>
        <v>81848091</v>
      </c>
      <c r="AA45" s="657"/>
      <c r="AB45" s="744"/>
      <c r="AC45" s="1011">
        <f>AVERAGE(X45,V45,T45,R45,Z45)</f>
        <v>72329224.599999994</v>
      </c>
      <c r="AD45" s="316"/>
      <c r="AE45" s="24"/>
      <c r="AF45" s="316"/>
      <c r="AG45" s="24"/>
      <c r="AH45" s="316"/>
      <c r="AI45" s="235"/>
      <c r="AJ45" s="317"/>
      <c r="AK45" s="61"/>
      <c r="AL45" s="61"/>
      <c r="AM45" s="61"/>
      <c r="AN45" s="61"/>
      <c r="AO45" s="61"/>
      <c r="AP45" s="61"/>
    </row>
    <row r="46" spans="1:42" s="2" customFormat="1" ht="12" customHeight="1" x14ac:dyDescent="0.2">
      <c r="A46" s="3"/>
      <c r="B46" s="1044"/>
      <c r="C46" s="141"/>
      <c r="D46" s="140"/>
      <c r="E46" s="141"/>
      <c r="F46" s="154"/>
      <c r="G46" s="264"/>
      <c r="H46" s="390"/>
      <c r="I46" s="388"/>
      <c r="J46" s="493"/>
      <c r="K46" s="264"/>
      <c r="L46" s="493"/>
      <c r="M46" s="264"/>
      <c r="N46" s="390"/>
      <c r="O46" s="388"/>
      <c r="P46" s="390"/>
      <c r="Q46" s="388"/>
      <c r="R46" s="390"/>
      <c r="S46" s="388"/>
      <c r="T46" s="390"/>
      <c r="U46" s="388"/>
      <c r="V46" s="219"/>
      <c r="W46" s="388"/>
      <c r="X46" s="219"/>
      <c r="Y46" s="388"/>
      <c r="Z46" s="1353"/>
      <c r="AA46" s="657"/>
      <c r="AB46" s="748"/>
      <c r="AC46" s="746"/>
      <c r="AD46" s="316"/>
      <c r="AE46" s="24"/>
      <c r="AF46" s="316"/>
      <c r="AG46" s="24"/>
      <c r="AH46" s="316"/>
      <c r="AI46" s="235"/>
      <c r="AJ46" s="317"/>
      <c r="AK46" s="61"/>
      <c r="AL46" s="61"/>
      <c r="AM46" s="61"/>
      <c r="AN46" s="61"/>
      <c r="AO46" s="61"/>
      <c r="AP46" s="61"/>
    </row>
    <row r="47" spans="1:42" s="2" customFormat="1" ht="12" customHeight="1" x14ac:dyDescent="0.2">
      <c r="A47" s="3"/>
      <c r="B47" s="1321" t="s">
        <v>113</v>
      </c>
      <c r="C47" s="134"/>
      <c r="D47" s="139">
        <f>62238844-D45</f>
        <v>14832151</v>
      </c>
      <c r="E47" s="134"/>
      <c r="F47" s="153">
        <f>70308802-F45</f>
        <v>22672476</v>
      </c>
      <c r="G47" s="261"/>
      <c r="H47" s="219">
        <f>79756834-H45</f>
        <v>30897290</v>
      </c>
      <c r="I47" s="388"/>
      <c r="J47" s="488">
        <v>10393823</v>
      </c>
      <c r="K47" s="264"/>
      <c r="L47" s="488">
        <v>10979857</v>
      </c>
      <c r="M47" s="264"/>
      <c r="N47" s="219">
        <v>10859620</v>
      </c>
      <c r="O47" s="388"/>
      <c r="P47" s="219">
        <v>10376767</v>
      </c>
      <c r="Q47" s="388"/>
      <c r="R47" s="219">
        <v>10727994</v>
      </c>
      <c r="S47" s="388"/>
      <c r="T47" s="219">
        <v>11081982</v>
      </c>
      <c r="U47" s="388"/>
      <c r="V47" s="219">
        <v>11061484</v>
      </c>
      <c r="W47" s="388"/>
      <c r="X47" s="219">
        <f>90273308-X45</f>
        <v>11485044</v>
      </c>
      <c r="Y47" s="388"/>
      <c r="Z47" s="1353">
        <f>90273308-Z45</f>
        <v>8425217</v>
      </c>
      <c r="AA47" s="657"/>
      <c r="AB47" s="318"/>
      <c r="AC47" s="746">
        <f>AVERAGE(X47,V47,T47,R47,Z47)</f>
        <v>10556344.199999999</v>
      </c>
      <c r="AD47" s="316"/>
      <c r="AE47" s="24"/>
      <c r="AF47" s="316"/>
      <c r="AG47" s="24"/>
      <c r="AH47" s="316"/>
      <c r="AI47" s="235"/>
      <c r="AJ47" s="317"/>
      <c r="AK47" s="61"/>
      <c r="AL47" s="61"/>
      <c r="AM47" s="61"/>
      <c r="AN47" s="61"/>
      <c r="AO47" s="61"/>
      <c r="AP47" s="61"/>
    </row>
    <row r="48" spans="1:42" s="2" customFormat="1" ht="15.75" customHeight="1" x14ac:dyDescent="0.2">
      <c r="A48" s="3"/>
      <c r="B48" s="1046" t="s">
        <v>77</v>
      </c>
      <c r="C48" s="141"/>
      <c r="D48" s="140">
        <f>+D47+D45</f>
        <v>62238844</v>
      </c>
      <c r="E48" s="141"/>
      <c r="F48" s="140">
        <f>+F47+F45</f>
        <v>70308802</v>
      </c>
      <c r="G48" s="264"/>
      <c r="H48" s="140">
        <f>+H47+H45</f>
        <v>79756834</v>
      </c>
      <c r="I48" s="388"/>
      <c r="J48" s="140">
        <f>+J47+J45</f>
        <v>79096808</v>
      </c>
      <c r="K48" s="264"/>
      <c r="L48" s="493">
        <f>+L47+L45</f>
        <v>80840482</v>
      </c>
      <c r="M48" s="264"/>
      <c r="N48" s="390">
        <f>+N47+N45</f>
        <v>77779293</v>
      </c>
      <c r="O48" s="388"/>
      <c r="P48" s="390">
        <f>+P47+P45</f>
        <v>72188860</v>
      </c>
      <c r="Q48" s="388"/>
      <c r="R48" s="390">
        <f>+R47+R45</f>
        <v>73357799</v>
      </c>
      <c r="S48" s="388"/>
      <c r="T48" s="390">
        <f>+T47+T45</f>
        <v>77754658</v>
      </c>
      <c r="U48" s="493"/>
      <c r="V48" s="434">
        <f>+V47+V45</f>
        <v>82768771</v>
      </c>
      <c r="W48" s="493"/>
      <c r="X48" s="434">
        <f>+X47+X45</f>
        <v>90273308</v>
      </c>
      <c r="Y48" s="493"/>
      <c r="Z48" s="1348">
        <f>+Z47+Z45</f>
        <v>90273308</v>
      </c>
      <c r="AA48" s="657"/>
      <c r="AB48" s="748"/>
      <c r="AC48" s="804">
        <f>AVERAGE(X48,V48,T48,R48,Z48)</f>
        <v>82885568.799999997</v>
      </c>
      <c r="AD48" s="316"/>
      <c r="AE48" s="24"/>
      <c r="AF48" s="316"/>
      <c r="AG48" s="24"/>
      <c r="AH48" s="316"/>
      <c r="AI48" s="235"/>
      <c r="AJ48" s="317"/>
      <c r="AK48" s="61"/>
      <c r="AL48" s="61"/>
      <c r="AM48" s="61"/>
      <c r="AN48" s="61"/>
      <c r="AO48" s="61"/>
      <c r="AP48" s="61"/>
    </row>
    <row r="49" spans="1:42" s="2" customFormat="1" ht="15.75" customHeight="1" thickBot="1" x14ac:dyDescent="0.25">
      <c r="A49" s="3"/>
      <c r="B49" s="1322" t="s">
        <v>207</v>
      </c>
      <c r="C49" s="319"/>
      <c r="D49" s="320"/>
      <c r="E49" s="1157"/>
      <c r="F49" s="322"/>
      <c r="G49" s="391"/>
      <c r="H49" s="392"/>
      <c r="I49" s="321"/>
      <c r="J49" s="317"/>
      <c r="K49" s="391"/>
      <c r="L49" s="317"/>
      <c r="M49" s="391"/>
      <c r="N49" s="392"/>
      <c r="O49" s="321"/>
      <c r="P49" s="392"/>
      <c r="Q49" s="321"/>
      <c r="R49" s="392"/>
      <c r="S49" s="321"/>
      <c r="T49" s="392"/>
      <c r="U49" s="321"/>
      <c r="V49" s="392"/>
      <c r="W49" s="321"/>
      <c r="X49" s="392"/>
      <c r="Y49" s="321"/>
      <c r="Z49" s="1355"/>
      <c r="AA49" s="657"/>
      <c r="AB49" s="849"/>
      <c r="AC49" s="858"/>
      <c r="AD49" s="316"/>
      <c r="AE49" s="24"/>
      <c r="AF49" s="316"/>
      <c r="AG49" s="24"/>
      <c r="AH49" s="316"/>
      <c r="AI49" s="235"/>
      <c r="AJ49" s="317"/>
      <c r="AK49" s="61"/>
      <c r="AL49" s="61"/>
      <c r="AM49" s="61"/>
      <c r="AN49" s="61"/>
      <c r="AO49" s="61"/>
      <c r="AP49" s="61"/>
    </row>
    <row r="50" spans="1:42" ht="12" x14ac:dyDescent="0.2">
      <c r="B50" s="87" t="s">
        <v>205</v>
      </c>
      <c r="C50" s="27"/>
      <c r="D50" s="143"/>
      <c r="E50" s="142"/>
      <c r="F50" s="143"/>
      <c r="G50" s="265"/>
      <c r="H50" s="435"/>
      <c r="I50" s="265"/>
      <c r="J50" s="138"/>
      <c r="K50" s="265"/>
      <c r="L50" s="138"/>
      <c r="M50" s="265"/>
      <c r="N50" s="435"/>
      <c r="O50" s="138"/>
      <c r="P50" s="435"/>
      <c r="Q50" s="138"/>
      <c r="R50" s="435"/>
      <c r="S50" s="138"/>
      <c r="T50" s="435"/>
      <c r="U50" s="138"/>
      <c r="V50" s="435"/>
      <c r="W50" s="138"/>
      <c r="X50" s="435"/>
      <c r="Y50" s="138"/>
      <c r="Z50" s="236"/>
      <c r="AA50" s="657"/>
      <c r="AB50" s="24"/>
      <c r="AC50" s="1011"/>
      <c r="AD50" s="24"/>
    </row>
    <row r="51" spans="1:42" s="108" customFormat="1" ht="12" x14ac:dyDescent="0.2">
      <c r="B51" s="109" t="s">
        <v>209</v>
      </c>
      <c r="C51" s="889"/>
      <c r="D51" s="887">
        <f>Dean_Ag!D70+Ag_Econ!D50+Agronomy!D49+Animal_Sci!D57+CommAgEd!D47+Entomology!D46+Grain_Sci!D57+Horticulture!D54+Plant_Path!D46</f>
        <v>6966457</v>
      </c>
      <c r="E51" s="892"/>
      <c r="F51" s="887">
        <f>Dean_Ag!F70+Ag_Econ!F50+Agronomy!F49+Animal_Sci!F57+CommAgEd!F47+Entomology!F46+Grain_Sci!F57+Horticulture!F54+Plant_Path!F46</f>
        <v>7423512</v>
      </c>
      <c r="G51" s="893"/>
      <c r="H51" s="887">
        <f>Dean_Ag!H70+Ag_Econ!H50+Agronomy!H49+Animal_Sci!H57+CommAgEd!H47+Entomology!H46+Grain_Sci!H57+Horticulture!H54+Plant_Path!H46</f>
        <v>7980055.29</v>
      </c>
      <c r="I51" s="894"/>
      <c r="J51" s="887">
        <f>Dean_Ag!J70+Ag_Econ!J50+Agronomy!J49+Animal_Sci!J57+CommAgEd!J47+Entomology!J46+Grain_Sci!J57+Horticulture!J54+Plant_Path!J46</f>
        <v>8199894.9799999977</v>
      </c>
      <c r="K51" s="894"/>
      <c r="L51" s="895">
        <f>Dean_Ag!L70+Ag_Econ!L50+Agronomy!L49+Animal_Sci!L57+CommAgEd!L47+Entomology!L46+Grain_Sci!L57+Horticulture!L54+Plant_Path!L46</f>
        <v>8946226</v>
      </c>
      <c r="M51" s="894"/>
      <c r="N51" s="887">
        <f>Dean_Ag!N70+Agronomy!N49+Ag_Econ!N50+Animal_Sci!N57+CommAgEd!N47+Entomology!N46+Grain_Sci!N57+Horticulture!N54+Plant_Path!N46</f>
        <v>9048047</v>
      </c>
      <c r="O51" s="894"/>
      <c r="P51" s="887">
        <f>Dean_Ag!P70+Agronomy!P49+Ag_Econ!P50+Animal_Sci!P57+CommAgEd!P47+Entomology!P46+Grain_Sci!P57+Horticulture!P54+Plant_Path!P46</f>
        <v>8541546</v>
      </c>
      <c r="Q51" s="327"/>
      <c r="R51" s="887">
        <f>Dean_Ag!R70+Agronomy!R49+Ag_Econ!R50+Animal_Sci!R57+CommAgEd!R47+Entomology!R46+Grain_Sci!R57+Horticulture!R54+Plant_Path!R46</f>
        <v>8416238</v>
      </c>
      <c r="S51" s="327"/>
      <c r="T51" s="887">
        <f>Dean_Ag!T70+Agronomy!T49+Ag_Econ!T50+Animal_Sci!T57+CommAgEd!T47+Entomology!T46+Grain_Sci!T57+Horticulture!T54+Plant_Path!T46</f>
        <v>9112460.5399999991</v>
      </c>
      <c r="U51" s="327"/>
      <c r="V51" s="887">
        <f>Dean_Ag!V70+Agronomy!V49+Ag_Econ!V50+Animal_Sci!V57+CommAgEd!V47+Entomology!V46+Grain_Sci!V57+Horticulture!V54+Plant_Path!V46</f>
        <v>9934845</v>
      </c>
      <c r="W51" s="327"/>
      <c r="X51" s="887">
        <f>Dean_Ag!X70+Agronomy!X49+Ag_Econ!X50+Animal_Sci!X57+CommAgEd!X47+Entomology!X46+Grain_Sci!X57+Horticulture!X54+Plant_Path!X46</f>
        <v>10286863.18</v>
      </c>
      <c r="Y51" s="327"/>
      <c r="Z51" s="1414"/>
      <c r="AA51" s="862"/>
      <c r="AB51" s="1110"/>
      <c r="AC51" s="746">
        <f>AVERAGE(X51,V51,T51,R51,P51)</f>
        <v>9258390.5439999998</v>
      </c>
      <c r="AD51" s="865"/>
    </row>
    <row r="52" spans="1:42" s="108" customFormat="1" ht="12" x14ac:dyDescent="0.2">
      <c r="B52" s="111" t="s">
        <v>208</v>
      </c>
      <c r="C52" s="889"/>
      <c r="D52" s="887"/>
      <c r="E52" s="892"/>
      <c r="F52" s="887"/>
      <c r="G52" s="893"/>
      <c r="H52" s="887">
        <f>SUM(H53:H55)</f>
        <v>50701737</v>
      </c>
      <c r="I52" s="894"/>
      <c r="J52" s="887">
        <f>SUM(J53:J55)</f>
        <v>52008651</v>
      </c>
      <c r="K52" s="894"/>
      <c r="L52" s="887">
        <f>SUM(L53:L55)</f>
        <v>53705169</v>
      </c>
      <c r="M52" s="894"/>
      <c r="N52" s="887">
        <f>SUM(N53:N55)</f>
        <v>54202303</v>
      </c>
      <c r="O52" s="894"/>
      <c r="P52" s="887">
        <f>SUM(P53:P55)</f>
        <v>52544494</v>
      </c>
      <c r="Q52" s="327"/>
      <c r="R52" s="887">
        <f>SUM(R53:R55)</f>
        <v>54768835.690000005</v>
      </c>
      <c r="S52" s="327"/>
      <c r="T52" s="887">
        <f>SUM(T53:T55)</f>
        <v>56648106.5</v>
      </c>
      <c r="U52" s="327"/>
      <c r="V52" s="887">
        <f>SUM(V53:V55)</f>
        <v>58381507</v>
      </c>
      <c r="W52" s="327"/>
      <c r="X52" s="887">
        <f>SUM(X53:X55)</f>
        <v>49386387.650000006</v>
      </c>
      <c r="Y52" s="327"/>
      <c r="Z52" s="1414"/>
      <c r="AA52" s="862"/>
      <c r="AB52" s="1110"/>
      <c r="AC52" s="746">
        <f t="shared" ref="AC52:AC56" si="7">AVERAGE(X52,V52,T52,R52,P52)</f>
        <v>54345866.168000005</v>
      </c>
      <c r="AD52" s="865"/>
    </row>
    <row r="53" spans="1:42" s="108" customFormat="1" ht="12" x14ac:dyDescent="0.2">
      <c r="B53" s="1279" t="s">
        <v>211</v>
      </c>
      <c r="C53" s="110"/>
      <c r="D53" s="888">
        <f>Dean_Ag!D71+Ag_Econ!D51+Agronomy!D50+Animal_Sci!D58+CommAgEd!D48+Entomology!D47+Grain_Sci!D58+Horticulture!D55+Plant_Path!D47</f>
        <v>29145754</v>
      </c>
      <c r="E53" s="892"/>
      <c r="F53" s="890">
        <f>Dean_Ag!F71+Ag_Econ!F51+Agronomy!F50+Animal_Sci!F58+CommAgEd!F48+Entomology!F47+Grain_Sci!F58+Horticulture!F55+Plant_Path!F47</f>
        <v>29741373</v>
      </c>
      <c r="G53" s="893"/>
      <c r="H53" s="887">
        <f>Dean_Ag!H71+Ag_Econ!H51+Agronomy!H50+Animal_Sci!H58+CommAgEd!H48+Entomology!H47+Grain_Sci!H58+Horticulture!H55+Plant_Path!H47</f>
        <v>30484930</v>
      </c>
      <c r="I53" s="894"/>
      <c r="J53" s="887">
        <f>Dean_Ag!J71+Ag_Econ!J51+Agronomy!J50+Animal_Sci!J58+CommAgEd!J48+Entomology!J47+Grain_Sci!J58+Horticulture!J55+Plant_Path!J47</f>
        <v>31571923</v>
      </c>
      <c r="K53" s="894"/>
      <c r="L53" s="895">
        <f>Dean_Ag!L71+Ag_Econ!L51+Agronomy!L50+Animal_Sci!L58+CommAgEd!L48+Entomology!L47+Grain_Sci!L58+Horticulture!L55+Plant_Path!L47</f>
        <v>32791640</v>
      </c>
      <c r="M53" s="894"/>
      <c r="N53" s="887">
        <f>Dean_Ag!N71+Agronomy!N50+Ag_Econ!N51+Animal_Sci!N58+CommAgEd!N48+Entomology!N47+Grain_Sci!N58+Horticulture!N55+Plant_Path!N47</f>
        <v>34361428</v>
      </c>
      <c r="O53" s="894"/>
      <c r="P53" s="887">
        <f>Dean_Ag!P71+Agronomy!P50+Ag_Econ!P51+Animal_Sci!P58+CommAgEd!P48+Entomology!P47+Grain_Sci!P58+Horticulture!P55+Plant_Path!P47</f>
        <v>32811371</v>
      </c>
      <c r="Q53" s="327"/>
      <c r="R53" s="887">
        <f>Dean_Ag!R71+Agronomy!R50+Ag_Econ!R51+Animal_Sci!R58+CommAgEd!R48+Entomology!R47+Grain_Sci!R58+Horticulture!R55+Plant_Path!R47</f>
        <v>33024892.550000001</v>
      </c>
      <c r="S53" s="327"/>
      <c r="T53" s="887">
        <f>Dean_Ag!T71+Agronomy!T50+Ag_Econ!T51+Animal_Sci!T58+CommAgEd!T48+Entomology!T47+Grain_Sci!T58+Horticulture!T55+Plant_Path!T47</f>
        <v>33269626.200000003</v>
      </c>
      <c r="U53" s="327"/>
      <c r="V53" s="887">
        <f>Dean_Ag!V71+Agronomy!V50+Ag_Econ!V51+Animal_Sci!V58+CommAgEd!V48+Entomology!V47+Grain_Sci!V58+Horticulture!V55+Plant_Path!V47</f>
        <v>36784915</v>
      </c>
      <c r="W53" s="327"/>
      <c r="X53" s="887">
        <f>Dean_Ag!X71+Agronomy!X50+Ag_Econ!X51+Animal_Sci!X58+CommAgEd!X48+Entomology!X47+Grain_Sci!X58+Horticulture!X55+Plant_Path!X47</f>
        <v>37984051.57</v>
      </c>
      <c r="Y53" s="327"/>
      <c r="Z53" s="1414"/>
      <c r="AA53" s="862"/>
      <c r="AB53" s="866"/>
      <c r="AC53" s="746">
        <f t="shared" si="7"/>
        <v>34774971.263999999</v>
      </c>
      <c r="AD53" s="865"/>
    </row>
    <row r="54" spans="1:42" s="108" customFormat="1" ht="12" x14ac:dyDescent="0.2">
      <c r="B54" s="1280" t="s">
        <v>212</v>
      </c>
      <c r="C54" s="1269"/>
      <c r="D54" s="1270"/>
      <c r="E54" s="1271"/>
      <c r="F54" s="1272"/>
      <c r="G54" s="1273"/>
      <c r="H54" s="1274">
        <f>193014+9944308+2008968</f>
        <v>12146290</v>
      </c>
      <c r="I54" s="1275"/>
      <c r="J54" s="1276">
        <v>12536824</v>
      </c>
      <c r="K54" s="1275"/>
      <c r="L54" s="1276">
        <v>12812206</v>
      </c>
      <c r="M54" s="1275"/>
      <c r="N54" s="1277">
        <v>12466781</v>
      </c>
      <c r="O54" s="1278"/>
      <c r="P54" s="1277">
        <f>32821+29563+2003+26604+43474+225+130+965+12101552</f>
        <v>12237337</v>
      </c>
      <c r="Q54" s="811"/>
      <c r="R54" s="1277">
        <f>86373.44+13499708.49</f>
        <v>13586081.93</v>
      </c>
      <c r="S54" s="811"/>
      <c r="T54" s="1277">
        <f>14534126.27+81101.26</f>
        <v>14615227.529999999</v>
      </c>
      <c r="U54" s="811"/>
      <c r="V54" s="1277">
        <v>13763092</v>
      </c>
      <c r="W54" s="811"/>
      <c r="X54" s="1277">
        <f>782444.54+1542002.39+275217+667197.11+2055141.7</f>
        <v>5322002.7399999993</v>
      </c>
      <c r="Y54" s="811"/>
      <c r="Z54" s="1415"/>
      <c r="AA54" s="862"/>
      <c r="AB54" s="1113"/>
      <c r="AC54" s="746">
        <f t="shared" si="7"/>
        <v>11904748.239999998</v>
      </c>
      <c r="AD54" s="865"/>
      <c r="AE54" s="108" t="s">
        <v>23</v>
      </c>
    </row>
    <row r="55" spans="1:42" s="108" customFormat="1" ht="12" x14ac:dyDescent="0.2">
      <c r="B55" s="1280" t="s">
        <v>213</v>
      </c>
      <c r="C55" s="1269"/>
      <c r="D55" s="1270"/>
      <c r="E55" s="1271"/>
      <c r="F55" s="1272"/>
      <c r="G55" s="1273"/>
      <c r="H55" s="1274">
        <f>8066830+3687</f>
        <v>8070517</v>
      </c>
      <c r="I55" s="1275"/>
      <c r="J55" s="1276">
        <v>7899904</v>
      </c>
      <c r="K55" s="1275"/>
      <c r="L55" s="1276">
        <v>8101323</v>
      </c>
      <c r="M55" s="1275"/>
      <c r="N55" s="1277">
        <v>7374094</v>
      </c>
      <c r="O55" s="1278"/>
      <c r="P55" s="1277">
        <f>2342+59585+2366+4700+5971+9017+80074+3000+658870+133387+255242+34600+714924+2894353+1305238+1332117</f>
        <v>7495786</v>
      </c>
      <c r="Q55" s="811"/>
      <c r="R55" s="1277">
        <f>7897546.71+199349.77+51819.64+9145.09</f>
        <v>8157861.209999999</v>
      </c>
      <c r="S55" s="811"/>
      <c r="T55" s="1277">
        <f>8763252.77</f>
        <v>8763252.7699999996</v>
      </c>
      <c r="U55" s="811"/>
      <c r="V55" s="1277">
        <v>7833500</v>
      </c>
      <c r="W55" s="811"/>
      <c r="X55" s="1277">
        <f>299249.99+1729366.76+2168199.39+1579200.16+304317.04</f>
        <v>6080333.3400000008</v>
      </c>
      <c r="Y55" s="811"/>
      <c r="Z55" s="1415"/>
      <c r="AA55" s="862"/>
      <c r="AB55" s="1281"/>
      <c r="AC55" s="746">
        <f t="shared" si="7"/>
        <v>7666146.6639999999</v>
      </c>
      <c r="AD55" s="865"/>
      <c r="AE55" s="108" t="s">
        <v>23</v>
      </c>
    </row>
    <row r="56" spans="1:42" thickBot="1" x14ac:dyDescent="0.25">
      <c r="B56" s="1282" t="s">
        <v>210</v>
      </c>
      <c r="C56" s="19"/>
      <c r="D56" s="183"/>
      <c r="E56" s="144"/>
      <c r="F56" s="891"/>
      <c r="G56" s="577"/>
      <c r="H56" s="1284">
        <f>H51+H52</f>
        <v>58681792.289999999</v>
      </c>
      <c r="I56" s="1285"/>
      <c r="J56" s="1284">
        <f>J51+J52</f>
        <v>60208545.979999997</v>
      </c>
      <c r="K56" s="1285"/>
      <c r="L56" s="1284">
        <f>L51+L52</f>
        <v>62651395</v>
      </c>
      <c r="M56" s="1285"/>
      <c r="N56" s="1284">
        <f>N51+N52</f>
        <v>63250350</v>
      </c>
      <c r="O56" s="1286" t="s">
        <v>23</v>
      </c>
      <c r="P56" s="1284">
        <f>P51+P52</f>
        <v>61086040</v>
      </c>
      <c r="Q56" s="1286"/>
      <c r="R56" s="1284">
        <f>R51+R52</f>
        <v>63185073.690000005</v>
      </c>
      <c r="S56" s="1286"/>
      <c r="T56" s="1284">
        <f>T51+T52</f>
        <v>65760567.039999999</v>
      </c>
      <c r="U56" s="1286"/>
      <c r="V56" s="1284">
        <f>V51+V52</f>
        <v>68316352</v>
      </c>
      <c r="W56" s="1286"/>
      <c r="X56" s="1284">
        <f>X51+X52</f>
        <v>59673250.830000006</v>
      </c>
      <c r="Y56" s="1286"/>
      <c r="Z56" s="1416"/>
      <c r="AA56" s="861"/>
      <c r="AB56" s="1283"/>
      <c r="AC56" s="804">
        <f t="shared" si="7"/>
        <v>63604256.711999997</v>
      </c>
      <c r="AD56" s="24"/>
    </row>
    <row r="57" spans="1:42" ht="12" x14ac:dyDescent="0.2">
      <c r="B57" s="44"/>
      <c r="C57" s="874" t="s">
        <v>97</v>
      </c>
      <c r="D57" s="873" t="s">
        <v>104</v>
      </c>
      <c r="E57" s="872" t="s">
        <v>97</v>
      </c>
      <c r="F57" s="873" t="s">
        <v>104</v>
      </c>
      <c r="G57" s="870" t="s">
        <v>97</v>
      </c>
      <c r="H57" s="875" t="s">
        <v>104</v>
      </c>
      <c r="I57" s="876" t="s">
        <v>97</v>
      </c>
      <c r="J57" s="869" t="s">
        <v>104</v>
      </c>
      <c r="K57" s="870" t="s">
        <v>97</v>
      </c>
      <c r="L57" s="869" t="s">
        <v>104</v>
      </c>
      <c r="M57" s="870" t="s">
        <v>97</v>
      </c>
      <c r="N57" s="875" t="s">
        <v>104</v>
      </c>
      <c r="O57" s="876" t="s">
        <v>97</v>
      </c>
      <c r="P57" s="875" t="s">
        <v>104</v>
      </c>
      <c r="Q57" s="876" t="s">
        <v>97</v>
      </c>
      <c r="R57" s="875" t="s">
        <v>104</v>
      </c>
      <c r="S57" s="876" t="s">
        <v>97</v>
      </c>
      <c r="T57" s="875" t="s">
        <v>104</v>
      </c>
      <c r="U57" s="876" t="s">
        <v>97</v>
      </c>
      <c r="V57" s="875" t="s">
        <v>104</v>
      </c>
      <c r="W57" s="876" t="s">
        <v>97</v>
      </c>
      <c r="X57" s="875" t="s">
        <v>104</v>
      </c>
      <c r="Y57" s="876" t="s">
        <v>97</v>
      </c>
      <c r="Z57" s="871" t="s">
        <v>104</v>
      </c>
      <c r="AA57" s="657"/>
      <c r="AB57" s="1114" t="s">
        <v>97</v>
      </c>
      <c r="AC57" s="871" t="s">
        <v>104</v>
      </c>
      <c r="AD57" s="24"/>
    </row>
    <row r="58" spans="1:42" ht="11.45" customHeight="1" x14ac:dyDescent="0.2">
      <c r="B58" s="1072" t="s">
        <v>50</v>
      </c>
      <c r="C58" s="1160"/>
      <c r="D58" s="325"/>
      <c r="E58" s="1158" t="s">
        <v>23</v>
      </c>
      <c r="F58" s="326"/>
      <c r="G58" s="394"/>
      <c r="H58" s="395"/>
      <c r="I58" s="822"/>
      <c r="J58" s="494"/>
      <c r="K58" s="394"/>
      <c r="L58" s="494"/>
      <c r="M58" s="394"/>
      <c r="N58" s="395"/>
      <c r="O58" s="1088"/>
      <c r="P58" s="395"/>
      <c r="Q58" s="1088"/>
      <c r="R58" s="395"/>
      <c r="S58" s="1088"/>
      <c r="T58" s="395"/>
      <c r="U58" s="1088"/>
      <c r="V58" s="395"/>
      <c r="W58" s="1088"/>
      <c r="X58" s="395"/>
      <c r="Y58" s="1088"/>
      <c r="Z58" s="331"/>
      <c r="AA58" s="657"/>
      <c r="AB58" s="867"/>
      <c r="AC58" s="746"/>
      <c r="AD58" s="24"/>
    </row>
    <row r="59" spans="1:42" ht="11.45" customHeight="1" x14ac:dyDescent="0.2">
      <c r="B59" s="45" t="s">
        <v>114</v>
      </c>
      <c r="C59" s="1161">
        <f>Dean_Ag!C74+Ag_Econ!C54+Agronomy!C53+Animal_Sci!C61+CommAgEd!C51+Entomology!C50+Grain_Sci!C61+Horticulture!C58+Plant_Path!C50</f>
        <v>327</v>
      </c>
      <c r="D59" s="168">
        <f>Dean_Ag!D74+Ag_Econ!D54+Agronomy!D53+Animal_Sci!D61+CommAgEd!D51+Entomology!D50+Grain_Sci!D61+Horticulture!D58+Plant_Path!D50+1090934</f>
        <v>26008182.100000001</v>
      </c>
      <c r="E59" s="817">
        <f>Dean_Ag!E74+Ag_Econ!E54+Agronomy!E53+Animal_Sci!E61+CommAgEd!E51+Entomology!E50+Grain_Sci!E61+Horticulture!E58+Plant_Path!E50</f>
        <v>319</v>
      </c>
      <c r="F59" s="554">
        <f>Dean_Ag!F74+Ag_Econ!F54+Agronomy!F53+Animal_Sci!F61+CommAgEd!F51+Entomology!F50+Grain_Sci!F61+Horticulture!F58+Plant_Path!F50+222080</f>
        <v>23185914.52</v>
      </c>
      <c r="G59" s="812">
        <f>Dean_Ag!G74+Ag_Econ!G54+Agronomy!G53+Animal_Sci!G61+CommAgEd!G51+Entomology!G50+Grain_Sci!G61+Horticulture!G58+Plant_Path!G50+4</f>
        <v>311</v>
      </c>
      <c r="H59" s="168">
        <f>Dean_Ag!H74+Ag_Econ!H54+Agronomy!H53+Animal_Sci!H61+CommAgEd!H51+Entomology!H50+Grain_Sci!H61+Horticulture!H58+Plant_Path!H50+197092</f>
        <v>25530040</v>
      </c>
      <c r="I59" s="823">
        <f>Dean_Ag!I74+Ag_Econ!I54+Agronomy!I53+Animal_Sci!I61+CommAgEd!I51+Entomology!I50+Grain_Sci!I61+Horticulture!I58+Plant_Path!I50+2+2</f>
        <v>362</v>
      </c>
      <c r="J59" s="168">
        <f>Dean_Ag!J74+Ag_Econ!J54+Agronomy!J53+Animal_Sci!J61+CommAgEd!J51+Entomology!J50+Grain_Sci!J61+Horticulture!J58+Plant_Path!J50+0+27600</f>
        <v>34687934.699999996</v>
      </c>
      <c r="K59" s="813">
        <f>Dean_Ag!K74+Ag_Econ!K54+Agronomy!K53+Animal_Sci!K61+CommAgEd!K51+Entomology!K50+Grain_Sci!K61+Horticulture!K58+Plant_Path!K50+4</f>
        <v>360</v>
      </c>
      <c r="L59" s="349">
        <f>Dean_Ag!L74+Ag_Econ!L54+Agronomy!L53+Animal_Sci!L61+CommAgEd!L51+Entomology!L50+Grain_Sci!L61+Horticulture!L58+Plant_Path!L50+232601</f>
        <v>24053803</v>
      </c>
      <c r="M59" s="813">
        <f>Dean_Ag!M74+Ag_Econ!M54+Agronomy!M53+Animal_Sci!M61+CommAgEd!M51+Entomology!M50+Grain_Sci!M61+Horticulture!M58+Plant_Path!M50</f>
        <v>408</v>
      </c>
      <c r="N59" s="350">
        <f>Dean_Ag!N74+Ag_Econ!N54+Agronomy!N53+Animal_Sci!N61+CommAgEd!N51+Entomology!N50+Grain_Sci!N61+Horticulture!N58+Plant_Path!N50</f>
        <v>36329216</v>
      </c>
      <c r="O59" s="813">
        <f>Dean_Ag!O74+Ag_Econ!O54+Agronomy!O53+Animal_Sci!O61+CommAgEd!O51+Entomology!O50+Grain_Sci!O61+Horticulture!O58+Plant_Path!O50</f>
        <v>350</v>
      </c>
      <c r="P59" s="350">
        <f>Dean_Ag!P74+Ag_Econ!P54+Agronomy!P53+Animal_Sci!P61+CommAgEd!P51+Entomology!P50+Grain_Sci!P61+Horticulture!P58+Plant_Path!P50</f>
        <v>37263010</v>
      </c>
      <c r="Q59" s="813">
        <f>Dean_Ag!Q74+Ag_Econ!Q54+Agronomy!Q53+Animal_Sci!Q61+CommAgEd!Q51+Entomology!Q50+Grain_Sci!Q61+Horticulture!Q58+Plant_Path!Q50</f>
        <v>420</v>
      </c>
      <c r="R59" s="350">
        <f>Dean_Ag!R74+Ag_Econ!R54+Agronomy!R53+Animal_Sci!R61+CommAgEd!R51+Entomology!R50+Grain_Sci!R61+Horticulture!R58+Plant_Path!R50</f>
        <v>53126614</v>
      </c>
      <c r="S59" s="818">
        <f>Dean_Ag!S74+Ag_Econ!S54+Agronomy!S53+Animal_Sci!S61+CommAgEd!S51+Entomology!S50+Grain_Sci!S61+Horticulture!S58+Plant_Path!S50</f>
        <v>376</v>
      </c>
      <c r="T59" s="350">
        <f>Dean_Ag!T74+Ag_Econ!T54+Agronomy!T53+Animal_Sci!T61+CommAgEd!T51+Entomology!T50+Grain_Sci!T61+Horticulture!T58+Plant_Path!T50</f>
        <v>30207906</v>
      </c>
      <c r="U59" s="818">
        <f>Dean_Ag!U74+Ag_Econ!U54+Agronomy!U53+Animal_Sci!U61+CommAgEd!U51+Entomology!U50+Grain_Sci!U61+Horticulture!U58+Plant_Path!U50</f>
        <v>427</v>
      </c>
      <c r="V59" s="350">
        <f>Dean_Ag!V74+Ag_Econ!V54+Agronomy!V53+Animal_Sci!V61+CommAgEd!V51+Entomology!V50+Grain_Sci!V61+Horticulture!V58+Plant_Path!V50</f>
        <v>48505254</v>
      </c>
      <c r="W59" s="818">
        <f>Dean_Ag!W74+Ag_Econ!W54+Agronomy!W53+Animal_Sci!W61+CommAgEd!W51+Entomology!W50+Grain_Sci!W61+Horticulture!W58+Plant_Path!W50</f>
        <v>506</v>
      </c>
      <c r="X59" s="350">
        <f>Dean_Ag!X74+Ag_Econ!X54+Agronomy!X53+Animal_Sci!X61+CommAgEd!X51+Entomology!X50+Grain_Sci!X61+Horticulture!X58+Plant_Path!X50</f>
        <v>31515089</v>
      </c>
      <c r="Y59" s="1287"/>
      <c r="Z59" s="1288"/>
      <c r="AA59" s="657"/>
      <c r="AB59" s="1018">
        <f t="shared" ref="AB59:AB61" si="8">AVERAGE(W59,U59,S59,Q59,Y59)</f>
        <v>432.25</v>
      </c>
      <c r="AC59" s="746">
        <f t="shared" ref="AC59:AC61" si="9">AVERAGE(X59,V59,T59,R59,Z59)</f>
        <v>40838715.75</v>
      </c>
      <c r="AD59" s="24"/>
    </row>
    <row r="60" spans="1:42" ht="11.45" customHeight="1" x14ac:dyDescent="0.2">
      <c r="B60" s="45" t="s">
        <v>113</v>
      </c>
      <c r="C60" s="818">
        <f>8+10+12+5+0+9</f>
        <v>44</v>
      </c>
      <c r="D60" s="646">
        <f>454360+4309942+645578+35885+119114</f>
        <v>5564879</v>
      </c>
      <c r="E60" s="813">
        <f>3+4+8+3+2+9</f>
        <v>29</v>
      </c>
      <c r="F60" s="350">
        <f>145397+77066+673674+37787+54983+162711</f>
        <v>1151618</v>
      </c>
      <c r="G60" s="819">
        <f>4+7+6+4+2+3</f>
        <v>26</v>
      </c>
      <c r="H60" s="637">
        <f>1943958+105090+621150+197175+31280+32250</f>
        <v>2930903</v>
      </c>
      <c r="I60" s="819">
        <f>2+3+16+6+0+17</f>
        <v>44</v>
      </c>
      <c r="J60" s="350">
        <f>287079+41900+844062+94800+0+460771</f>
        <v>1728612</v>
      </c>
      <c r="K60" s="819">
        <f>3+5+1+19+3+2+7</f>
        <v>40</v>
      </c>
      <c r="L60" s="349">
        <f>254703+90000+40000+1261706+46343+8000+85558</f>
        <v>1786310</v>
      </c>
      <c r="M60" s="819">
        <f>1+12+2+1+22+5+4+4</f>
        <v>51</v>
      </c>
      <c r="N60" s="350">
        <f>204192+902293+203484+137600+1678196+56816+76463+43516</f>
        <v>3302560</v>
      </c>
      <c r="O60" s="819">
        <v>44</v>
      </c>
      <c r="P60" s="1250">
        <f>394999+577816+78077+117420+388063+937801+119287+55420+255123</f>
        <v>2924006</v>
      </c>
      <c r="Q60" s="819">
        <f>57+20</f>
        <v>77</v>
      </c>
      <c r="R60" s="1250">
        <f>118019+866100+484022+951352+256983+9360+388047+31546+949811+22939+3975+687977+226500+624875</f>
        <v>5621506</v>
      </c>
      <c r="S60" s="1440">
        <f>2+14+1+23+9+1+3+8+36</f>
        <v>97</v>
      </c>
      <c r="T60" s="1390">
        <f>9997715+185020+43248+80000+65838+1831495+120026+608484</f>
        <v>12931826</v>
      </c>
      <c r="U60" s="1440">
        <f>3+24+2+16+11+3+8+24</f>
        <v>91</v>
      </c>
      <c r="V60" s="1390">
        <f>257048+1070341+116486+1187883+304463+52120+171635+4058282</f>
        <v>7218258</v>
      </c>
      <c r="W60" s="1440"/>
      <c r="X60" s="1390"/>
      <c r="Y60" s="1289"/>
      <c r="Z60" s="1290"/>
      <c r="AA60" s="657"/>
      <c r="AB60" s="1018">
        <f t="shared" si="8"/>
        <v>88.333333333333329</v>
      </c>
      <c r="AC60" s="746">
        <f t="shared" si="9"/>
        <v>8590530</v>
      </c>
      <c r="AD60" s="24"/>
    </row>
    <row r="61" spans="1:42" ht="14.25" customHeight="1" thickBot="1" x14ac:dyDescent="0.25">
      <c r="B61" s="1163" t="s">
        <v>116</v>
      </c>
      <c r="C61" s="1162">
        <f>C59+C60</f>
        <v>371</v>
      </c>
      <c r="D61" s="519">
        <f>D59+D60</f>
        <v>31573061.100000001</v>
      </c>
      <c r="E61" s="1097">
        <f>SUM(E59:E60)</f>
        <v>348</v>
      </c>
      <c r="F61" s="520">
        <f>SUM(F59:F60)</f>
        <v>24337532.52</v>
      </c>
      <c r="G61" s="820">
        <f>+G60+G59</f>
        <v>337</v>
      </c>
      <c r="H61" s="520">
        <f>+H60+H59</f>
        <v>28460943</v>
      </c>
      <c r="I61" s="820">
        <f>+I60+I59</f>
        <v>406</v>
      </c>
      <c r="J61" s="520">
        <f>+J60+J59</f>
        <v>36416546.699999996</v>
      </c>
      <c r="K61" s="1097">
        <f>+K60+K59</f>
        <v>400</v>
      </c>
      <c r="L61" s="635">
        <f>L60+L59</f>
        <v>25840113</v>
      </c>
      <c r="M61" s="820">
        <f>+M60+M59</f>
        <v>459</v>
      </c>
      <c r="N61" s="520">
        <f>N60+N59</f>
        <v>39631776</v>
      </c>
      <c r="O61" s="820">
        <f>+O60+O59</f>
        <v>394</v>
      </c>
      <c r="P61" s="520">
        <f>P60+P59</f>
        <v>40187016</v>
      </c>
      <c r="Q61" s="820">
        <f>+Q60+Q59</f>
        <v>497</v>
      </c>
      <c r="R61" s="520">
        <f>R60+R59</f>
        <v>58748120</v>
      </c>
      <c r="S61" s="1441">
        <f>+S60+S59</f>
        <v>473</v>
      </c>
      <c r="T61" s="520">
        <f>T60+T59</f>
        <v>43139732</v>
      </c>
      <c r="U61" s="1441">
        <f>+U60+U59</f>
        <v>518</v>
      </c>
      <c r="V61" s="520">
        <f>V60+V59</f>
        <v>55723512</v>
      </c>
      <c r="W61" s="1441">
        <f>+W60+W59</f>
        <v>506</v>
      </c>
      <c r="X61" s="520">
        <f>X60+X59</f>
        <v>31515089</v>
      </c>
      <c r="Y61" s="1291"/>
      <c r="Z61" s="1292"/>
      <c r="AA61" s="657"/>
      <c r="AB61" s="1018">
        <f t="shared" si="8"/>
        <v>498.5</v>
      </c>
      <c r="AC61" s="746">
        <f t="shared" si="9"/>
        <v>47281613.25</v>
      </c>
      <c r="AD61" s="24"/>
    </row>
    <row r="62" spans="1:42" s="112" customFormat="1" ht="12" customHeight="1" x14ac:dyDescent="0.2">
      <c r="B62" s="509" t="s">
        <v>16</v>
      </c>
      <c r="C62" s="814"/>
      <c r="D62" s="521"/>
      <c r="E62" s="1159"/>
      <c r="F62" s="522"/>
      <c r="G62" s="821"/>
      <c r="H62" s="523"/>
      <c r="I62" s="824"/>
      <c r="J62" s="524"/>
      <c r="K62" s="825"/>
      <c r="L62" s="524"/>
      <c r="M62" s="525"/>
      <c r="N62" s="1090"/>
      <c r="O62" s="525"/>
      <c r="P62" s="1090"/>
      <c r="Q62" s="525"/>
      <c r="R62" s="1090"/>
      <c r="S62" s="1089"/>
      <c r="T62" s="1090"/>
      <c r="U62" s="1089"/>
      <c r="V62" s="1090"/>
      <c r="W62" s="1089"/>
      <c r="X62" s="1090"/>
      <c r="Y62" s="1089"/>
      <c r="Z62" s="526"/>
      <c r="AA62" s="863"/>
      <c r="AB62" s="1018"/>
      <c r="AC62" s="746"/>
    </row>
    <row r="63" spans="1:42" s="112" customFormat="1" ht="12" customHeight="1" x14ac:dyDescent="0.2">
      <c r="B63" s="44" t="s">
        <v>114</v>
      </c>
      <c r="C63" s="354">
        <f>Dean_Ag!C76+Ag_Econ!C56+Agronomy!C55+Animal_Sci!C63+CommAgEd!C53+Entomology!C52+Grain_Sci!C63+Horticulture!C60+Plant_Path!C52+4</f>
        <v>286</v>
      </c>
      <c r="D63" s="637">
        <f>Dean_Ag!D76+Ag_Econ!D56+Agronomy!D55+Animal_Sci!D63+CommAgEd!D53+Entomology!D52+Grain_Sci!D63+Horticulture!D60+Plant_Path!D52+2171008</f>
        <v>18182406</v>
      </c>
      <c r="E63" s="354">
        <f>Dean_Ag!E76+Ag_Econ!E56+Agronomy!E55+Animal_Sci!E63+CommAgEd!E53+Entomology!E52+Grain_Sci!E63+Horticulture!E60+Plant_Path!E52+4</f>
        <v>248</v>
      </c>
      <c r="F63" s="637">
        <f>Dean_Ag!F76+Ag_Econ!F56+Agronomy!F55+Animal_Sci!F63+CommAgEd!F53+Entomology!F52+Grain_Sci!F63+Horticulture!F60+Plant_Path!F52+220727</f>
        <v>13477545.640000001</v>
      </c>
      <c r="G63" s="813">
        <f>Dean_Ag!G76+Ag_Econ!G56+Agronomy!G55+Animal_Sci!G63+CommAgEd!G53+Entomology!G52+Grain_Sci!G63+Horticulture!G60+Plant_Path!G52+3</f>
        <v>263</v>
      </c>
      <c r="H63" s="637">
        <f>Dean_Ag!H76+Ag_Econ!H56+Agronomy!H55+Animal_Sci!H63+CommAgEd!H53+Entomology!H52+Grain_Sci!H63+Horticulture!H60+Plant_Path!H52+183112</f>
        <v>17832040</v>
      </c>
      <c r="I63" s="813">
        <f>Dean_Ag!I76+Ag_Econ!I56+Agronomy!I55+Animal_Sci!I63+CommAgEd!I53+Entomology!I52+Grain_Sci!I63+Horticulture!I60+Plant_Path!I52+3+0</f>
        <v>373</v>
      </c>
      <c r="J63" s="637">
        <f>Dean_Ag!J76+Ag_Econ!J56+Agronomy!J55+Animal_Sci!J63+CommAgEd!J53+Entomology!J52+Grain_Sci!J63+Horticulture!J60+Plant_Path!J52+204273</f>
        <v>23596462</v>
      </c>
      <c r="K63" s="813">
        <f>Dean_Ag!K76+Ag_Econ!K56+Agronomy!K55+Animal_Sci!K63+CommAgEd!K53+Entomology!K52+Grain_Sci!K63+Horticulture!K60+Plant_Path!K52+3+0</f>
        <v>279</v>
      </c>
      <c r="L63" s="637">
        <f>Dean_Ag!L76+Ag_Econ!L56+Agronomy!L55+Animal_Sci!L63+CommAgEd!L53+Entomology!L52+Grain_Sci!L63+Horticulture!L60+Plant_Path!L52+13351</f>
        <v>17117497</v>
      </c>
      <c r="M63" s="813">
        <f>Dean_Ag!M76+Ag_Econ!M56+Agronomy!M55+Animal_Sci!M63+CommAgEd!M53+Entomology!M52+Grain_Sci!M63+Horticulture!M60+Plant_Path!M52</f>
        <v>282</v>
      </c>
      <c r="N63" s="637">
        <f>Dean_Ag!N76+Ag_Econ!N56+Agronomy!N55+Animal_Sci!N63+CommAgEd!N53+Entomology!N52+Grain_Sci!N63+Horticulture!N60+Plant_Path!N52</f>
        <v>21847791</v>
      </c>
      <c r="O63" s="813">
        <f>Dean_Ag!O76+Ag_Econ!O56+Agronomy!O55+Animal_Sci!O63+CommAgEd!O53+Entomology!O52+Grain_Sci!O63+Horticulture!O60+Plant_Path!O52</f>
        <v>293</v>
      </c>
      <c r="P63" s="637">
        <f>Dean_Ag!P76+Ag_Econ!P56+Agronomy!P55+Animal_Sci!P63+CommAgEd!P53+Entomology!P52+Grain_Sci!P63+Horticulture!P60+Plant_Path!P52</f>
        <v>21605575</v>
      </c>
      <c r="Q63" s="813">
        <f>Dean_Ag!Q76+Ag_Econ!Q56+Agronomy!Q55+Animal_Sci!Q63+CommAgEd!Q53+Entomology!Q52+Grain_Sci!Q63+Horticulture!Q60+Plant_Path!Q52</f>
        <v>272</v>
      </c>
      <c r="R63" s="637">
        <f>Dean_Ag!R76+Ag_Econ!R56+Agronomy!R55+Animal_Sci!R63+CommAgEd!R53+Entomology!R52+Grain_Sci!R63+Horticulture!R60+Plant_Path!R52</f>
        <v>19183843</v>
      </c>
      <c r="S63" s="813">
        <f>Dean_Ag!S76+Ag_Econ!S56+Agronomy!S55+Animal_Sci!S63+CommAgEd!S53+Entomology!S52+Grain_Sci!S63+Horticulture!S60+Plant_Path!S52</f>
        <v>276</v>
      </c>
      <c r="T63" s="637">
        <f>Dean_Ag!T76+Ag_Econ!T56+Agronomy!T55+Animal_Sci!T63+CommAgEd!T53+Entomology!T52+Grain_Sci!T63+Horticulture!T60+Plant_Path!T52</f>
        <v>22865162</v>
      </c>
      <c r="U63" s="813">
        <f>Dean_Ag!U76+Ag_Econ!U56+Agronomy!U55+Animal_Sci!U63+CommAgEd!U53+Entomology!U52+Grain_Sci!U63+Horticulture!U60+Plant_Path!U52</f>
        <v>301</v>
      </c>
      <c r="V63" s="637">
        <f>Dean_Ag!V76+Ag_Econ!V56+Agronomy!V55+Animal_Sci!V63+CommAgEd!V53+Entomology!V52+Grain_Sci!V63+Horticulture!V60+Plant_Path!V52</f>
        <v>33836535</v>
      </c>
      <c r="W63" s="813">
        <f>Dean_Ag!W76+Ag_Econ!W56+Agronomy!W55+Animal_Sci!W63+CommAgEd!W53+Entomology!W52+Grain_Sci!W63+Horticulture!W60+Plant_Path!W52</f>
        <v>338</v>
      </c>
      <c r="X63" s="637">
        <f>Dean_Ag!X76+Ag_Econ!X56+Agronomy!X55+Animal_Sci!X63+CommAgEd!X53+Entomology!X52+Grain_Sci!X63+Horticulture!X60+Plant_Path!X52</f>
        <v>38172246</v>
      </c>
      <c r="Y63" s="1293"/>
      <c r="Z63" s="1294"/>
      <c r="AA63" s="863"/>
      <c r="AB63" s="1018">
        <f t="shared" ref="AB63:AB65" si="10">AVERAGE(W63,U63,S63,Q63,Y63)</f>
        <v>296.75</v>
      </c>
      <c r="AC63" s="746">
        <f t="shared" ref="AC63:AC65" si="11">AVERAGE(X63,V63,T63,R63,Z63)</f>
        <v>28514446.5</v>
      </c>
    </row>
    <row r="64" spans="1:42" x14ac:dyDescent="0.2">
      <c r="B64" s="45" t="s">
        <v>113</v>
      </c>
      <c r="C64" s="815">
        <v>46</v>
      </c>
      <c r="D64" s="168">
        <f>329910+415670+570032+207261+23750+291817</f>
        <v>1838440</v>
      </c>
      <c r="E64" s="815">
        <v>29</v>
      </c>
      <c r="F64" s="168">
        <f>351912+379147+881305+142738+22445+158838</f>
        <v>1936385</v>
      </c>
      <c r="G64" s="815">
        <v>28</v>
      </c>
      <c r="H64" s="168">
        <f>700889+514335+1056334+300496+16750+178735</f>
        <v>2767539</v>
      </c>
      <c r="I64" s="815">
        <v>62</v>
      </c>
      <c r="J64" s="168">
        <f>127079+312825+1097481+87403+48080+246518</f>
        <v>1919386</v>
      </c>
      <c r="K64" s="815">
        <f>2+12+0+13+5+5+6</f>
        <v>43</v>
      </c>
      <c r="L64" s="168">
        <f>260755+343317+0+1175284+137915+41000+248663</f>
        <v>2206934</v>
      </c>
      <c r="M64" s="1098">
        <f>1+11+1+10+9+5+8</f>
        <v>45</v>
      </c>
      <c r="N64" s="1099">
        <f>123192+379088+112657+1162960+338258+52295+459809</f>
        <v>2628259</v>
      </c>
      <c r="O64" s="1098">
        <v>51</v>
      </c>
      <c r="P64" s="1099">
        <f>333010+608307+218472+886398+393406+41305+436221</f>
        <v>2917119</v>
      </c>
      <c r="Q64" s="1098">
        <f>46+17</f>
        <v>63</v>
      </c>
      <c r="R64" s="1099">
        <f>210000+575798+117689+647659+410701+49937+398106+45696+503211+12571+798100+228500+493890</f>
        <v>4491858</v>
      </c>
      <c r="S64" s="1098">
        <f>1+15+1+16+7+0+3+7+37</f>
        <v>87</v>
      </c>
      <c r="T64" s="1099">
        <f>10717704+453934+39607+231733+1514499+117175+432201+165000</f>
        <v>13671853</v>
      </c>
      <c r="U64" s="1098">
        <f>17+2+13+14+1+4+11+29</f>
        <v>91</v>
      </c>
      <c r="V64" s="1099">
        <f>341647+860581+886934+387423+72000+60928+232481+1775952</f>
        <v>4617946</v>
      </c>
      <c r="W64" s="1098"/>
      <c r="X64" s="1099"/>
      <c r="Y64" s="1295"/>
      <c r="Z64" s="1296"/>
      <c r="AA64" s="657"/>
      <c r="AB64" s="1018">
        <f t="shared" si="10"/>
        <v>80.333333333333329</v>
      </c>
      <c r="AC64" s="746">
        <f t="shared" si="11"/>
        <v>7593885.666666667</v>
      </c>
      <c r="AE64" s="1" t="s">
        <v>23</v>
      </c>
    </row>
    <row r="65" spans="1:31" ht="13.5" thickBot="1" x14ac:dyDescent="0.25">
      <c r="B65" s="510" t="s">
        <v>115</v>
      </c>
      <c r="C65" s="816">
        <f t="shared" ref="C65:J65" si="12">SUM(C63:C64)</f>
        <v>332</v>
      </c>
      <c r="D65" s="527">
        <f t="shared" si="12"/>
        <v>20020846</v>
      </c>
      <c r="E65" s="816">
        <f t="shared" si="12"/>
        <v>277</v>
      </c>
      <c r="F65" s="527">
        <f t="shared" si="12"/>
        <v>15413930.640000001</v>
      </c>
      <c r="G65" s="816">
        <f t="shared" si="12"/>
        <v>291</v>
      </c>
      <c r="H65" s="1096">
        <f t="shared" si="12"/>
        <v>20599579</v>
      </c>
      <c r="I65" s="816">
        <f t="shared" si="12"/>
        <v>435</v>
      </c>
      <c r="J65" s="527">
        <f t="shared" si="12"/>
        <v>25515848</v>
      </c>
      <c r="K65" s="816">
        <f t="shared" ref="K65:T65" si="13">SUM(K63:K64)</f>
        <v>322</v>
      </c>
      <c r="L65" s="527">
        <f t="shared" si="13"/>
        <v>19324431</v>
      </c>
      <c r="M65" s="816">
        <f t="shared" si="13"/>
        <v>327</v>
      </c>
      <c r="N65" s="1096">
        <f t="shared" si="13"/>
        <v>24476050</v>
      </c>
      <c r="O65" s="816">
        <f t="shared" si="13"/>
        <v>344</v>
      </c>
      <c r="P65" s="1096">
        <f t="shared" si="13"/>
        <v>24522694</v>
      </c>
      <c r="Q65" s="816">
        <f t="shared" si="13"/>
        <v>335</v>
      </c>
      <c r="R65" s="1096">
        <f t="shared" si="13"/>
        <v>23675701</v>
      </c>
      <c r="S65" s="816">
        <f t="shared" si="13"/>
        <v>363</v>
      </c>
      <c r="T65" s="1096">
        <f t="shared" si="13"/>
        <v>36537015</v>
      </c>
      <c r="U65" s="1439">
        <f>SUM(U63:U64)</f>
        <v>392</v>
      </c>
      <c r="V65" s="1096">
        <f t="shared" ref="V65:X65" si="14">SUM(V63:V64)</f>
        <v>38454481</v>
      </c>
      <c r="W65" s="1439">
        <f>SUM(W63:W64)</f>
        <v>338</v>
      </c>
      <c r="X65" s="1096">
        <f t="shared" si="14"/>
        <v>38172246</v>
      </c>
      <c r="Y65" s="1345"/>
      <c r="Z65" s="1297"/>
      <c r="AA65" s="657"/>
      <c r="AB65" s="1018">
        <f t="shared" si="10"/>
        <v>357</v>
      </c>
      <c r="AC65" s="746">
        <f t="shared" si="11"/>
        <v>34209860.75</v>
      </c>
    </row>
    <row r="66" spans="1:31" ht="16.5" customHeight="1" thickTop="1" thickBot="1" x14ac:dyDescent="0.25">
      <c r="B66" s="1127" t="s">
        <v>68</v>
      </c>
      <c r="C66" s="1498" t="s">
        <v>33</v>
      </c>
      <c r="D66" s="1499"/>
      <c r="E66" s="1501" t="s">
        <v>34</v>
      </c>
      <c r="F66" s="1501"/>
      <c r="G66" s="1500" t="s">
        <v>106</v>
      </c>
      <c r="H66" s="1495"/>
      <c r="I66" s="1512" t="s">
        <v>118</v>
      </c>
      <c r="J66" s="1509"/>
      <c r="K66" s="1512" t="s">
        <v>121</v>
      </c>
      <c r="L66" s="1509"/>
      <c r="M66" s="1512" t="s">
        <v>127</v>
      </c>
      <c r="N66" s="1513"/>
      <c r="O66" s="1509" t="s">
        <v>174</v>
      </c>
      <c r="P66" s="1513"/>
      <c r="Q66" s="1509" t="s">
        <v>193</v>
      </c>
      <c r="R66" s="1513"/>
      <c r="S66" s="1509" t="s">
        <v>218</v>
      </c>
      <c r="T66" s="1513"/>
      <c r="U66" s="1509" t="s">
        <v>221</v>
      </c>
      <c r="V66" s="1513"/>
      <c r="W66" s="1509" t="s">
        <v>232</v>
      </c>
      <c r="X66" s="1513"/>
      <c r="Y66" s="1509" t="s">
        <v>241</v>
      </c>
      <c r="Z66" s="1510"/>
      <c r="AA66" s="657"/>
      <c r="AB66" s="1076"/>
      <c r="AC66" s="746"/>
    </row>
    <row r="67" spans="1:31" ht="3.75" customHeight="1" x14ac:dyDescent="0.2">
      <c r="B67" s="1165"/>
      <c r="C67" s="829"/>
      <c r="D67" s="830"/>
      <c r="E67" s="829"/>
      <c r="F67" s="830"/>
      <c r="G67" s="831"/>
      <c r="H67" s="832"/>
      <c r="I67" s="831"/>
      <c r="J67" s="833"/>
      <c r="K67" s="831"/>
      <c r="L67" s="833"/>
      <c r="M67" s="831"/>
      <c r="N67" s="832"/>
      <c r="O67" s="833"/>
      <c r="P67" s="832"/>
      <c r="Q67" s="833"/>
      <c r="R67" s="832"/>
      <c r="S67" s="833"/>
      <c r="T67" s="832"/>
      <c r="U67" s="833"/>
      <c r="V67" s="832"/>
      <c r="W67" s="833"/>
      <c r="X67" s="832"/>
      <c r="Y67" s="833"/>
      <c r="Z67" s="667"/>
      <c r="AA67" s="657"/>
      <c r="AB67" s="748"/>
      <c r="AC67" s="746"/>
    </row>
    <row r="68" spans="1:31" ht="12" x14ac:dyDescent="0.2">
      <c r="B68" s="280" t="s">
        <v>124</v>
      </c>
      <c r="C68" s="149"/>
      <c r="D68" s="150">
        <f>Dean_Ag!D79+Ag_Econ!D59+Agronomy!D58+Animal_Sci!D66+CommAgEd!D56+Entomology!D55+Grain_Sci!D66+Horticulture!D62+Plant_Path!D55</f>
        <v>11196014</v>
      </c>
      <c r="E68" s="149"/>
      <c r="F68" s="150">
        <f>Dean_Ag!F79+Ag_Econ!F59+Agronomy!F58+Animal_Sci!F66+CommAgEd!F56+Entomology!F55+Grain_Sci!F66+Horticulture!F62+Plant_Path!F55</f>
        <v>3942769.68</v>
      </c>
      <c r="G68" s="268"/>
      <c r="H68" s="150">
        <f>Dean_Ag!H79+Ag_Econ!H59+Agronomy!H58+Animal_Sci!H66+CommAgEd!H56+Entomology!H55+Grain_Sci!H66+Horticulture!H62+Plant_Path!H55</f>
        <v>4953213.88</v>
      </c>
      <c r="I68" s="631"/>
      <c r="J68" s="150">
        <f>Dean_Ag!J79+Ag_Econ!J59+Agronomy!J58+Animal_Sci!J66+CommAgEd!J56+Entomology!J55+Grain_Sci!J66+Horticulture!J62+Plant_Path!J55</f>
        <v>6013363.6500000004</v>
      </c>
      <c r="K68" s="828"/>
      <c r="L68" s="150">
        <f>Dean_Ag!L79+Ag_Econ!L59+Agronomy!L58+Animal_Sci!L66+CommAgEd!L56+Entomology!L55+Grain_Sci!L66+Horticulture!L62+Plant_Path!L55</f>
        <v>5985968.8799999999</v>
      </c>
      <c r="M68" s="93"/>
      <c r="N68" s="150">
        <f>Dean_Ag!N79+Ag_Econ!N59+Agronomy!N58+Animal_Sci!N66+CommAgEd!N56+Entomology!N55+Grain_Sci!N66+Horticulture!N62+Plant_Path!N55</f>
        <v>3128285</v>
      </c>
      <c r="O68" s="93"/>
      <c r="P68" s="150">
        <f>Dean_Ag!P79+Ag_Econ!P59+Agronomy!P58+Animal_Sci!P66+CommAgEd!P56+Entomology!P55+Grain_Sci!P66+Horticulture!P62+Plant_Path!P55</f>
        <v>4999624</v>
      </c>
      <c r="Q68" s="1086"/>
      <c r="R68" s="1346">
        <f>Dean_Ag!R79+Ag_Econ!R59+Agronomy!R58+Animal_Sci!R66+CommAgEd!R56+Entomology!R55+Grain_Sci!R66+Horticulture!R62+Plant_Path!R55</f>
        <v>8274751.3900000006</v>
      </c>
      <c r="S68" s="1086"/>
      <c r="T68" s="1346">
        <f>Dean_Ag!T79+Ag_Econ!T59+Agronomy!T58+Animal_Sci!T66+CommAgEd!T56+Entomology!T55+Grain_Sci!T66+Horticulture!T62+Plant_Path!T55</f>
        <v>5199478.13</v>
      </c>
      <c r="U68" s="1086"/>
      <c r="V68" s="1346">
        <f>Dean_Ag!V79+Ag_Econ!V59+Agronomy!V58+Animal_Sci!V66+CommAgEd!V56+Entomology!V55+Grain_Sci!V66+Horticulture!V62+Plant_Path!V55</f>
        <v>6444495.1399999997</v>
      </c>
      <c r="W68" s="1086"/>
      <c r="X68" s="1346">
        <f>Dean_Ag!X79+Ag_Econ!X59+Agronomy!X58+Animal_Sci!X66+CommAgEd!X56+Entomology!X55+Grain_Sci!X66+Horticulture!X62+Plant_Path!X55</f>
        <v>6675736.8200000012</v>
      </c>
      <c r="Y68" s="1086"/>
      <c r="Z68" s="1343"/>
      <c r="AA68" s="657"/>
      <c r="AB68" s="24"/>
      <c r="AC68" s="746">
        <f t="shared" ref="AC68:AC69" si="15">AVERAGE(X68,V68,T68,R68,P68)</f>
        <v>6318817.0959999999</v>
      </c>
    </row>
    <row r="69" spans="1:31" ht="27.75" customHeight="1" thickBot="1" x14ac:dyDescent="0.25">
      <c r="B69" s="500" t="s">
        <v>108</v>
      </c>
      <c r="C69" s="151"/>
      <c r="D69" s="152">
        <f>Dean_Ag!D80+Ag_Econ!D60+Agronomy!D59+Animal_Sci!D67+CommAgEd!D57+Entomology!D56+Grain_Sci!D67+Horticulture!D63+Plant_Path!D56</f>
        <v>4437772.9000000004</v>
      </c>
      <c r="E69" s="151"/>
      <c r="F69" s="152">
        <f>Dean_Ag!F80+Ag_Econ!F60+Agronomy!F59+Animal_Sci!F67+CommAgEd!F57+Entomology!F56+Grain_Sci!F67+Horticulture!F63+Plant_Path!F56</f>
        <v>4987365.5299999993</v>
      </c>
      <c r="G69" s="270"/>
      <c r="H69" s="152">
        <f>Dean_Ag!H80+Ag_Econ!H60+Agronomy!H59+Animal_Sci!H67+CommAgEd!H57+Entomology!H56+Grain_Sci!H67+Horticulture!H63+Plant_Path!H56</f>
        <v>5379123.3300000001</v>
      </c>
      <c r="I69" s="826"/>
      <c r="J69" s="152">
        <f>Dean_Ag!J80+Ag_Econ!J60+Agronomy!J59+Animal_Sci!J67+CommAgEd!J57+Entomology!J56+Grain_Sci!J67+Horticulture!J63+Plant_Path!J56</f>
        <v>6311173.1900000004</v>
      </c>
      <c r="K69" s="827"/>
      <c r="L69" s="1092">
        <f>Dean_Ag!L80+Ag_Econ!L60+Agronomy!L59+Animal_Sci!L67+CommAgEd!L57+Entomology!L56+Grain_Sci!L67+Horticulture!L63+Plant_Path!L56</f>
        <v>6117429.0700000003</v>
      </c>
      <c r="M69" s="543"/>
      <c r="N69" s="1092">
        <f>Dean_Ag!N80+Ag_Econ!N60+Agronomy!N59+Animal_Sci!N67+CommAgEd!N57+Entomology!N56+Grain_Sci!N67+Horticulture!N63+Plant_Path!N56</f>
        <v>4735866.05</v>
      </c>
      <c r="O69" s="543"/>
      <c r="P69" s="1092">
        <f>Dean_Ag!P80+Ag_Econ!P60+Agronomy!P59+Animal_Sci!P67+CommAgEd!P57+Entomology!P56+Grain_Sci!P67+Horticulture!P63+Plant_Path!P56</f>
        <v>5034801</v>
      </c>
      <c r="Q69" s="1087"/>
      <c r="R69" s="1092">
        <f>Dean_Ag!R80+Ag_Econ!R60+Agronomy!R59+Animal_Sci!R67+CommAgEd!R57+Entomology!R56+Grain_Sci!R67+Horticulture!R63+Plant_Path!R56</f>
        <v>5480323.4100000001</v>
      </c>
      <c r="S69" s="1087"/>
      <c r="T69" s="1092">
        <f>Dean_Ag!T80+Ag_Econ!T60+Agronomy!T59+Animal_Sci!T67+CommAgEd!T57+Entomology!T56+Grain_Sci!T67+Horticulture!T63+Plant_Path!T56</f>
        <v>5186589.2300000004</v>
      </c>
      <c r="U69" s="1087"/>
      <c r="V69" s="1092">
        <f>Dean_Ag!V80+Ag_Econ!V60+Agronomy!V59+Animal_Sci!V67+CommAgEd!V57+Entomology!V56+Grain_Sci!V67+Horticulture!V63+Plant_Path!V56</f>
        <v>5555544.4199999999</v>
      </c>
      <c r="W69" s="1087"/>
      <c r="X69" s="1092">
        <f>Dean_Ag!X80+Ag_Econ!X60+Agronomy!X59+Animal_Sci!X67+CommAgEd!X57+Entomology!X56+Grain_Sci!X67+Horticulture!X63+Plant_Path!X56</f>
        <v>6701250.1600000001</v>
      </c>
      <c r="Y69" s="1087"/>
      <c r="Z69" s="1344"/>
      <c r="AA69" s="657"/>
      <c r="AB69" s="1111"/>
      <c r="AC69" s="858">
        <f t="shared" si="15"/>
        <v>5591701.6440000003</v>
      </c>
    </row>
    <row r="70" spans="1:31" ht="9" customHeight="1" thickTop="1" x14ac:dyDescent="0.2">
      <c r="B70" s="281"/>
      <c r="C70" s="1"/>
      <c r="D70" s="1"/>
      <c r="E70" s="1"/>
      <c r="F70" s="1"/>
      <c r="G70" s="222"/>
      <c r="H70" s="222"/>
      <c r="I70" s="222"/>
      <c r="J70" s="222"/>
      <c r="K70" s="222"/>
      <c r="L70" s="222"/>
      <c r="M70" s="235"/>
      <c r="N70" s="235"/>
      <c r="O70" s="235"/>
      <c r="P70" s="235"/>
      <c r="Q70" s="235"/>
      <c r="R70" s="235"/>
      <c r="S70" s="235"/>
      <c r="T70" s="235"/>
      <c r="U70" s="235"/>
      <c r="V70" s="235"/>
      <c r="W70" s="235"/>
      <c r="X70" s="235"/>
      <c r="Y70" s="235"/>
      <c r="Z70" s="235"/>
      <c r="AB70" s="24"/>
      <c r="AC70" s="1112"/>
      <c r="AE70" s="1" t="s">
        <v>23</v>
      </c>
    </row>
    <row r="71" spans="1:31" x14ac:dyDescent="0.2">
      <c r="A71" s="3" t="s">
        <v>99</v>
      </c>
      <c r="B71" s="113"/>
      <c r="C71" s="1"/>
      <c r="D71" s="1"/>
      <c r="E71" s="1"/>
      <c r="F71" s="1"/>
      <c r="G71" s="222"/>
      <c r="H71" s="222"/>
      <c r="I71" s="222"/>
      <c r="J71" s="222"/>
      <c r="K71" s="222"/>
      <c r="L71" s="222"/>
      <c r="M71" s="235"/>
      <c r="N71" s="235"/>
      <c r="O71" s="235" t="s">
        <v>23</v>
      </c>
      <c r="P71" s="235"/>
      <c r="Q71" s="235" t="s">
        <v>23</v>
      </c>
      <c r="R71" s="235" t="s">
        <v>23</v>
      </c>
      <c r="S71" s="235" t="s">
        <v>23</v>
      </c>
      <c r="T71" s="235" t="s">
        <v>23</v>
      </c>
      <c r="U71" s="235" t="s">
        <v>23</v>
      </c>
      <c r="V71" s="235" t="s">
        <v>23</v>
      </c>
      <c r="W71" s="235" t="s">
        <v>23</v>
      </c>
      <c r="X71" s="235" t="s">
        <v>23</v>
      </c>
      <c r="Y71" s="235" t="s">
        <v>23</v>
      </c>
      <c r="Z71" s="235" t="s">
        <v>23</v>
      </c>
      <c r="AB71" s="24"/>
      <c r="AC71" s="72"/>
    </row>
    <row r="72" spans="1:31" ht="8.25" customHeight="1" thickBot="1" x14ac:dyDescent="0.25">
      <c r="B72" s="113"/>
      <c r="C72" s="1"/>
      <c r="D72" s="1"/>
      <c r="E72" s="1"/>
      <c r="F72" s="1"/>
      <c r="G72" s="222"/>
      <c r="H72" s="222"/>
      <c r="I72" s="222"/>
      <c r="J72" s="222"/>
      <c r="K72" s="222"/>
      <c r="L72" s="222"/>
      <c r="M72" s="235"/>
      <c r="N72" s="235"/>
      <c r="O72" s="235"/>
      <c r="P72" s="235"/>
      <c r="Q72" s="235"/>
      <c r="R72" s="235"/>
      <c r="S72" s="235"/>
      <c r="T72" s="235"/>
      <c r="U72" s="235"/>
      <c r="V72" s="235"/>
      <c r="W72" s="235"/>
      <c r="X72" s="235"/>
      <c r="Y72" s="235"/>
      <c r="Z72" s="235"/>
      <c r="AB72" s="864"/>
      <c r="AC72" s="864"/>
    </row>
    <row r="73" spans="1:31" ht="14.25" customHeight="1" thickTop="1" thickBot="1" x14ac:dyDescent="0.25">
      <c r="B73" s="1055"/>
      <c r="C73" s="1498" t="s">
        <v>33</v>
      </c>
      <c r="D73" s="1499"/>
      <c r="E73" s="1501" t="s">
        <v>34</v>
      </c>
      <c r="F73" s="1501"/>
      <c r="G73" s="1500" t="s">
        <v>106</v>
      </c>
      <c r="H73" s="1495"/>
      <c r="I73" s="1500" t="s">
        <v>118</v>
      </c>
      <c r="J73" s="1494"/>
      <c r="K73" s="1500" t="s">
        <v>121</v>
      </c>
      <c r="L73" s="1495"/>
      <c r="M73" s="1500" t="s">
        <v>127</v>
      </c>
      <c r="N73" s="1495"/>
      <c r="O73" s="1494" t="s">
        <v>174</v>
      </c>
      <c r="P73" s="1495"/>
      <c r="Q73" s="1494" t="s">
        <v>193</v>
      </c>
      <c r="R73" s="1495"/>
      <c r="S73" s="1494" t="s">
        <v>218</v>
      </c>
      <c r="T73" s="1495"/>
      <c r="U73" s="1494" t="s">
        <v>221</v>
      </c>
      <c r="V73" s="1495"/>
      <c r="W73" s="1494" t="s">
        <v>232</v>
      </c>
      <c r="X73" s="1495"/>
      <c r="Y73" s="1494" t="s">
        <v>241</v>
      </c>
      <c r="Z73" s="1508"/>
      <c r="AB73" s="1560" t="s">
        <v>134</v>
      </c>
      <c r="AC73" s="1561"/>
    </row>
    <row r="74" spans="1:31" ht="12" x14ac:dyDescent="0.2">
      <c r="B74" s="1048" t="s">
        <v>37</v>
      </c>
      <c r="C74" s="132"/>
      <c r="D74" s="133"/>
      <c r="E74" s="16"/>
      <c r="F74" s="16"/>
      <c r="G74" s="260"/>
      <c r="H74" s="407"/>
      <c r="I74" s="387"/>
      <c r="J74" s="387"/>
      <c r="K74" s="260"/>
      <c r="L74" s="387"/>
      <c r="M74" s="260"/>
      <c r="N74" s="407"/>
      <c r="O74" s="387"/>
      <c r="P74" s="407"/>
      <c r="Q74" s="387"/>
      <c r="R74" s="407"/>
      <c r="S74" s="387"/>
      <c r="T74" s="407"/>
      <c r="U74" s="387"/>
      <c r="V74" s="407"/>
      <c r="W74" s="387"/>
      <c r="X74" s="407"/>
      <c r="Y74" s="387"/>
      <c r="Z74" s="230"/>
      <c r="AA74" s="657"/>
      <c r="AC74" s="652"/>
    </row>
    <row r="75" spans="1:31" ht="12" x14ac:dyDescent="0.2">
      <c r="B75" s="98" t="s">
        <v>38</v>
      </c>
      <c r="C75" s="134"/>
      <c r="D75" s="168"/>
      <c r="E75" s="7"/>
      <c r="F75" s="99"/>
      <c r="G75" s="261"/>
      <c r="H75" s="408"/>
      <c r="I75" s="231"/>
      <c r="J75" s="244"/>
      <c r="K75" s="261"/>
      <c r="L75" s="244"/>
      <c r="M75" s="261"/>
      <c r="N75" s="408"/>
      <c r="O75" s="231"/>
      <c r="P75" s="408"/>
      <c r="Q75" s="231"/>
      <c r="R75" s="408"/>
      <c r="S75" s="231"/>
      <c r="T75" s="408"/>
      <c r="U75" s="231"/>
      <c r="V75" s="408"/>
      <c r="W75" s="231"/>
      <c r="X75" s="408"/>
      <c r="Y75" s="231"/>
      <c r="Z75" s="221"/>
      <c r="AA75" s="657"/>
      <c r="AC75" s="652"/>
    </row>
    <row r="76" spans="1:31" ht="12" x14ac:dyDescent="0.2">
      <c r="B76" s="42" t="s">
        <v>39</v>
      </c>
      <c r="C76" s="161"/>
      <c r="D76" s="136">
        <f>Dean_Ag!D87+Ag_Econ!D67+Agronomy!D66+Animal_Sci!D74+CommAgEd!D64+Entomology!D63+Grain_Sci!D74+Horticulture!D70+Plant_Path!D63</f>
        <v>52</v>
      </c>
      <c r="E76" s="7"/>
      <c r="F76" s="99">
        <f>Dean_Ag!F87+Ag_Econ!F67+Agronomy!F66+Animal_Sci!F74+CommAgEd!F64+Entomology!F63+Grain_Sci!F74+Horticulture!F70+Plant_Path!F63</f>
        <v>53</v>
      </c>
      <c r="G76" s="261"/>
      <c r="H76" s="408">
        <f>Dean_Ag!H87+Ag_Econ!H67+Agronomy!H66+Animal_Sci!H74+CommAgEd!H64+Entomology!H63+Grain_Sci!H74+Horticulture!H70+Plant_Path!H63</f>
        <v>47</v>
      </c>
      <c r="I76" s="231"/>
      <c r="J76" s="244">
        <f>Dean_Ag!J87+Ag_Econ!J67+Agronomy!J66+Animal_Sci!J74+CommAgEd!J64+Entomology!J63+Grain_Sci!J74+Horticulture!J70+Plant_Path!J63</f>
        <v>47</v>
      </c>
      <c r="K76" s="261"/>
      <c r="L76" s="244">
        <f>Dean_Ag!L87+Ag_Econ!L67+Agronomy!L66+Animal_Sci!L74+CommAgEd!L64+Entomology!L63+Grain_Sci!L74+Horticulture!L70+Plant_Path!L63</f>
        <v>49</v>
      </c>
      <c r="M76" s="261"/>
      <c r="N76" s="408">
        <f>Dean_Ag!N87+Ag_Econ!N67+Agronomy!N66+Animal_Sci!N74+CommAgEd!N64+Entomology!N63+Grain_Sci!N74+Horticulture!N70+Plant_Path!N63</f>
        <v>55</v>
      </c>
      <c r="O76" s="261"/>
      <c r="P76" s="408">
        <f>Dean_Ag!P87+Ag_Econ!P67+Agronomy!P66+Animal_Sci!P74+CommAgEd!P64+Entomology!P63+Grain_Sci!P74+Horticulture!P70+Plant_Path!P63</f>
        <v>58</v>
      </c>
      <c r="Q76" s="231"/>
      <c r="R76" s="408">
        <f>Dean_Ag!R87+Ag_Econ!R67+Agronomy!R66+Animal_Sci!R74+CommAgEd!R64+Entomology!R63+Grain_Sci!R74+Horticulture!R70+Plant_Path!R63</f>
        <v>55</v>
      </c>
      <c r="S76" s="231"/>
      <c r="T76" s="408">
        <f>Dean_Ag!T87+Ag_Econ!T67+Agronomy!T66+Animal_Sci!T74+CommAgEd!T64+Entomology!T63+Grain_Sci!T74+Horticulture!T70+Plant_Path!T63</f>
        <v>64</v>
      </c>
      <c r="U76" s="231"/>
      <c r="V76" s="408">
        <f>Dean_Ag!V87+Ag_Econ!V67+Agronomy!V66+Animal_Sci!V74+CommAgEd!V64+Entomology!V63+Grain_Sci!V74+Horticulture!V70+Plant_Path!V63</f>
        <v>66</v>
      </c>
      <c r="W76" s="231"/>
      <c r="X76" s="408">
        <f>Dean_Ag!X87+Ag_Econ!X67+Agronomy!X66+Animal_Sci!X74+CommAgEd!X64+Entomology!X63+Grain_Sci!X74+Horticulture!X70+Plant_Path!X63</f>
        <v>97</v>
      </c>
      <c r="Y76" s="231"/>
      <c r="Z76" s="221">
        <f>Dean_Ag!Z87+Ag_Econ!Z67+Agronomy!Z66+Animal_Sci!Z74+CommAgEd!Z64+Entomology!Z63+Grain_Sci!Z74+Horticulture!Z70+Plant_Path!Z63</f>
        <v>78</v>
      </c>
      <c r="AA76" s="657"/>
      <c r="AB76" s="318"/>
      <c r="AC76" s="752">
        <f>AVERAGE(X76,V76,T76,R76,Z76)</f>
        <v>72</v>
      </c>
    </row>
    <row r="77" spans="1:31" ht="12" x14ac:dyDescent="0.2">
      <c r="B77" s="42" t="s">
        <v>161</v>
      </c>
      <c r="C77" s="161"/>
      <c r="D77" s="136">
        <f>Dean_Ag!D88+Ag_Econ!D68+Agronomy!D67+Animal_Sci!D75+CommAgEd!D65+Entomology!D64+Grain_Sci!D75+Horticulture!D71+Plant_Path!D64</f>
        <v>3</v>
      </c>
      <c r="E77" s="7"/>
      <c r="F77" s="99">
        <f>Dean_Ag!F88+Ag_Econ!F68+Agronomy!F67+Animal_Sci!F75+CommAgEd!F65+Entomology!F64+Grain_Sci!F75+Horticulture!F71+Plant_Path!F64</f>
        <v>2</v>
      </c>
      <c r="G77" s="261"/>
      <c r="H77" s="408">
        <f>Dean_Ag!H88+Ag_Econ!H68+Agronomy!H67+Animal_Sci!H75+CommAgEd!H65+Entomology!H64+Grain_Sci!H75+Horticulture!H71+Plant_Path!H64</f>
        <v>4</v>
      </c>
      <c r="I77" s="231"/>
      <c r="J77" s="244">
        <f>Dean_Ag!J88+Ag_Econ!J68+Agronomy!J67+Animal_Sci!J75+CommAgEd!J65+Entomology!J64+Grain_Sci!J75+Horticulture!J71+Plant_Path!J64</f>
        <v>5</v>
      </c>
      <c r="K77" s="261"/>
      <c r="L77" s="244">
        <f>Dean_Ag!L88+Ag_Econ!L68+Agronomy!L67+Animal_Sci!L75+CommAgEd!L65+Entomology!L64+Grain_Sci!L75+Horticulture!L71+Plant_Path!L64</f>
        <v>7</v>
      </c>
      <c r="M77" s="261"/>
      <c r="N77" s="408">
        <f>Dean_Ag!N88+Ag_Econ!N68+Agronomy!N67+Animal_Sci!N75+CommAgEd!N65+Entomology!N64+Grain_Sci!N75+Horticulture!N71+Plant_Path!N64</f>
        <v>5</v>
      </c>
      <c r="O77" s="261"/>
      <c r="P77" s="408">
        <f>Dean_Ag!P88+Ag_Econ!P68+Agronomy!P67+Animal_Sci!P75+CommAgEd!P65+Entomology!P64+Grain_Sci!P75+Horticulture!P71+Plant_Path!P64</f>
        <v>2</v>
      </c>
      <c r="Q77" s="231"/>
      <c r="R77" s="408">
        <f>Dean_Ag!R88+Ag_Econ!R68+Agronomy!R67+Animal_Sci!R75+CommAgEd!R65+Entomology!R64+Grain_Sci!R75+Horticulture!R71+Plant_Path!R64</f>
        <v>2</v>
      </c>
      <c r="S77" s="231"/>
      <c r="T77" s="408">
        <f>Dean_Ag!T88+Ag_Econ!T68+Agronomy!T67+Animal_Sci!T75+CommAgEd!T65+Entomology!T64+Grain_Sci!T75+Horticulture!T71+Plant_Path!T64</f>
        <v>2</v>
      </c>
      <c r="U77" s="231"/>
      <c r="V77" s="408">
        <f>Dean_Ag!V88+Ag_Econ!V68+Agronomy!V67+Animal_Sci!V75+CommAgEd!V65+Entomology!V64+Grain_Sci!V75+Horticulture!V71+Plant_Path!V64</f>
        <v>4</v>
      </c>
      <c r="W77" s="231"/>
      <c r="X77" s="408">
        <f>Dean_Ag!X88+Ag_Econ!X68+Agronomy!X67+Animal_Sci!X75+CommAgEd!X65+Entomology!X64+Grain_Sci!X75+Horticulture!X71+Plant_Path!X64</f>
        <v>3</v>
      </c>
      <c r="Y77" s="231"/>
      <c r="Z77" s="221">
        <f>Dean_Ag!Z88+Ag_Econ!Z68+Agronomy!Z67+Animal_Sci!Z75+CommAgEd!Z65+Entomology!Z64+Grain_Sci!Z75+Horticulture!Z71+Plant_Path!Z64</f>
        <v>4</v>
      </c>
      <c r="AA77" s="657"/>
      <c r="AB77" s="318"/>
      <c r="AC77" s="752">
        <f t="shared" ref="AC77" si="16">AVERAGE(X77,V77,T77,R77,Z77)</f>
        <v>3</v>
      </c>
    </row>
    <row r="78" spans="1:31" ht="12" x14ac:dyDescent="0.2">
      <c r="B78" s="98" t="s">
        <v>40</v>
      </c>
      <c r="C78" s="161"/>
      <c r="D78" s="136"/>
      <c r="E78" s="7"/>
      <c r="F78" s="12"/>
      <c r="G78" s="261"/>
      <c r="H78" s="217"/>
      <c r="I78" s="231"/>
      <c r="J78" s="105"/>
      <c r="K78" s="261"/>
      <c r="L78" s="105"/>
      <c r="M78" s="261"/>
      <c r="N78" s="217"/>
      <c r="O78" s="261"/>
      <c r="P78" s="217"/>
      <c r="Q78" s="231"/>
      <c r="R78" s="217"/>
      <c r="S78" s="231"/>
      <c r="T78" s="217"/>
      <c r="U78" s="231"/>
      <c r="V78" s="217"/>
      <c r="W78" s="231"/>
      <c r="X78" s="217"/>
      <c r="Y78" s="231"/>
      <c r="Z78" s="232"/>
      <c r="AA78" s="657"/>
      <c r="AB78" s="748"/>
      <c r="AC78" s="658"/>
    </row>
    <row r="79" spans="1:31" ht="12" x14ac:dyDescent="0.2">
      <c r="B79" s="42" t="s">
        <v>39</v>
      </c>
      <c r="C79" s="161"/>
      <c r="D79" s="136">
        <f>Dean_Ag!D90+Ag_Econ!D70+Agronomy!D69+Animal_Sci!D77+CommAgEd!D67+Entomology!D66+Grain_Sci!D77+Horticulture!D73+Plant_Path!D66</f>
        <v>175</v>
      </c>
      <c r="E79" s="7"/>
      <c r="F79" s="12">
        <f>Dean_Ag!F90+Ag_Econ!F70+Agronomy!F69+Animal_Sci!F77+CommAgEd!F67+Entomology!F66+Grain_Sci!F77+Horticulture!F73+Plant_Path!F66</f>
        <v>162</v>
      </c>
      <c r="G79" s="261"/>
      <c r="H79" s="217">
        <f>Dean_Ag!H90+Ag_Econ!H70+Agronomy!H69+Animal_Sci!H77+CommAgEd!H67+Entomology!H66+Grain_Sci!H77+Horticulture!H73+Plant_Path!H66</f>
        <v>166</v>
      </c>
      <c r="I79" s="231"/>
      <c r="J79" s="105">
        <f>Dean_Ag!J90+Ag_Econ!J70+Agronomy!J69+Animal_Sci!J77+CommAgEd!J67+Entomology!J66+Grain_Sci!J77+Horticulture!J73+Plant_Path!J66</f>
        <v>169</v>
      </c>
      <c r="K79" s="261"/>
      <c r="L79" s="105">
        <f>Dean_Ag!L90+Ag_Econ!L70+Agronomy!L69+Animal_Sci!L77+CommAgEd!L67+Entomology!L66+Grain_Sci!L77+Horticulture!L73+Plant_Path!L66</f>
        <v>170</v>
      </c>
      <c r="M79" s="261"/>
      <c r="N79" s="217">
        <f>Dean_Ag!N90+Ag_Econ!N70+Agronomy!N69+Animal_Sci!N77+CommAgEd!N67+Entomology!N66+Grain_Sci!N77+Horticulture!N73+Plant_Path!N66</f>
        <v>174</v>
      </c>
      <c r="O79" s="261"/>
      <c r="P79" s="217">
        <f>Dean_Ag!P90+Ag_Econ!P70+Agronomy!P69+Animal_Sci!P77+CommAgEd!P67+Entomology!P66+Grain_Sci!P77+Horticulture!P73+Plant_Path!P66</f>
        <v>169</v>
      </c>
      <c r="Q79" s="231"/>
      <c r="R79" s="217">
        <f>Dean_Ag!R90+Ag_Econ!R70+Agronomy!R69+Animal_Sci!R77+CommAgEd!R67+Entomology!R66+Grain_Sci!R77+Horticulture!R73+Plant_Path!R66</f>
        <v>158</v>
      </c>
      <c r="S79" s="231"/>
      <c r="T79" s="217">
        <f>Dean_Ag!T90+Ag_Econ!T70+Agronomy!T69+Animal_Sci!T77+CommAgEd!T67+Entomology!T66+Grain_Sci!T77+Horticulture!T73+Plant_Path!T66</f>
        <v>158</v>
      </c>
      <c r="U79" s="231"/>
      <c r="V79" s="217">
        <f>Dean_Ag!V90+Ag_Econ!V70+Agronomy!V69+Animal_Sci!V77+CommAgEd!V67+Entomology!V66+Grain_Sci!V77+Horticulture!V73+Plant_Path!V66</f>
        <v>156</v>
      </c>
      <c r="W79" s="231"/>
      <c r="X79" s="217">
        <f>Dean_Ag!X90+Ag_Econ!X70+Agronomy!X69+Animal_Sci!X77+CommAgEd!X67+Entomology!X66+Grain_Sci!X77+Horticulture!X73+Plant_Path!X66</f>
        <v>135</v>
      </c>
      <c r="Y79" s="231"/>
      <c r="Z79" s="232">
        <f>Dean_Ag!Z90+Ag_Econ!Z70+Agronomy!Z69+Animal_Sci!Z77+CommAgEd!Z67+Entomology!Z66+Grain_Sci!Z77+Horticulture!Z73+Plant_Path!Z66</f>
        <v>145</v>
      </c>
      <c r="AA79" s="657"/>
      <c r="AB79" s="748"/>
      <c r="AC79" s="753">
        <f t="shared" ref="AC79:AC81" si="17">AVERAGE(X79,V79,T79,R79,Z79)</f>
        <v>150.4</v>
      </c>
    </row>
    <row r="80" spans="1:31" ht="12" x14ac:dyDescent="0.2">
      <c r="B80" s="680" t="s">
        <v>161</v>
      </c>
      <c r="C80" s="161"/>
      <c r="D80" s="136">
        <f>Dean_Ag!D91+Ag_Econ!D71+Agronomy!D70+Animal_Sci!D78+CommAgEd!D68+Entomology!D67+Grain_Sci!D78+Horticulture!D74+Plant_Path!D67</f>
        <v>8</v>
      </c>
      <c r="E80" s="7"/>
      <c r="F80" s="12">
        <f>Dean_Ag!F91+Ag_Econ!F71+Agronomy!F70+Animal_Sci!F78+CommAgEd!F68+Entomology!F67+Grain_Sci!F78+Horticulture!F74+Plant_Path!F67</f>
        <v>9</v>
      </c>
      <c r="G80" s="261"/>
      <c r="H80" s="217">
        <f>Dean_Ag!H91+Ag_Econ!H71+Agronomy!H70+Animal_Sci!H78+CommAgEd!H68+Entomology!H67+Grain_Sci!H78+Horticulture!H74+Plant_Path!H67</f>
        <v>8</v>
      </c>
      <c r="I80" s="231"/>
      <c r="J80" s="105">
        <f>Dean_Ag!J91+Ag_Econ!J71+Agronomy!J70+Animal_Sci!J78+CommAgEd!J68+Entomology!J67+Grain_Sci!J78+Horticulture!J74+Plant_Path!J67</f>
        <v>6</v>
      </c>
      <c r="K80" s="261"/>
      <c r="L80" s="105">
        <f>Dean_Ag!L91+Ag_Econ!L71+Agronomy!L70+Animal_Sci!L78+CommAgEd!L68+Entomology!L67+Grain_Sci!L78+Horticulture!L74+Plant_Path!L67</f>
        <v>5</v>
      </c>
      <c r="M80" s="261"/>
      <c r="N80" s="217">
        <f>Dean_Ag!N91+Ag_Econ!N71+Agronomy!N70+Animal_Sci!N78+CommAgEd!N68+Entomology!N67+Grain_Sci!N78+Horticulture!N74+Plant_Path!N67</f>
        <v>8</v>
      </c>
      <c r="O80" s="261"/>
      <c r="P80" s="217">
        <f>Dean_Ag!P91+Ag_Econ!P71+Agronomy!P70+Animal_Sci!P78+CommAgEd!P68+Entomology!P67+Grain_Sci!P78+Horticulture!P74+Plant_Path!P67</f>
        <v>7</v>
      </c>
      <c r="Q80" s="231"/>
      <c r="R80" s="217">
        <f>Dean_Ag!R91+Ag_Econ!R71+Agronomy!R70+Animal_Sci!R78+CommAgEd!R68+Entomology!R67+Grain_Sci!R78+Horticulture!R74+Plant_Path!R67</f>
        <v>6</v>
      </c>
      <c r="S80" s="231"/>
      <c r="T80" s="217">
        <f>Dean_Ag!T91+Ag_Econ!T71+Agronomy!T70+Animal_Sci!T78+CommAgEd!T68+Entomology!T67+Grain_Sci!T78+Horticulture!T74+Plant_Path!T67</f>
        <v>6</v>
      </c>
      <c r="U80" s="231"/>
      <c r="V80" s="217">
        <f>Dean_Ag!V91+Ag_Econ!V71+Agronomy!V70+Animal_Sci!V78+CommAgEd!V68+Entomology!V67+Grain_Sci!V78+Horticulture!V74+Plant_Path!V67</f>
        <v>5</v>
      </c>
      <c r="W80" s="231"/>
      <c r="X80" s="217">
        <f>Dean_Ag!X91+Ag_Econ!X71+Agronomy!X70+Animal_Sci!X78+CommAgEd!X68+Entomology!X67+Grain_Sci!X78+Horticulture!X74+Plant_Path!X67</f>
        <v>3</v>
      </c>
      <c r="Y80" s="231"/>
      <c r="Z80" s="232">
        <f>Dean_Ag!Z91+Ag_Econ!Z71+Agronomy!Z70+Animal_Sci!Z78+CommAgEd!Z68+Entomology!Z67+Grain_Sci!Z78+Horticulture!Z74+Plant_Path!Z67</f>
        <v>7</v>
      </c>
      <c r="AA80" s="657"/>
      <c r="AB80" s="318"/>
      <c r="AC80" s="752">
        <f t="shared" si="17"/>
        <v>5.4</v>
      </c>
    </row>
    <row r="81" spans="2:29" thickBot="1" x14ac:dyDescent="0.25">
      <c r="B81" s="1056" t="s">
        <v>13</v>
      </c>
      <c r="C81" s="162"/>
      <c r="D81" s="163">
        <f>SUM(D76:D80)</f>
        <v>238</v>
      </c>
      <c r="E81" s="120"/>
      <c r="F81" s="47">
        <f>SUM(F76:F80)</f>
        <v>226</v>
      </c>
      <c r="G81" s="288"/>
      <c r="H81" s="409">
        <f>Dean_Ag!H92+Ag_Econ!H72+Agronomy!H71+Animal_Sci!H79+CommAgEd!H69+Entomology!H68+Grain_Sci!H79+Horticulture!H75+Plant_Path!H68</f>
        <v>225</v>
      </c>
      <c r="I81" s="396"/>
      <c r="J81" s="315">
        <f>Dean_Ag!J92+Ag_Econ!J72+Agronomy!J71+Animal_Sci!J79+CommAgEd!J69+Entomology!J68+Grain_Sci!J79+Horticulture!J75+Plant_Path!J68</f>
        <v>227</v>
      </c>
      <c r="K81" s="288"/>
      <c r="L81" s="315">
        <f>Dean_Ag!L92+Ag_Econ!L72+Agronomy!L71+Animal_Sci!L79+CommAgEd!L69+Entomology!L68+Grain_Sci!L79+Horticulture!L75+Plant_Path!L68</f>
        <v>231</v>
      </c>
      <c r="M81" s="288"/>
      <c r="N81" s="409">
        <f>Dean_Ag!N92+Ag_Econ!N72+Agronomy!N71+Animal_Sci!N79+CommAgEd!N69+Entomology!N68+Grain_Sci!N79+Horticulture!N75+Plant_Path!N68</f>
        <v>242</v>
      </c>
      <c r="O81" s="288"/>
      <c r="P81" s="409">
        <f>Dean_Ag!P92+Ag_Econ!P72+Agronomy!P71+Animal_Sci!P79+CommAgEd!P69+Entomology!P68+Grain_Sci!P79+Horticulture!P75+Plant_Path!P68</f>
        <v>236</v>
      </c>
      <c r="Q81" s="396"/>
      <c r="R81" s="409">
        <f>Dean_Ag!R92+Ag_Econ!R72+Agronomy!R71+Animal_Sci!R79+CommAgEd!R69+Entomology!R68+Grain_Sci!R79+Horticulture!R75+Plant_Path!R68</f>
        <v>221</v>
      </c>
      <c r="S81" s="396"/>
      <c r="T81" s="409">
        <f>Dean_Ag!T92+Ag_Econ!T72+Agronomy!T71+Animal_Sci!T79+CommAgEd!T69+Entomology!T68+Grain_Sci!T79+Horticulture!T75+Plant_Path!T68</f>
        <v>230</v>
      </c>
      <c r="U81" s="396"/>
      <c r="V81" s="409">
        <f>Dean_Ag!V92+Ag_Econ!V72+Agronomy!V71+Animal_Sci!V79+CommAgEd!V69+Entomology!V68+Grain_Sci!V79+Horticulture!V75+Plant_Path!V68</f>
        <v>231</v>
      </c>
      <c r="W81" s="396"/>
      <c r="X81" s="409">
        <f>Dean_Ag!X92+Ag_Econ!X72+Agronomy!X71+Animal_Sci!X79+CommAgEd!X69+Entomology!X68+Grain_Sci!X79+Horticulture!X75+Plant_Path!X68</f>
        <v>238</v>
      </c>
      <c r="Y81" s="396"/>
      <c r="Z81" s="1359">
        <f>Dean_Ag!Z92+Ag_Econ!Z72+Agronomy!Z71+Animal_Sci!Z79+CommAgEd!Z69+Entomology!Z68+Grain_Sci!Z79+Horticulture!Z75+Plant_Path!Z68</f>
        <v>234</v>
      </c>
      <c r="AB81" s="849"/>
      <c r="AC81" s="786">
        <f t="shared" si="17"/>
        <v>230.8</v>
      </c>
    </row>
    <row r="82" spans="2:29" ht="13.5" customHeight="1" x14ac:dyDescent="0.2">
      <c r="B82" s="1164" t="s">
        <v>100</v>
      </c>
      <c r="C82" s="567" t="s">
        <v>97</v>
      </c>
      <c r="D82" s="568" t="s">
        <v>98</v>
      </c>
      <c r="E82" s="124" t="s">
        <v>97</v>
      </c>
      <c r="F82" s="160" t="s">
        <v>98</v>
      </c>
      <c r="G82" s="275" t="s">
        <v>97</v>
      </c>
      <c r="H82" s="410" t="s">
        <v>98</v>
      </c>
      <c r="I82" s="397" t="s">
        <v>97</v>
      </c>
      <c r="J82" s="495" t="s">
        <v>98</v>
      </c>
      <c r="K82" s="275" t="s">
        <v>97</v>
      </c>
      <c r="L82" s="495" t="s">
        <v>98</v>
      </c>
      <c r="M82" s="275" t="s">
        <v>97</v>
      </c>
      <c r="N82" s="410" t="s">
        <v>98</v>
      </c>
      <c r="O82" s="275" t="s">
        <v>97</v>
      </c>
      <c r="P82" s="410" t="s">
        <v>98</v>
      </c>
      <c r="Q82" s="397" t="s">
        <v>97</v>
      </c>
      <c r="R82" s="410" t="s">
        <v>98</v>
      </c>
      <c r="S82" s="397" t="s">
        <v>97</v>
      </c>
      <c r="T82" s="410" t="s">
        <v>98</v>
      </c>
      <c r="U82" s="397" t="s">
        <v>97</v>
      </c>
      <c r="V82" s="410" t="s">
        <v>98</v>
      </c>
      <c r="W82" s="397" t="s">
        <v>97</v>
      </c>
      <c r="X82" s="410" t="s">
        <v>98</v>
      </c>
      <c r="Y82" s="397" t="s">
        <v>97</v>
      </c>
      <c r="Z82" s="539" t="s">
        <v>98</v>
      </c>
      <c r="AB82" s="649" t="s">
        <v>97</v>
      </c>
      <c r="AC82" s="1105" t="s">
        <v>98</v>
      </c>
    </row>
    <row r="83" spans="2:29" ht="12" x14ac:dyDescent="0.2">
      <c r="B83" s="42" t="s">
        <v>81</v>
      </c>
      <c r="C83" s="614">
        <f>Dean_Ag!C94+Ag_Econ!C74+Agronomy!C73+Animal_Sci!C81+CommAgEd!C71+Entomology!C70+Grain_Sci!C81+Horticulture!C77+Plant_Path!C70</f>
        <v>211</v>
      </c>
      <c r="D83" s="411">
        <f>C83/D$81</f>
        <v>0.88655462184873945</v>
      </c>
      <c r="E83" s="170">
        <f>Dean_Ag!E94+Ag_Econ!E74+Agronomy!E73+Animal_Sci!E81+CommAgEd!E71+Entomology!E70+Grain_Sci!E81+Horticulture!E77+Plant_Path!E70</f>
        <v>199</v>
      </c>
      <c r="F83" s="169">
        <f t="shared" ref="F83:H90" si="18">E83/F$81</f>
        <v>0.88053097345132747</v>
      </c>
      <c r="G83" s="380">
        <f>Dean_Ag!G94+Ag_Econ!G74+Agronomy!G73+Animal_Sci!G81+CommAgEd!G71+Entomology!G70+Grain_Sci!G81+Horticulture!G77+Plant_Path!G70</f>
        <v>197</v>
      </c>
      <c r="H83" s="411">
        <f t="shared" si="18"/>
        <v>0.87555555555555553</v>
      </c>
      <c r="I83" s="170">
        <f>Dean_Ag!I94+Ag_Econ!I74+Agronomy!I73+Animal_Sci!I81+CommAgEd!I71+Entomology!I70+Grain_Sci!I81+Horticulture!I77+Plant_Path!I70</f>
        <v>197</v>
      </c>
      <c r="J83" s="169">
        <f t="shared" ref="J83:L90" si="19">I83/J$81</f>
        <v>0.86784140969162993</v>
      </c>
      <c r="K83" s="380">
        <f>Dean_Ag!K94+Ag_Econ!K74+Agronomy!K73+Animal_Sci!K81+CommAgEd!K71+Entomology!K70+Grain_Sci!K81+Horticulture!K77+Plant_Path!K70</f>
        <v>194</v>
      </c>
      <c r="L83" s="169">
        <f t="shared" si="19"/>
        <v>0.83982683982683981</v>
      </c>
      <c r="M83" s="380">
        <f>Dean_Ag!M94+Ag_Econ!M74+Agronomy!M73+Animal_Sci!M81+CommAgEd!M71+Entomology!M70+Grain_Sci!M81+Horticulture!M77+Plant_Path!M70</f>
        <v>204</v>
      </c>
      <c r="N83" s="411">
        <f t="shared" ref="N83:N90" si="20">M83/N$81</f>
        <v>0.84297520661157022</v>
      </c>
      <c r="O83" s="380">
        <f>Dean_Ag!O94+Ag_Econ!O74+Agronomy!O73+Animal_Sci!O81+CommAgEd!O71+Entomology!O70+Grain_Sci!O81+Horticulture!O77+Plant_Path!O70</f>
        <v>199</v>
      </c>
      <c r="P83" s="411">
        <f t="shared" ref="P83:P90" si="21">O83/P$81</f>
        <v>0.84322033898305082</v>
      </c>
      <c r="Q83" s="170">
        <f>Dean_Ag!Q94+Ag_Econ!Q74+Agronomy!Q73+Animal_Sci!Q81+CommAgEd!Q71+Entomology!Q70+Grain_Sci!Q81+Horticulture!Q77+Plant_Path!Q70</f>
        <v>170</v>
      </c>
      <c r="R83" s="411">
        <f t="shared" ref="R83:R90" si="22">Q83/R$81</f>
        <v>0.76923076923076927</v>
      </c>
      <c r="S83" s="170">
        <f>Dean_Ag!S94+Ag_Econ!S74+Agronomy!S73+Animal_Sci!S81+CommAgEd!S71+Entomology!S70+Grain_Sci!S81+Horticulture!S77+Plant_Path!S70</f>
        <v>165</v>
      </c>
      <c r="T83" s="411">
        <f t="shared" ref="T83:T88" si="23">S83/T$81</f>
        <v>0.71739130434782605</v>
      </c>
      <c r="U83" s="170">
        <f>Dean_Ag!U94+Ag_Econ!U74+Agronomy!U73+Animal_Sci!U81+CommAgEd!U71+Entomology!U70+Grain_Sci!U81+Horticulture!U77+Plant_Path!U70</f>
        <v>185</v>
      </c>
      <c r="V83" s="411">
        <f t="shared" ref="V83:V88" si="24">U83/V$81</f>
        <v>0.80086580086580084</v>
      </c>
      <c r="W83" s="170">
        <f>Dean_Ag!W94+Ag_Econ!W74+Agronomy!W73+Animal_Sci!W81+CommAgEd!W71+Entomology!W70+Grain_Sci!W81+Horticulture!W77+Plant_Path!W70</f>
        <v>185</v>
      </c>
      <c r="X83" s="411">
        <f t="shared" ref="X83:X88" si="25">W83/X$81</f>
        <v>0.77731092436974791</v>
      </c>
      <c r="Y83" s="170">
        <f>Dean_Ag!Y94+Ag_Econ!Y74+Agronomy!Y73+Animal_Sci!Y81+CommAgEd!Y71+Entomology!Y70+Grain_Sci!Y81+Horticulture!Y77+Plant_Path!Y70</f>
        <v>186</v>
      </c>
      <c r="Z83" s="1363">
        <f t="shared" ref="Z83:Z88" si="26">Y83/Z$81</f>
        <v>0.79487179487179482</v>
      </c>
      <c r="AB83" s="687">
        <f t="shared" ref="AB83:AB90" si="27">AVERAGE(W83,U83,S83,Q83,Y83)</f>
        <v>178.2</v>
      </c>
      <c r="AC83" s="1104">
        <f t="shared" ref="AC83:AC90" si="28">AVERAGE(X83,V83,T83,R83,Z83)</f>
        <v>0.77193411873718776</v>
      </c>
    </row>
    <row r="84" spans="2:29" ht="12" x14ac:dyDescent="0.2">
      <c r="B84" s="1057" t="s">
        <v>82</v>
      </c>
      <c r="C84" s="614">
        <f>Dean_Ag!C95+Ag_Econ!C75+Agronomy!C74+Animal_Sci!C82+CommAgEd!C72+Entomology!C71+Grain_Sci!C82+Horticulture!C78+Plant_Path!C71</f>
        <v>1</v>
      </c>
      <c r="D84" s="411">
        <f t="shared" ref="D84:D102" si="29">C84/$D$81</f>
        <v>4.2016806722689074E-3</v>
      </c>
      <c r="E84" s="170">
        <f>Dean_Ag!E95+Ag_Econ!E75+Agronomy!E74+Animal_Sci!E82+CommAgEd!E72+Entomology!E71+Grain_Sci!E82+Horticulture!E78+Plant_Path!E71</f>
        <v>0</v>
      </c>
      <c r="F84" s="169">
        <f t="shared" si="18"/>
        <v>0</v>
      </c>
      <c r="G84" s="380">
        <f>Dean_Ag!G95+Ag_Econ!G75+Agronomy!G74+Animal_Sci!G82+CommAgEd!G72+Entomology!G71+Grain_Sci!G82+Horticulture!G78+Plant_Path!G71</f>
        <v>0</v>
      </c>
      <c r="H84" s="411">
        <f t="shared" si="18"/>
        <v>0</v>
      </c>
      <c r="I84" s="170">
        <f>Dean_Ag!I95+Ag_Econ!I75+Agronomy!I74+Animal_Sci!I82+CommAgEd!I72+Entomology!I71+Grain_Sci!I82+Horticulture!I78+Plant_Path!I71</f>
        <v>0</v>
      </c>
      <c r="J84" s="169">
        <f t="shared" si="19"/>
        <v>0</v>
      </c>
      <c r="K84" s="380">
        <f>Dean_Ag!K95+Ag_Econ!K75+Agronomy!K74+Animal_Sci!K82+CommAgEd!K72+Entomology!K71+Grain_Sci!K82+Horticulture!K78+Plant_Path!K71</f>
        <v>1</v>
      </c>
      <c r="L84" s="169">
        <f t="shared" si="19"/>
        <v>4.329004329004329E-3</v>
      </c>
      <c r="M84" s="380">
        <f>Dean_Ag!M95+Ag_Econ!M75+Agronomy!M74+Animal_Sci!M82+CommAgEd!M72+Entomology!M71+Grain_Sci!M82+Horticulture!M78+Plant_Path!M71</f>
        <v>2</v>
      </c>
      <c r="N84" s="411">
        <f t="shared" si="20"/>
        <v>8.2644628099173556E-3</v>
      </c>
      <c r="O84" s="380">
        <f>Dean_Ag!O95+Ag_Econ!O75+Agronomy!O74+Animal_Sci!O82+CommAgEd!O72+Entomology!O71+Grain_Sci!O82+Horticulture!O78+Plant_Path!O71</f>
        <v>2</v>
      </c>
      <c r="P84" s="411">
        <f t="shared" si="21"/>
        <v>8.4745762711864406E-3</v>
      </c>
      <c r="Q84" s="170">
        <f>Dean_Ag!Q95+Ag_Econ!Q75+Agronomy!Q74+Animal_Sci!Q82+CommAgEd!Q72+Entomology!Q71+Grain_Sci!Q82+Horticulture!Q78+Plant_Path!Q71</f>
        <v>3</v>
      </c>
      <c r="R84" s="411">
        <f t="shared" si="22"/>
        <v>1.3574660633484163E-2</v>
      </c>
      <c r="S84" s="170">
        <f>Dean_Ag!S95+Ag_Econ!S75+Agronomy!S74+Animal_Sci!S82+CommAgEd!S72+Entomology!S71+Grain_Sci!S82+Horticulture!S78+Plant_Path!S71</f>
        <v>3</v>
      </c>
      <c r="T84" s="411">
        <f t="shared" si="23"/>
        <v>1.3043478260869565E-2</v>
      </c>
      <c r="U84" s="170">
        <f>Dean_Ag!U95+Ag_Econ!U75+Agronomy!U74+Animal_Sci!U82+CommAgEd!U72+Entomology!U71+Grain_Sci!U82+Horticulture!U78+Plant_Path!U71</f>
        <v>4</v>
      </c>
      <c r="V84" s="411">
        <f t="shared" si="24"/>
        <v>1.7316017316017316E-2</v>
      </c>
      <c r="W84" s="170">
        <f>Dean_Ag!W95+Ag_Econ!W75+Agronomy!W74+Animal_Sci!W82+CommAgEd!W72+Entomology!W71+Grain_Sci!W82+Horticulture!W78+Plant_Path!W71</f>
        <v>6</v>
      </c>
      <c r="X84" s="411">
        <f t="shared" si="25"/>
        <v>2.5210084033613446E-2</v>
      </c>
      <c r="Y84" s="170">
        <f>Dean_Ag!Y95+Ag_Econ!Y75+Agronomy!Y74+Animal_Sci!Y82+CommAgEd!Y72+Entomology!Y71+Grain_Sci!Y82+Horticulture!Y78+Plant_Path!Y71</f>
        <v>6</v>
      </c>
      <c r="Z84" s="1363">
        <f t="shared" si="26"/>
        <v>2.564102564102564E-2</v>
      </c>
      <c r="AA84" s="657"/>
      <c r="AB84" s="687">
        <f t="shared" si="27"/>
        <v>4.4000000000000004</v>
      </c>
      <c r="AC84" s="1104">
        <f t="shared" si="28"/>
        <v>1.8957053177002026E-2</v>
      </c>
    </row>
    <row r="85" spans="2:29" ht="12" x14ac:dyDescent="0.2">
      <c r="B85" s="1057" t="s">
        <v>83</v>
      </c>
      <c r="C85" s="614">
        <f>Dean_Ag!C96+Ag_Econ!C76+Agronomy!C75+Animal_Sci!C83+CommAgEd!C73+Entomology!C72+Grain_Sci!C83+Horticulture!C79+Plant_Path!C72</f>
        <v>1</v>
      </c>
      <c r="D85" s="411">
        <f t="shared" si="29"/>
        <v>4.2016806722689074E-3</v>
      </c>
      <c r="E85" s="170">
        <f>Dean_Ag!E96+Ag_Econ!E76+Agronomy!E75+Animal_Sci!E83+CommAgEd!E73+Entomology!E72+Grain_Sci!E83+Horticulture!E79+Plant_Path!E72</f>
        <v>1</v>
      </c>
      <c r="F85" s="169">
        <f t="shared" si="18"/>
        <v>4.4247787610619468E-3</v>
      </c>
      <c r="G85" s="380">
        <f>Dean_Ag!G96+Ag_Econ!G76+Agronomy!G75+Animal_Sci!G83+CommAgEd!G73+Entomology!G72+Grain_Sci!G83+Horticulture!G79+Plant_Path!G72</f>
        <v>1</v>
      </c>
      <c r="H85" s="411">
        <f t="shared" si="18"/>
        <v>4.4444444444444444E-3</v>
      </c>
      <c r="I85" s="170">
        <f>Dean_Ag!I96+Ag_Econ!I76+Agronomy!I75+Animal_Sci!I83+CommAgEd!I73+Entomology!I72+Grain_Sci!I83+Horticulture!I79+Plant_Path!I72</f>
        <v>1</v>
      </c>
      <c r="J85" s="169">
        <f t="shared" si="19"/>
        <v>4.4052863436123352E-3</v>
      </c>
      <c r="K85" s="380">
        <f>Dean_Ag!K96+Ag_Econ!K76+Agronomy!K75+Animal_Sci!K83+CommAgEd!K73+Entomology!K72+Grain_Sci!K83+Horticulture!K79+Plant_Path!K72</f>
        <v>1</v>
      </c>
      <c r="L85" s="169">
        <f t="shared" si="19"/>
        <v>4.329004329004329E-3</v>
      </c>
      <c r="M85" s="380">
        <f>Dean_Ag!M96+Ag_Econ!M76+Agronomy!M75+Animal_Sci!M83+CommAgEd!M73+Entomology!M72+Grain_Sci!M83+Horticulture!M79+Plant_Path!M72</f>
        <v>1</v>
      </c>
      <c r="N85" s="411">
        <f t="shared" si="20"/>
        <v>4.1322314049586778E-3</v>
      </c>
      <c r="O85" s="380">
        <f>Dean_Ag!O96+Ag_Econ!O76+Agronomy!O75+Animal_Sci!O83+CommAgEd!O73+Entomology!O72+Grain_Sci!O83+Horticulture!O79+Plant_Path!O72</f>
        <v>1</v>
      </c>
      <c r="P85" s="411">
        <f t="shared" si="21"/>
        <v>4.2372881355932203E-3</v>
      </c>
      <c r="Q85" s="170">
        <f>Dean_Ag!Q96+Ag_Econ!Q76+Agronomy!Q75+Animal_Sci!Q83+CommAgEd!Q73+Entomology!Q72+Grain_Sci!Q83+Horticulture!Q79+Plant_Path!Q72</f>
        <v>2</v>
      </c>
      <c r="R85" s="411">
        <f t="shared" si="22"/>
        <v>9.0497737556561094E-3</v>
      </c>
      <c r="S85" s="170">
        <f>Dean_Ag!S96+Ag_Econ!S76+Agronomy!S75+Animal_Sci!S83+CommAgEd!S73+Entomology!S72+Grain_Sci!S83+Horticulture!S79+Plant_Path!S72</f>
        <v>4</v>
      </c>
      <c r="T85" s="411">
        <f t="shared" si="23"/>
        <v>1.7391304347826087E-2</v>
      </c>
      <c r="U85" s="170">
        <f>Dean_Ag!U96+Ag_Econ!U76+Agronomy!U75+Animal_Sci!U83+CommAgEd!U73+Entomology!U72+Grain_Sci!U83+Horticulture!U79+Plant_Path!U72</f>
        <v>3</v>
      </c>
      <c r="V85" s="411">
        <f t="shared" si="24"/>
        <v>1.2987012987012988E-2</v>
      </c>
      <c r="W85" s="170">
        <f>Dean_Ag!W96+Ag_Econ!W76+Agronomy!W75+Animal_Sci!W83+CommAgEd!W73+Entomology!W72+Grain_Sci!W83+Horticulture!W79+Plant_Path!W72</f>
        <v>3</v>
      </c>
      <c r="X85" s="411">
        <f t="shared" si="25"/>
        <v>1.2605042016806723E-2</v>
      </c>
      <c r="Y85" s="170">
        <f>Dean_Ag!Y96+Ag_Econ!Y76+Agronomy!Y75+Animal_Sci!Y83+CommAgEd!Y73+Entomology!Y72+Grain_Sci!Y83+Horticulture!Y79+Plant_Path!Y72</f>
        <v>3</v>
      </c>
      <c r="Z85" s="1363">
        <f t="shared" si="26"/>
        <v>1.282051282051282E-2</v>
      </c>
      <c r="AA85" s="657"/>
      <c r="AB85" s="687">
        <f t="shared" si="27"/>
        <v>3</v>
      </c>
      <c r="AC85" s="685">
        <f t="shared" si="28"/>
        <v>1.2970729185562946E-2</v>
      </c>
    </row>
    <row r="86" spans="2:29" ht="12" x14ac:dyDescent="0.2">
      <c r="B86" s="1057" t="s">
        <v>84</v>
      </c>
      <c r="C86" s="614">
        <f>Dean_Ag!C97+Ag_Econ!C77+Agronomy!C76+Animal_Sci!C84+CommAgEd!C74+Entomology!C73+Grain_Sci!C84+Horticulture!C80+Plant_Path!C73</f>
        <v>3</v>
      </c>
      <c r="D86" s="411">
        <f t="shared" si="29"/>
        <v>1.2605042016806723E-2</v>
      </c>
      <c r="E86" s="170">
        <f>Dean_Ag!E97+Ag_Econ!E77+Agronomy!E76+Animal_Sci!E84+CommAgEd!E74+Entomology!E73+Grain_Sci!E84+Horticulture!E80+Plant_Path!E73</f>
        <v>3</v>
      </c>
      <c r="F86" s="169">
        <f t="shared" si="18"/>
        <v>1.3274336283185841E-2</v>
      </c>
      <c r="G86" s="380">
        <f>Dean_Ag!G97+Ag_Econ!G77+Agronomy!G76+Animal_Sci!G84+CommAgEd!G74+Entomology!G73+Grain_Sci!G84+Horticulture!G80+Plant_Path!G73</f>
        <v>3</v>
      </c>
      <c r="H86" s="411">
        <f t="shared" si="18"/>
        <v>1.3333333333333334E-2</v>
      </c>
      <c r="I86" s="170">
        <f>Dean_Ag!I97+Ag_Econ!I77+Agronomy!I76+Animal_Sci!I84+CommAgEd!I74+Entomology!I73+Grain_Sci!I84+Horticulture!I80+Plant_Path!I73</f>
        <v>3</v>
      </c>
      <c r="J86" s="169">
        <f t="shared" si="19"/>
        <v>1.3215859030837005E-2</v>
      </c>
      <c r="K86" s="380">
        <f>Dean_Ag!K97+Ag_Econ!K77+Agronomy!K76+Animal_Sci!K84+CommAgEd!K74+Entomology!K73+Grain_Sci!K84+Horticulture!K80+Plant_Path!K73</f>
        <v>3</v>
      </c>
      <c r="L86" s="169">
        <f t="shared" si="19"/>
        <v>1.2987012987012988E-2</v>
      </c>
      <c r="M86" s="380">
        <f>Dean_Ag!M97+Ag_Econ!M77+Agronomy!M76+Animal_Sci!M84+CommAgEd!M74+Entomology!M73+Grain_Sci!M84+Horticulture!M80+Plant_Path!M73</f>
        <v>3</v>
      </c>
      <c r="N86" s="411">
        <f t="shared" si="20"/>
        <v>1.2396694214876033E-2</v>
      </c>
      <c r="O86" s="380">
        <f>Dean_Ag!O97+Ag_Econ!O77+Agronomy!O76+Animal_Sci!O84+CommAgEd!O74+Entomology!O73+Grain_Sci!O84+Horticulture!O80+Plant_Path!O73</f>
        <v>3</v>
      </c>
      <c r="P86" s="411">
        <f t="shared" si="21"/>
        <v>1.2711864406779662E-2</v>
      </c>
      <c r="Q86" s="380">
        <f>Dean_Ag!Q97+Ag_Econ!Q77+Agronomy!Q76+Animal_Sci!Q84+CommAgEd!Q74+Entomology!Q73+Grain_Sci!Q84+Horticulture!Q80+Plant_Path!Q73</f>
        <v>2</v>
      </c>
      <c r="R86" s="411">
        <f t="shared" si="22"/>
        <v>9.0497737556561094E-3</v>
      </c>
      <c r="S86" s="170">
        <f>Dean_Ag!S97+Ag_Econ!S77+Agronomy!S76+Animal_Sci!S84+CommAgEd!S74+Entomology!S73+Grain_Sci!S84+Horticulture!S80+Plant_Path!S73</f>
        <v>2</v>
      </c>
      <c r="T86" s="411">
        <f t="shared" si="23"/>
        <v>8.6956521739130436E-3</v>
      </c>
      <c r="U86" s="170">
        <f>Dean_Ag!U97+Ag_Econ!U77+Agronomy!U76+Animal_Sci!U84+CommAgEd!U74+Entomology!U73+Grain_Sci!U84+Horticulture!U80+Plant_Path!U73</f>
        <v>2</v>
      </c>
      <c r="V86" s="411">
        <f t="shared" si="24"/>
        <v>8.658008658008658E-3</v>
      </c>
      <c r="W86" s="170">
        <f>Dean_Ag!W97+Ag_Econ!W77+Agronomy!W76+Animal_Sci!W84+CommAgEd!W74+Entomology!W73+Grain_Sci!W84+Horticulture!W80+Plant_Path!W73</f>
        <v>2</v>
      </c>
      <c r="X86" s="411">
        <f t="shared" si="25"/>
        <v>8.4033613445378148E-3</v>
      </c>
      <c r="Y86" s="170">
        <f>Dean_Ag!Y97+Ag_Econ!Y77+Agronomy!Y76+Animal_Sci!Y84+CommAgEd!Y74+Entomology!Y73+Grain_Sci!Y84+Horticulture!Y80+Plant_Path!Y73</f>
        <v>2</v>
      </c>
      <c r="Z86" s="1363">
        <f t="shared" si="26"/>
        <v>8.5470085470085479E-3</v>
      </c>
      <c r="AA86" s="657"/>
      <c r="AB86" s="687">
        <f t="shared" si="27"/>
        <v>2</v>
      </c>
      <c r="AC86" s="1106">
        <f t="shared" si="28"/>
        <v>8.6707608958248358E-3</v>
      </c>
    </row>
    <row r="87" spans="2:29" ht="12" x14ac:dyDescent="0.2">
      <c r="B87" s="1057" t="s">
        <v>85</v>
      </c>
      <c r="C87" s="614">
        <f>Dean_Ag!C98+Ag_Econ!C78+Agronomy!C77+Animal_Sci!C85+CommAgEd!C75+Entomology!C74+Grain_Sci!C85+Horticulture!C81+Plant_Path!C74</f>
        <v>15</v>
      </c>
      <c r="D87" s="411">
        <f t="shared" si="29"/>
        <v>6.3025210084033612E-2</v>
      </c>
      <c r="E87" s="170">
        <f>Dean_Ag!E98+Ag_Econ!E78+Agronomy!E77+Animal_Sci!E85+CommAgEd!E75+Entomology!E74+Grain_Sci!E85+Horticulture!E81+Plant_Path!E74</f>
        <v>14</v>
      </c>
      <c r="F87" s="169">
        <f t="shared" si="18"/>
        <v>6.1946902654867256E-2</v>
      </c>
      <c r="G87" s="380">
        <f>Dean_Ag!G98+Ag_Econ!G78+Agronomy!G77+Animal_Sci!G85+CommAgEd!G75+Entomology!G74+Grain_Sci!G85+Horticulture!G81+Plant_Path!G74</f>
        <v>17</v>
      </c>
      <c r="H87" s="411">
        <f t="shared" si="18"/>
        <v>7.5555555555555556E-2</v>
      </c>
      <c r="I87" s="170">
        <f>Dean_Ag!I98+Ag_Econ!I78+Agronomy!I77+Animal_Sci!I85+CommAgEd!I75+Entomology!I74+Grain_Sci!I85+Horticulture!I81+Plant_Path!I74</f>
        <v>20</v>
      </c>
      <c r="J87" s="169">
        <f t="shared" si="19"/>
        <v>8.8105726872246701E-2</v>
      </c>
      <c r="K87" s="380">
        <f>Dean_Ag!K98+Ag_Econ!K78+Agronomy!K77+Animal_Sci!K85+CommAgEd!K75+Entomology!K74+Grain_Sci!K85+Horticulture!K81+Plant_Path!K74</f>
        <v>21</v>
      </c>
      <c r="L87" s="169">
        <f t="shared" si="19"/>
        <v>9.0909090909090912E-2</v>
      </c>
      <c r="M87" s="380">
        <f>Dean_Ag!M98+Ag_Econ!M78+Agronomy!M77+Animal_Sci!M85+CommAgEd!M75+Entomology!M74+Grain_Sci!M85+Horticulture!M81+Plant_Path!M74</f>
        <v>20</v>
      </c>
      <c r="N87" s="411">
        <f t="shared" si="20"/>
        <v>8.2644628099173556E-2</v>
      </c>
      <c r="O87" s="380">
        <f>Dean_Ag!O98+Ag_Econ!O78+Agronomy!O77+Animal_Sci!O85+CommAgEd!O75+Entomology!O74+Grain_Sci!O85+Horticulture!O81+Plant_Path!O74</f>
        <v>19</v>
      </c>
      <c r="P87" s="411">
        <f t="shared" si="21"/>
        <v>8.050847457627118E-2</v>
      </c>
      <c r="Q87" s="380">
        <f>Dean_Ag!Q98+Ag_Econ!Q78+Agronomy!Q77+Animal_Sci!Q85+CommAgEd!Q75+Entomology!Q74+Grain_Sci!Q85+Horticulture!Q81+Plant_Path!Q74</f>
        <v>18</v>
      </c>
      <c r="R87" s="411">
        <f t="shared" si="22"/>
        <v>8.1447963800904979E-2</v>
      </c>
      <c r="S87" s="170">
        <f>Dean_Ag!S98+Ag_Econ!S78+Agronomy!S77+Animal_Sci!S85+CommAgEd!S75+Entomology!S74+Grain_Sci!S85+Horticulture!S81+Plant_Path!S74</f>
        <v>19</v>
      </c>
      <c r="T87" s="411">
        <f t="shared" si="23"/>
        <v>8.2608695652173908E-2</v>
      </c>
      <c r="U87" s="170">
        <f>Dean_Ag!U98+Ag_Econ!U78+Agronomy!U77+Animal_Sci!U85+CommAgEd!U75+Entomology!U74+Grain_Sci!U85+Horticulture!U81+Plant_Path!U74</f>
        <v>20</v>
      </c>
      <c r="V87" s="411">
        <f t="shared" si="24"/>
        <v>8.6580086580086577E-2</v>
      </c>
      <c r="W87" s="170">
        <f>Dean_Ag!W98+Ag_Econ!W78+Agronomy!W77+Animal_Sci!W85+CommAgEd!W75+Entomology!W74+Grain_Sci!W85+Horticulture!W81+Plant_Path!W74</f>
        <v>26</v>
      </c>
      <c r="X87" s="411">
        <f t="shared" si="25"/>
        <v>0.1092436974789916</v>
      </c>
      <c r="Y87" s="170">
        <f>Dean_Ag!Y98+Ag_Econ!Y78+Agronomy!Y77+Animal_Sci!Y85+CommAgEd!Y75+Entomology!Y74+Grain_Sci!Y85+Horticulture!Y81+Plant_Path!Y74</f>
        <v>25</v>
      </c>
      <c r="Z87" s="1363">
        <f t="shared" si="26"/>
        <v>0.10683760683760683</v>
      </c>
      <c r="AA87" s="657"/>
      <c r="AB87" s="687">
        <f t="shared" si="27"/>
        <v>21.6</v>
      </c>
      <c r="AC87" s="1106">
        <f t="shared" si="28"/>
        <v>9.3343610069952773E-2</v>
      </c>
    </row>
    <row r="88" spans="2:29" ht="12" x14ac:dyDescent="0.2">
      <c r="B88" s="1057" t="s">
        <v>86</v>
      </c>
      <c r="C88" s="614">
        <f>Dean_Ag!C99+Ag_Econ!C79+Agronomy!C78+Animal_Sci!C86+CommAgEd!C76+Entomology!C75+Grain_Sci!C86+Horticulture!C82+Plant_Path!C75</f>
        <v>7</v>
      </c>
      <c r="D88" s="411">
        <f t="shared" si="29"/>
        <v>2.9411764705882353E-2</v>
      </c>
      <c r="E88" s="170">
        <f>Dean_Ag!E99+Ag_Econ!E79+Agronomy!E78+Animal_Sci!E86+CommAgEd!E76+Entomology!E75+Grain_Sci!E86+Horticulture!E82+Plant_Path!E75</f>
        <v>9</v>
      </c>
      <c r="F88" s="169">
        <f t="shared" si="18"/>
        <v>3.9823008849557522E-2</v>
      </c>
      <c r="G88" s="380">
        <f>Dean_Ag!G99+Ag_Econ!G79+Agronomy!G78+Animal_Sci!G86+CommAgEd!G76+Entomology!G75+Grain_Sci!G86+Horticulture!G82+Plant_Path!G75</f>
        <v>7</v>
      </c>
      <c r="H88" s="411">
        <f t="shared" si="18"/>
        <v>3.111111111111111E-2</v>
      </c>
      <c r="I88" s="170">
        <f>Dean_Ag!I99+Ag_Econ!I79+Agronomy!I78+Animal_Sci!I86+CommAgEd!I76+Entomology!I75+Grain_Sci!I86+Horticulture!I82+Plant_Path!I75</f>
        <v>6</v>
      </c>
      <c r="J88" s="169">
        <f t="shared" si="19"/>
        <v>2.643171806167401E-2</v>
      </c>
      <c r="K88" s="380">
        <f>Dean_Ag!K99+Ag_Econ!K79+Agronomy!K78+Animal_Sci!K86+CommAgEd!K76+Entomology!K75+Grain_Sci!K86+Horticulture!K82+Plant_Path!K75</f>
        <v>9</v>
      </c>
      <c r="L88" s="169">
        <f t="shared" si="19"/>
        <v>3.896103896103896E-2</v>
      </c>
      <c r="M88" s="380">
        <f>Dean_Ag!M99+Ag_Econ!M79+Agronomy!M78+Animal_Sci!M86+CommAgEd!M76+Entomology!M75+Grain_Sci!M86+Horticulture!M82+Plant_Path!M75</f>
        <v>12</v>
      </c>
      <c r="N88" s="411">
        <f t="shared" si="20"/>
        <v>4.9586776859504134E-2</v>
      </c>
      <c r="O88" s="380">
        <f>Dean_Ag!O99+Ag_Econ!O79+Agronomy!O78+Animal_Sci!O86+CommAgEd!O76+Entomology!O75+Grain_Sci!O86+Horticulture!O82+Plant_Path!O75</f>
        <v>9</v>
      </c>
      <c r="P88" s="411">
        <f t="shared" si="21"/>
        <v>3.8135593220338986E-2</v>
      </c>
      <c r="Q88" s="380">
        <f>Dean_Ag!Q99+Ag_Econ!Q79+Agronomy!Q78+Animal_Sci!Q86+CommAgEd!Q76+Entomology!Q75+Grain_Sci!Q86+Horticulture!Q82+Plant_Path!Q75</f>
        <v>9</v>
      </c>
      <c r="R88" s="411">
        <f t="shared" si="22"/>
        <v>4.072398190045249E-2</v>
      </c>
      <c r="S88" s="170">
        <f>Dean_Ag!S99+Ag_Econ!S79+Agronomy!S78+Animal_Sci!S86+CommAgEd!S76+Entomology!S75+Grain_Sci!S86+Horticulture!S82+Plant_Path!S75</f>
        <v>6</v>
      </c>
      <c r="T88" s="411">
        <f t="shared" si="23"/>
        <v>2.6086956521739129E-2</v>
      </c>
      <c r="U88" s="170">
        <f>Dean_Ag!U99+Ag_Econ!U79+Agronomy!U78+Animal_Sci!U86+CommAgEd!U76+Entomology!U75+Grain_Sci!U86+Horticulture!U82+Plant_Path!U75</f>
        <v>10</v>
      </c>
      <c r="V88" s="411">
        <f t="shared" si="24"/>
        <v>4.3290043290043288E-2</v>
      </c>
      <c r="W88" s="170">
        <f>Dean_Ag!W99+Ag_Econ!W79+Agronomy!W78+Animal_Sci!W86+CommAgEd!W76+Entomology!W75+Grain_Sci!W86+Horticulture!W82+Plant_Path!W75</f>
        <v>10</v>
      </c>
      <c r="X88" s="411">
        <f t="shared" si="25"/>
        <v>4.2016806722689079E-2</v>
      </c>
      <c r="Y88" s="170">
        <f>Dean_Ag!Y99+Ag_Econ!Y79+Agronomy!Y78+Animal_Sci!Y86+CommAgEd!Y76+Entomology!Y75+Grain_Sci!Y86+Horticulture!Y82+Plant_Path!Y75</f>
        <v>9</v>
      </c>
      <c r="Z88" s="1363">
        <f t="shared" si="26"/>
        <v>3.8461538461538464E-2</v>
      </c>
      <c r="AA88" s="657"/>
      <c r="AB88" s="687">
        <f t="shared" si="27"/>
        <v>8.8000000000000007</v>
      </c>
      <c r="AC88" s="1106">
        <f t="shared" si="28"/>
        <v>3.8115865379292492E-2</v>
      </c>
    </row>
    <row r="89" spans="2:29" ht="12" x14ac:dyDescent="0.2">
      <c r="B89" s="1057" t="s">
        <v>201</v>
      </c>
      <c r="C89" s="614"/>
      <c r="D89" s="411"/>
      <c r="E89" s="171"/>
      <c r="F89" s="169"/>
      <c r="G89" s="1262"/>
      <c r="H89" s="1263"/>
      <c r="I89" s="1264"/>
      <c r="J89" s="1265"/>
      <c r="K89" s="1262"/>
      <c r="L89" s="1265"/>
      <c r="M89" s="1262"/>
      <c r="N89" s="1263"/>
      <c r="O89" s="1262"/>
      <c r="P89" s="1263"/>
      <c r="Q89" s="380">
        <f>Dean_Ag!Q100+Ag_Econ!Q80+Agronomy!Q79+Animal_Sci!Q87+CommAgEd!Q77+Entomology!Q76+Grain_Sci!Q87+Horticulture!Q83+Plant_Path!Q76</f>
        <v>14</v>
      </c>
      <c r="R89" s="411">
        <f>Q89/R$81</f>
        <v>6.3348416289592757E-2</v>
      </c>
      <c r="S89" s="170">
        <f>Dean_Ag!S100+Ag_Econ!S80+Agronomy!S79+Animal_Sci!S87+CommAgEd!S77+Entomology!S76+Grain_Sci!S87+Horticulture!S83+Plant_Path!S76</f>
        <v>27</v>
      </c>
      <c r="T89" s="411">
        <f>S89/T$81</f>
        <v>0.11739130434782609</v>
      </c>
      <c r="U89" s="170">
        <f>Dean_Ag!U100+Ag_Econ!U80+Agronomy!U79+Animal_Sci!U87+CommAgEd!U77+Entomology!U76+Grain_Sci!U87+Horticulture!U83+Plant_Path!U76</f>
        <v>2</v>
      </c>
      <c r="V89" s="411">
        <f>U89/V$81</f>
        <v>8.658008658008658E-3</v>
      </c>
      <c r="W89" s="170">
        <f>Dean_Ag!W100+Ag_Econ!W80+Agronomy!W79+Animal_Sci!W87+CommAgEd!W77+Entomology!W76+Grain_Sci!W87+Horticulture!W83+Plant_Path!W76</f>
        <v>1</v>
      </c>
      <c r="X89" s="411">
        <f>W89/X$81</f>
        <v>4.2016806722689074E-3</v>
      </c>
      <c r="Y89" s="170">
        <f>Dean_Ag!Y100+Ag_Econ!Y80+Agronomy!Y79+Animal_Sci!Y87+CommAgEd!Y77+Entomology!Y76+Grain_Sci!Y87+Horticulture!Y83+Plant_Path!Y76</f>
        <v>1</v>
      </c>
      <c r="Z89" s="1363">
        <f>Y89/Z$81</f>
        <v>4.2735042735042739E-3</v>
      </c>
      <c r="AA89" s="657"/>
      <c r="AB89" s="687">
        <f t="shared" si="27"/>
        <v>9</v>
      </c>
      <c r="AC89" s="1106">
        <f t="shared" si="28"/>
        <v>3.9574582848240142E-2</v>
      </c>
    </row>
    <row r="90" spans="2:29" ht="12" x14ac:dyDescent="0.2">
      <c r="B90" s="1057" t="s">
        <v>87</v>
      </c>
      <c r="C90" s="614">
        <f>Dean_Ag!C101+Ag_Econ!C81+Agronomy!C80+Animal_Sci!C88+CommAgEd!C78+Entomology!C77+Grain_Sci!C88+Horticulture!C84+Plant_Path!C77</f>
        <v>0</v>
      </c>
      <c r="D90" s="411">
        <f t="shared" si="29"/>
        <v>0</v>
      </c>
      <c r="E90" s="171">
        <f>Dean_Ag!E101+Ag_Econ!E81+Agronomy!E80+Animal_Sci!E88+CommAgEd!E78+Entomology!E77+Grain_Sci!E88+Horticulture!E84+Plant_Path!E77</f>
        <v>0</v>
      </c>
      <c r="F90" s="169">
        <f t="shared" si="18"/>
        <v>0</v>
      </c>
      <c r="G90" s="381">
        <f>Dean_Ag!G101+Ag_Econ!G81+Agronomy!G80+Animal_Sci!G88+CommAgEd!G78+Entomology!G77+Grain_Sci!G88+Horticulture!G84+Plant_Path!G77</f>
        <v>0</v>
      </c>
      <c r="H90" s="411">
        <f t="shared" si="18"/>
        <v>0</v>
      </c>
      <c r="I90" s="171">
        <f>Dean_Ag!I101+Ag_Econ!I81+Agronomy!I80+Animal_Sci!I88+CommAgEd!I78+Entomology!I77+Grain_Sci!I88+Horticulture!I84+Plant_Path!I77</f>
        <v>0</v>
      </c>
      <c r="J90" s="169">
        <f t="shared" si="19"/>
        <v>0</v>
      </c>
      <c r="K90" s="381">
        <f>Dean_Ag!K101+Ag_Econ!K81+Agronomy!K80+Animal_Sci!K88+CommAgEd!K78+Entomology!K77+Grain_Sci!K88+Horticulture!K84+Plant_Path!K77</f>
        <v>0</v>
      </c>
      <c r="L90" s="169">
        <f t="shared" si="19"/>
        <v>0</v>
      </c>
      <c r="M90" s="381">
        <f>Dean_Ag!M101+Ag_Econ!M81+Agronomy!M80+Animal_Sci!M88+CommAgEd!M78+Entomology!M77+Grain_Sci!M88+Horticulture!M84+Plant_Path!M77</f>
        <v>0</v>
      </c>
      <c r="N90" s="411">
        <f t="shared" si="20"/>
        <v>0</v>
      </c>
      <c r="O90" s="381">
        <f>Dean_Ag!O101+Ag_Econ!O81+Agronomy!O80+Animal_Sci!O88+CommAgEd!O78+Entomology!O77+Grain_Sci!O88+Horticulture!O84+Plant_Path!O77</f>
        <v>3</v>
      </c>
      <c r="P90" s="411">
        <f t="shared" si="21"/>
        <v>1.2711864406779662E-2</v>
      </c>
      <c r="Q90" s="381">
        <f>Dean_Ag!Q101+Ag_Econ!Q81+Agronomy!Q80+Animal_Sci!Q88+CommAgEd!Q78+Entomology!Q77+Grain_Sci!Q88+Horticulture!Q84+Plant_Path!Q77</f>
        <v>5</v>
      </c>
      <c r="R90" s="411">
        <f t="shared" si="22"/>
        <v>2.2624434389140271E-2</v>
      </c>
      <c r="S90" s="171">
        <f>Dean_Ag!S101+Ag_Econ!S81+Agronomy!S80+Animal_Sci!S88+CommAgEd!S78+Entomology!S77+Grain_Sci!S88+Horticulture!S84+Plant_Path!S77</f>
        <v>4</v>
      </c>
      <c r="T90" s="411">
        <f>S90/T$81</f>
        <v>1.7391304347826087E-2</v>
      </c>
      <c r="U90" s="171">
        <f>Dean_Ag!U101+Ag_Econ!U81+Agronomy!U80+Animal_Sci!U88+CommAgEd!U78+Entomology!U77+Grain_Sci!U88+Horticulture!U84+Plant_Path!U77</f>
        <v>5</v>
      </c>
      <c r="V90" s="411">
        <f>U90/V$81</f>
        <v>2.1645021645021644E-2</v>
      </c>
      <c r="W90" s="171">
        <f>Dean_Ag!W101+Ag_Econ!W81+Agronomy!W80+Animal_Sci!W88+CommAgEd!W78+Entomology!W77+Grain_Sci!W88+Horticulture!W84+Plant_Path!W77</f>
        <v>5</v>
      </c>
      <c r="X90" s="411">
        <f>W90/X$81</f>
        <v>2.100840336134454E-2</v>
      </c>
      <c r="Y90" s="171">
        <f>Dean_Ag!Y101+Ag_Econ!Y81+Agronomy!Y80+Animal_Sci!Y88+CommAgEd!Y78+Entomology!Y77+Grain_Sci!Y88+Horticulture!Y84+Plant_Path!Y77</f>
        <v>2</v>
      </c>
      <c r="Z90" s="1363">
        <f>Y90/Z$81</f>
        <v>8.5470085470085479E-3</v>
      </c>
      <c r="AA90" s="657"/>
      <c r="AB90" s="687">
        <f t="shared" si="27"/>
        <v>4.2</v>
      </c>
      <c r="AC90" s="1106">
        <f t="shared" si="28"/>
        <v>1.8243234458068216E-2</v>
      </c>
    </row>
    <row r="91" spans="2:29" ht="12" x14ac:dyDescent="0.2">
      <c r="B91" s="1058" t="s">
        <v>101</v>
      </c>
      <c r="C91" s="614"/>
      <c r="D91" s="411"/>
      <c r="E91" s="172"/>
      <c r="F91" s="271"/>
      <c r="G91" s="276"/>
      <c r="H91" s="412"/>
      <c r="I91" s="172"/>
      <c r="J91" s="271"/>
      <c r="K91" s="276"/>
      <c r="L91" s="271"/>
      <c r="M91" s="276"/>
      <c r="N91" s="412"/>
      <c r="O91" s="276"/>
      <c r="P91" s="412"/>
      <c r="Q91" s="276"/>
      <c r="R91" s="412"/>
      <c r="S91" s="172"/>
      <c r="T91" s="412"/>
      <c r="U91" s="172"/>
      <c r="V91" s="412"/>
      <c r="W91" s="172"/>
      <c r="X91" s="412"/>
      <c r="Y91" s="172"/>
      <c r="Z91" s="1364"/>
      <c r="AA91" s="657"/>
      <c r="AB91" s="687"/>
      <c r="AC91" s="1106"/>
    </row>
    <row r="92" spans="2:29" ht="12" x14ac:dyDescent="0.2">
      <c r="B92" s="42" t="s">
        <v>88</v>
      </c>
      <c r="C92" s="614">
        <f>Dean_Ag!C103+Ag_Econ!C83+Agronomy!C82+Animal_Sci!C90+CommAgEd!C80+Entomology!C79+Grain_Sci!C90+Horticulture!C86+Plant_Path!C79</f>
        <v>208</v>
      </c>
      <c r="D92" s="411">
        <f t="shared" si="29"/>
        <v>0.87394957983193278</v>
      </c>
      <c r="E92" s="173">
        <f>Dean_Ag!E103+Ag_Econ!E83+Agronomy!E82+Animal_Sci!E90+CommAgEd!E80+Entomology!E79+Grain_Sci!E90+Horticulture!E86+Plant_Path!E79</f>
        <v>200</v>
      </c>
      <c r="F92" s="272">
        <f>E92/F$81</f>
        <v>0.88495575221238942</v>
      </c>
      <c r="G92" s="382">
        <f>Dean_Ag!G103+Ag_Econ!G83+Agronomy!G82+Animal_Sci!G90+CommAgEd!G80+Entomology!G79+Grain_Sci!G90+Horticulture!G86+Plant_Path!G79</f>
        <v>200</v>
      </c>
      <c r="H92" s="411">
        <f>G92/H$81</f>
        <v>0.88888888888888884</v>
      </c>
      <c r="I92" s="398">
        <f>Dean_Ag!I103+Ag_Econ!I83+Agronomy!I82+Animal_Sci!I90+CommAgEd!I80+Entomology!I79+Grain_Sci!I90+Horticulture!I86+Plant_Path!I79</f>
        <v>198</v>
      </c>
      <c r="J92" s="169">
        <f>I92/J$81</f>
        <v>0.8722466960352423</v>
      </c>
      <c r="K92" s="382">
        <f>Dean_Ag!K103+Ag_Econ!K83+Agronomy!K82+Animal_Sci!K90+CommAgEd!K80+Entomology!K79+Grain_Sci!K90+Horticulture!K86+Plant_Path!K79</f>
        <v>199</v>
      </c>
      <c r="L92" s="169">
        <f>K92/L$81</f>
        <v>0.8614718614718615</v>
      </c>
      <c r="M92" s="382">
        <f>Dean_Ag!M103+Ag_Econ!M83+Agronomy!M82+Animal_Sci!M90+CommAgEd!M80+Entomology!M79+Grain_Sci!M90+Horticulture!M86+Plant_Path!M79</f>
        <v>204</v>
      </c>
      <c r="N92" s="411">
        <f>M92/N$81</f>
        <v>0.84297520661157022</v>
      </c>
      <c r="O92" s="382">
        <f>Dean_Ag!O103+Ag_Econ!O83+Agronomy!O82+Animal_Sci!O90+CommAgEd!O80+Entomology!O79+Grain_Sci!O90+Horticulture!O86+Plant_Path!O79</f>
        <v>197</v>
      </c>
      <c r="P92" s="411">
        <f>O92/P$81</f>
        <v>0.8347457627118644</v>
      </c>
      <c r="Q92" s="382">
        <f>Dean_Ag!Q103+Ag_Econ!Q83+Agronomy!Q82+Animal_Sci!Q90+CommAgEd!Q80+Entomology!Q79+Grain_Sci!Q90+Horticulture!Q86+Plant_Path!Q79</f>
        <v>187</v>
      </c>
      <c r="R92" s="411">
        <f>Q92/R$81</f>
        <v>0.84615384615384615</v>
      </c>
      <c r="S92" s="398">
        <f>Dean_Ag!S103+Ag_Econ!S83+Agronomy!S82+Animal_Sci!S90+CommAgEd!S80+Entomology!S79+Grain_Sci!S90+Horticulture!S86+Plant_Path!S79</f>
        <v>188</v>
      </c>
      <c r="T92" s="411">
        <f>S92/T$81</f>
        <v>0.81739130434782614</v>
      </c>
      <c r="U92" s="398">
        <f>Dean_Ag!U103+Ag_Econ!U83+Agronomy!U82+Animal_Sci!U90+CommAgEd!U80+Entomology!U79+Grain_Sci!U90+Horticulture!U86+Plant_Path!U79</f>
        <v>186</v>
      </c>
      <c r="V92" s="411">
        <f>U92/V$81</f>
        <v>0.80519480519480524</v>
      </c>
      <c r="W92" s="398">
        <f>Dean_Ag!W103+Ag_Econ!W83+Agronomy!W82+Animal_Sci!W90+CommAgEd!W80+Entomology!W79+Grain_Sci!W90+Horticulture!W86+Plant_Path!W79</f>
        <v>191</v>
      </c>
      <c r="X92" s="411">
        <f>W92/X$81</f>
        <v>0.80252100840336138</v>
      </c>
      <c r="Y92" s="398">
        <f>Dean_Ag!Y103+Ag_Econ!Y83+Agronomy!Y82+Animal_Sci!Y90+CommAgEd!Y80+Entomology!Y79+Grain_Sci!Y90+Horticulture!Y86+Plant_Path!Y79</f>
        <v>186</v>
      </c>
      <c r="Z92" s="1363">
        <f>Y92/Z$81</f>
        <v>0.79487179487179482</v>
      </c>
      <c r="AA92" s="657"/>
      <c r="AB92" s="687">
        <f t="shared" ref="AB92:AB97" si="30">AVERAGE(W92,U92,S92,Q92,Y92)</f>
        <v>187.6</v>
      </c>
      <c r="AC92" s="1106">
        <f t="shared" ref="AC92:AC97" si="31">AVERAGE(X92,V92,T92,R92,Z92)</f>
        <v>0.81322655179432668</v>
      </c>
    </row>
    <row r="93" spans="2:29" ht="12" x14ac:dyDescent="0.2">
      <c r="B93" s="42" t="s">
        <v>89</v>
      </c>
      <c r="C93" s="614">
        <f>Dean_Ag!C104+Ag_Econ!C84+Agronomy!C83+Animal_Sci!C91+CommAgEd!C81+Entomology!C80+Grain_Sci!C91+Horticulture!C87+Plant_Path!C80</f>
        <v>30</v>
      </c>
      <c r="D93" s="411">
        <f t="shared" si="29"/>
        <v>0.12605042016806722</v>
      </c>
      <c r="E93" s="174">
        <f>Dean_Ag!E104+Ag_Econ!E84+Agronomy!E83+Animal_Sci!E91+CommAgEd!E81+Entomology!E80+Grain_Sci!E91+Horticulture!E87+Plant_Path!E80</f>
        <v>26</v>
      </c>
      <c r="F93" s="272">
        <f>E93/F$81</f>
        <v>0.11504424778761062</v>
      </c>
      <c r="G93" s="383">
        <f>Dean_Ag!G104+Ag_Econ!G84+Agronomy!G83+Animal_Sci!G91+CommAgEd!G81+Entomology!G80+Grain_Sci!G91+Horticulture!G87+Plant_Path!G80</f>
        <v>25</v>
      </c>
      <c r="H93" s="411">
        <f>G93/H$81</f>
        <v>0.1111111111111111</v>
      </c>
      <c r="I93" s="399">
        <f>Dean_Ag!I104+Ag_Econ!I84+Agronomy!I83+Animal_Sci!I91+CommAgEd!I81+Entomology!I80+Grain_Sci!I91+Horticulture!I87+Plant_Path!I80</f>
        <v>29</v>
      </c>
      <c r="J93" s="169">
        <f>I93/J$81</f>
        <v>0.1277533039647577</v>
      </c>
      <c r="K93" s="383">
        <f>Dean_Ag!K104+Ag_Econ!K84+Agronomy!K83+Animal_Sci!K91+CommAgEd!K81+Entomology!K80+Grain_Sci!K91+Horticulture!K87+Plant_Path!K80</f>
        <v>32</v>
      </c>
      <c r="L93" s="169">
        <f>K93/L$81</f>
        <v>0.13852813852813853</v>
      </c>
      <c r="M93" s="383">
        <f>Dean_Ag!M104+Ag_Econ!M84+Agronomy!M83+Animal_Sci!M91+CommAgEd!M81+Entomology!M80+Grain_Sci!M91+Horticulture!M87+Plant_Path!M80</f>
        <v>38</v>
      </c>
      <c r="N93" s="411">
        <f>M93/N$81</f>
        <v>0.15702479338842976</v>
      </c>
      <c r="O93" s="383">
        <f>Dean_Ag!O104+Ag_Econ!O84+Agronomy!O83+Animal_Sci!O91+CommAgEd!O81+Entomology!O80+Grain_Sci!O91+Horticulture!O87+Plant_Path!O80</f>
        <v>39</v>
      </c>
      <c r="P93" s="411">
        <f>O93/P$81</f>
        <v>0.1652542372881356</v>
      </c>
      <c r="Q93" s="383">
        <f>Dean_Ag!Q104+Ag_Econ!Q84+Agronomy!Q83+Animal_Sci!Q91+CommAgEd!Q81+Entomology!Q80+Grain_Sci!Q91+Horticulture!Q87+Plant_Path!Q80</f>
        <v>36</v>
      </c>
      <c r="R93" s="411">
        <f>Q93/R$81</f>
        <v>0.16289592760180996</v>
      </c>
      <c r="S93" s="399">
        <f>Dean_Ag!S104+Ag_Econ!S84+Agronomy!S83+Animal_Sci!S91+CommAgEd!S81+Entomology!S80+Grain_Sci!S91+Horticulture!S87+Plant_Path!S80</f>
        <v>42</v>
      </c>
      <c r="T93" s="411">
        <f>S93/T$81</f>
        <v>0.18260869565217391</v>
      </c>
      <c r="U93" s="399">
        <f>Dean_Ag!U104+Ag_Econ!U84+Agronomy!U83+Animal_Sci!U91+CommAgEd!U81+Entomology!U80+Grain_Sci!U91+Horticulture!U87+Plant_Path!U80</f>
        <v>45</v>
      </c>
      <c r="V93" s="411">
        <f>U93/V$81</f>
        <v>0.19480519480519481</v>
      </c>
      <c r="W93" s="399">
        <f>Dean_Ag!W104+Ag_Econ!W84+Agronomy!W83+Animal_Sci!W91+CommAgEd!W81+Entomology!W80+Grain_Sci!W91+Horticulture!W87+Plant_Path!W80</f>
        <v>47</v>
      </c>
      <c r="X93" s="411">
        <f>W93/X$81</f>
        <v>0.19747899159663865</v>
      </c>
      <c r="Y93" s="399">
        <f>Dean_Ag!Y104+Ag_Econ!Y84+Agronomy!Y83+Animal_Sci!Y91+CommAgEd!Y81+Entomology!Y80+Grain_Sci!Y91+Horticulture!Y87+Plant_Path!Y80</f>
        <v>48</v>
      </c>
      <c r="Z93" s="1363">
        <f>Y93/Z$81</f>
        <v>0.20512820512820512</v>
      </c>
      <c r="AA93" s="657"/>
      <c r="AB93" s="687">
        <f t="shared" si="30"/>
        <v>43.6</v>
      </c>
      <c r="AC93" s="1106">
        <f t="shared" si="31"/>
        <v>0.18858340295680448</v>
      </c>
    </row>
    <row r="94" spans="2:29" ht="12" x14ac:dyDescent="0.2">
      <c r="B94" s="1058" t="s">
        <v>102</v>
      </c>
      <c r="C94" s="614"/>
      <c r="D94" s="411"/>
      <c r="E94" s="175"/>
      <c r="F94" s="273"/>
      <c r="G94" s="277"/>
      <c r="H94" s="413"/>
      <c r="I94" s="400"/>
      <c r="J94" s="496"/>
      <c r="K94" s="277"/>
      <c r="L94" s="496"/>
      <c r="M94" s="277"/>
      <c r="N94" s="413"/>
      <c r="O94" s="277"/>
      <c r="P94" s="413"/>
      <c r="Q94" s="277"/>
      <c r="R94" s="413"/>
      <c r="S94" s="400"/>
      <c r="T94" s="413"/>
      <c r="U94" s="400"/>
      <c r="V94" s="413"/>
      <c r="W94" s="400"/>
      <c r="X94" s="413"/>
      <c r="Y94" s="400"/>
      <c r="Z94" s="1365"/>
      <c r="AA94" s="657"/>
      <c r="AB94" s="687"/>
      <c r="AC94" s="1104"/>
    </row>
    <row r="95" spans="2:29" ht="12" x14ac:dyDescent="0.2">
      <c r="B95" s="42" t="s">
        <v>90</v>
      </c>
      <c r="C95" s="614">
        <f>Dean_Ag!C106+Ag_Econ!C86+Agronomy!C85+Animal_Sci!C93+CommAgEd!C83+Entomology!C82+Grain_Sci!C93+Horticulture!C89+Plant_Path!C82</f>
        <v>172</v>
      </c>
      <c r="D95" s="411">
        <f t="shared" si="29"/>
        <v>0.72268907563025209</v>
      </c>
      <c r="E95" s="174">
        <f>Dean_Ag!E106+Ag_Econ!E86+Agronomy!E85+Animal_Sci!E93+CommAgEd!E83+Entomology!E82+Grain_Sci!E93+Horticulture!E89+Plant_Path!E82</f>
        <v>172</v>
      </c>
      <c r="F95" s="272">
        <f>E95/F$81</f>
        <v>0.76106194690265483</v>
      </c>
      <c r="G95" s="383">
        <f>Dean_Ag!G106+Ag_Econ!G86+Agronomy!G85+Animal_Sci!G93+CommAgEd!G83+Entomology!G82+Grain_Sci!G93+Horticulture!G89+Plant_Path!G82</f>
        <v>174</v>
      </c>
      <c r="H95" s="411">
        <f>G95/H$81</f>
        <v>0.77333333333333332</v>
      </c>
      <c r="I95" s="399">
        <f>Dean_Ag!I106+Ag_Econ!I86+Agronomy!I85+Animal_Sci!I93+CommAgEd!I83+Entomology!I82+Grain_Sci!I93+Horticulture!I89+Plant_Path!I82</f>
        <v>157</v>
      </c>
      <c r="J95" s="169">
        <f>I95/J$81</f>
        <v>0.69162995594713661</v>
      </c>
      <c r="K95" s="383">
        <f>Dean_Ag!K106+Ag_Econ!K86+Agronomy!K85+Animal_Sci!K93+CommAgEd!K83+Entomology!K82+Grain_Sci!K93+Horticulture!K89+Plant_Path!K82</f>
        <v>166</v>
      </c>
      <c r="L95" s="169">
        <f>K95/L$81</f>
        <v>0.7186147186147186</v>
      </c>
      <c r="M95" s="383">
        <f>Dean_Ag!M106+Ag_Econ!M86+Agronomy!M85+Animal_Sci!M93+CommAgEd!M83+Entomology!M82+Grain_Sci!M93+Horticulture!M89+Plant_Path!M82</f>
        <v>169</v>
      </c>
      <c r="N95" s="411">
        <f>M95/N$81</f>
        <v>0.69834710743801653</v>
      </c>
      <c r="O95" s="383">
        <f>Dean_Ag!O106+Ag_Econ!O86+Agronomy!O85+Animal_Sci!O93+CommAgEd!O83+Entomology!O82+Grain_Sci!O93+Horticulture!O89+Plant_Path!O82</f>
        <v>162</v>
      </c>
      <c r="P95" s="411">
        <f>O95/P$81</f>
        <v>0.68644067796610164</v>
      </c>
      <c r="Q95" s="383">
        <f>Dean_Ag!Q106+Ag_Econ!Q86+Agronomy!Q85+Animal_Sci!Q93+CommAgEd!Q83+Entomology!Q82+Grain_Sci!Q93+Horticulture!Q89+Plant_Path!Q82</f>
        <v>154</v>
      </c>
      <c r="R95" s="411">
        <f>Q95/R$81</f>
        <v>0.69683257918552033</v>
      </c>
      <c r="S95" s="399">
        <f>Dean_Ag!S106+Ag_Econ!S86+Agronomy!S85+Animal_Sci!S93+CommAgEd!S83+Entomology!S82+Grain_Sci!S93+Horticulture!S89+Plant_Path!S82</f>
        <v>157</v>
      </c>
      <c r="T95" s="411">
        <f>S95/T$81</f>
        <v>0.68260869565217386</v>
      </c>
      <c r="U95" s="399">
        <f>Dean_Ag!U106+Ag_Econ!U86+Agronomy!U85+Animal_Sci!U93+CommAgEd!U83+Entomology!U82+Grain_Sci!U93+Horticulture!U89+Plant_Path!U82</f>
        <v>161</v>
      </c>
      <c r="V95" s="411">
        <f>U95/V$81</f>
        <v>0.69696969696969702</v>
      </c>
      <c r="W95" s="399">
        <f>Dean_Ag!W106+Ag_Econ!W86+Agronomy!W85+Animal_Sci!W93+CommAgEd!W83+Entomology!W82+Grain_Sci!W93+Horticulture!W89+Plant_Path!W82</f>
        <v>162</v>
      </c>
      <c r="X95" s="411">
        <f>W95/X$81</f>
        <v>0.68067226890756305</v>
      </c>
      <c r="Y95" s="399">
        <f>Dean_Ag!Y106+Ag_Econ!Y86+Agronomy!Y85+Animal_Sci!Y93+CommAgEd!Y83+Entomology!Y82+Grain_Sci!Y93+Horticulture!Y89+Plant_Path!Y82</f>
        <v>155</v>
      </c>
      <c r="Z95" s="1363">
        <f>Y95/Z$81</f>
        <v>0.66239316239316237</v>
      </c>
      <c r="AA95" s="657"/>
      <c r="AB95" s="687">
        <f t="shared" si="30"/>
        <v>157.80000000000001</v>
      </c>
      <c r="AC95" s="685">
        <f t="shared" si="31"/>
        <v>0.6838952806216233</v>
      </c>
    </row>
    <row r="96" spans="2:29" ht="12" x14ac:dyDescent="0.2">
      <c r="B96" s="42" t="s">
        <v>91</v>
      </c>
      <c r="C96" s="614">
        <f>Dean_Ag!C107+Ag_Econ!C87+Agronomy!C86+Animal_Sci!C94+CommAgEd!C84+Entomology!C83+Grain_Sci!C94+Horticulture!C90+Plant_Path!C83</f>
        <v>35</v>
      </c>
      <c r="D96" s="411">
        <f t="shared" si="29"/>
        <v>0.14705882352941177</v>
      </c>
      <c r="E96" s="174">
        <f>Dean_Ag!E107+Ag_Econ!E87+Agronomy!E86+Animal_Sci!E94+CommAgEd!E84+Entomology!E83+Grain_Sci!E94+Horticulture!E90+Plant_Path!E83</f>
        <v>28</v>
      </c>
      <c r="F96" s="272">
        <f>E96/F$81</f>
        <v>0.12389380530973451</v>
      </c>
      <c r="G96" s="383">
        <f>Dean_Ag!G107+Ag_Econ!G87+Agronomy!G86+Animal_Sci!G94+CommAgEd!G84+Entomology!G83+Grain_Sci!G94+Horticulture!G90+Plant_Path!G83</f>
        <v>27</v>
      </c>
      <c r="H96" s="411">
        <f>G96/H$81</f>
        <v>0.12</v>
      </c>
      <c r="I96" s="399">
        <f>Dean_Ag!I107+Ag_Econ!I87+Agronomy!I86+Animal_Sci!I94+CommAgEd!I84+Entomology!I83+Grain_Sci!I94+Horticulture!I90+Plant_Path!I83</f>
        <v>29</v>
      </c>
      <c r="J96" s="169">
        <f>I96/J$81</f>
        <v>0.1277533039647577</v>
      </c>
      <c r="K96" s="383">
        <f>Dean_Ag!K107+Ag_Econ!K87+Agronomy!K86+Animal_Sci!K94+CommAgEd!K84+Entomology!K83+Grain_Sci!K94+Horticulture!K90+Plant_Path!K83</f>
        <v>40</v>
      </c>
      <c r="L96" s="169">
        <f>K96/L$81</f>
        <v>0.17316017316017315</v>
      </c>
      <c r="M96" s="383">
        <f>Dean_Ag!M107+Ag_Econ!M87+Agronomy!M86+Animal_Sci!M94+CommAgEd!M84+Entomology!M83+Grain_Sci!M94+Horticulture!M90+Plant_Path!M83</f>
        <v>44</v>
      </c>
      <c r="N96" s="411">
        <f>M96/N$81</f>
        <v>0.18181818181818182</v>
      </c>
      <c r="O96" s="383">
        <f>Dean_Ag!O107+Ag_Econ!O87+Agronomy!O86+Animal_Sci!O94+CommAgEd!O84+Entomology!O83+Grain_Sci!O94+Horticulture!O90+Plant_Path!O83</f>
        <v>40</v>
      </c>
      <c r="P96" s="411">
        <f>O96/P$81</f>
        <v>0.16949152542372881</v>
      </c>
      <c r="Q96" s="383">
        <f>Dean_Ag!Q107+Ag_Econ!Q87+Agronomy!Q86+Animal_Sci!Q94+CommAgEd!Q84+Entomology!Q83+Grain_Sci!Q94+Horticulture!Q90+Plant_Path!Q83</f>
        <v>35</v>
      </c>
      <c r="R96" s="411">
        <f>Q96/R$81</f>
        <v>0.15837104072398189</v>
      </c>
      <c r="S96" s="399">
        <f>Dean_Ag!S107+Ag_Econ!S87+Agronomy!S86+Animal_Sci!S94+CommAgEd!S84+Entomology!S83+Grain_Sci!S94+Horticulture!S90+Plant_Path!S83</f>
        <v>38</v>
      </c>
      <c r="T96" s="411">
        <f>S96/T$81</f>
        <v>0.16521739130434782</v>
      </c>
      <c r="U96" s="399">
        <f>Dean_Ag!U107+Ag_Econ!U87+Agronomy!U86+Animal_Sci!U94+CommAgEd!U84+Entomology!U83+Grain_Sci!U94+Horticulture!U90+Plant_Path!U83</f>
        <v>29</v>
      </c>
      <c r="V96" s="411">
        <f>U96/V$81</f>
        <v>0.12554112554112554</v>
      </c>
      <c r="W96" s="399">
        <f>Dean_Ag!W107+Ag_Econ!W87+Agronomy!W86+Animal_Sci!W94+CommAgEd!W84+Entomology!W83+Grain_Sci!W94+Horticulture!W90+Plant_Path!W83</f>
        <v>38</v>
      </c>
      <c r="X96" s="411">
        <f>W96/X$81</f>
        <v>0.15966386554621848</v>
      </c>
      <c r="Y96" s="399">
        <f>Dean_Ag!Y107+Ag_Econ!Y87+Agronomy!Y86+Animal_Sci!Y94+CommAgEd!Y84+Entomology!Y83+Grain_Sci!Y94+Horticulture!Y90+Plant_Path!Y83</f>
        <v>41</v>
      </c>
      <c r="Z96" s="1363">
        <f>Y96/Z$81</f>
        <v>0.1752136752136752</v>
      </c>
      <c r="AA96" s="657"/>
      <c r="AB96" s="687">
        <f t="shared" si="30"/>
        <v>36.200000000000003</v>
      </c>
      <c r="AC96" s="1104">
        <f t="shared" si="31"/>
        <v>0.1568014196658698</v>
      </c>
    </row>
    <row r="97" spans="1:31" ht="12" x14ac:dyDescent="0.2">
      <c r="B97" s="42" t="s">
        <v>92</v>
      </c>
      <c r="C97" s="614">
        <f>Dean_Ag!C108+Ag_Econ!C88+Agronomy!C87+Animal_Sci!C95+CommAgEd!C85+Entomology!C84+Grain_Sci!C95+Horticulture!C91+Plant_Path!C84</f>
        <v>31</v>
      </c>
      <c r="D97" s="411">
        <f t="shared" si="29"/>
        <v>0.13025210084033614</v>
      </c>
      <c r="E97" s="174">
        <f>Dean_Ag!E108+Ag_Econ!E88+Agronomy!E87+Animal_Sci!E95+CommAgEd!E85+Entomology!E84+Grain_Sci!E95+Horticulture!E91+Plant_Path!E84</f>
        <v>26</v>
      </c>
      <c r="F97" s="272">
        <f>E97/F$81</f>
        <v>0.11504424778761062</v>
      </c>
      <c r="G97" s="383">
        <f>Dean_Ag!G108+Ag_Econ!G88+Agronomy!G87+Animal_Sci!G95+CommAgEd!G85+Entomology!G84+Grain_Sci!G95+Horticulture!G91+Plant_Path!G84</f>
        <v>24</v>
      </c>
      <c r="H97" s="411">
        <f>G97/H$81</f>
        <v>0.10666666666666667</v>
      </c>
      <c r="I97" s="399">
        <f>Dean_Ag!I108+Ag_Econ!I88+Agronomy!I87+Animal_Sci!I95+CommAgEd!I85+Entomology!I84+Grain_Sci!I95+Horticulture!I91+Plant_Path!I84</f>
        <v>22</v>
      </c>
      <c r="J97" s="169">
        <f>I97/J$81</f>
        <v>9.6916299559471369E-2</v>
      </c>
      <c r="K97" s="383">
        <f>Dean_Ag!K108+Ag_Econ!K88+Agronomy!K87+Animal_Sci!K95+CommAgEd!K85+Entomology!K84+Grain_Sci!K95+Horticulture!K91+Plant_Path!K84</f>
        <v>25</v>
      </c>
      <c r="L97" s="169">
        <f>K97/L$81</f>
        <v>0.10822510822510822</v>
      </c>
      <c r="M97" s="383">
        <f>Dean_Ag!M108+Ag_Econ!M88+Agronomy!M87+Animal_Sci!M95+CommAgEd!M85+Entomology!M84+Grain_Sci!M95+Horticulture!M91+Plant_Path!M84</f>
        <v>29</v>
      </c>
      <c r="N97" s="411">
        <f>M97/N$81</f>
        <v>0.11983471074380166</v>
      </c>
      <c r="O97" s="383">
        <f>Dean_Ag!O108+Ag_Econ!O88+Agronomy!O87+Animal_Sci!O95+CommAgEd!O85+Entomology!O84+Grain_Sci!O95+Horticulture!O91+Plant_Path!O84</f>
        <v>33</v>
      </c>
      <c r="P97" s="169">
        <f>O97/P$81</f>
        <v>0.13983050847457626</v>
      </c>
      <c r="Q97" s="383">
        <f>Dean_Ag!Q108+Ag_Econ!Q88+Agronomy!Q87+Animal_Sci!Q95+CommAgEd!Q85+Entomology!Q84+Grain_Sci!Q95+Horticulture!Q91+Plant_Path!Q84</f>
        <v>34</v>
      </c>
      <c r="R97" s="411">
        <f>Q97/R$81</f>
        <v>0.15384615384615385</v>
      </c>
      <c r="S97" s="399">
        <f>Dean_Ag!S108+Ag_Econ!S88+Agronomy!S87+Animal_Sci!S95+CommAgEd!S85+Entomology!S84+Grain_Sci!S95+Horticulture!S91+Plant_Path!S84</f>
        <v>35</v>
      </c>
      <c r="T97" s="411">
        <f>S97/T$81</f>
        <v>0.15217391304347827</v>
      </c>
      <c r="U97" s="399">
        <f>Dean_Ag!U108+Ag_Econ!U88+Agronomy!U87+Animal_Sci!U95+CommAgEd!U85+Entomology!U84+Grain_Sci!U95+Horticulture!U91+Plant_Path!U84</f>
        <v>41</v>
      </c>
      <c r="V97" s="411">
        <f>U97/V$81</f>
        <v>0.1774891774891775</v>
      </c>
      <c r="W97" s="399">
        <f>Dean_Ag!W108+Ag_Econ!W88+Agronomy!W87+Animal_Sci!W95+CommAgEd!W85+Entomology!W84+Grain_Sci!W95+Horticulture!W91+Plant_Path!W84</f>
        <v>38</v>
      </c>
      <c r="X97" s="411">
        <f>W97/X$81</f>
        <v>0.15966386554621848</v>
      </c>
      <c r="Y97" s="399">
        <f>Dean_Ag!Y108+Ag_Econ!Y88+Agronomy!Y87+Animal_Sci!Y95+CommAgEd!Y85+Entomology!Y84+Grain_Sci!Y95+Horticulture!Y91+Plant_Path!Y84</f>
        <v>38</v>
      </c>
      <c r="Z97" s="1363">
        <f>Y97/Z$81</f>
        <v>0.1623931623931624</v>
      </c>
      <c r="AA97" s="658"/>
      <c r="AB97" s="687">
        <f t="shared" si="30"/>
        <v>37.200000000000003</v>
      </c>
      <c r="AC97" s="685">
        <f t="shared" si="31"/>
        <v>0.16111325446363808</v>
      </c>
    </row>
    <row r="98" spans="1:31" ht="12" x14ac:dyDescent="0.2">
      <c r="B98" s="1058" t="s">
        <v>103</v>
      </c>
      <c r="C98" s="614"/>
      <c r="D98" s="411"/>
      <c r="E98" s="175"/>
      <c r="F98" s="273"/>
      <c r="G98" s="277"/>
      <c r="H98" s="413"/>
      <c r="I98" s="400"/>
      <c r="J98" s="496"/>
      <c r="K98" s="277"/>
      <c r="L98" s="496"/>
      <c r="M98" s="277"/>
      <c r="N98" s="413"/>
      <c r="O98" s="277"/>
      <c r="P98" s="413"/>
      <c r="Q98" s="400"/>
      <c r="R98" s="413"/>
      <c r="S98" s="400"/>
      <c r="T98" s="413"/>
      <c r="U98" s="400"/>
      <c r="V98" s="413"/>
      <c r="W98" s="400"/>
      <c r="X98" s="413"/>
      <c r="Y98" s="400"/>
      <c r="Z98" s="1365"/>
      <c r="AB98" s="687"/>
      <c r="AC98" s="1106"/>
    </row>
    <row r="99" spans="1:31" ht="12" x14ac:dyDescent="0.2">
      <c r="B99" s="42" t="s">
        <v>93</v>
      </c>
      <c r="C99" s="614">
        <f>Dean_Ag!C110+Ag_Econ!C90+Agronomy!C89+Animal_Sci!C97+CommAgEd!C87+Entomology!C86+Grain_Sci!C97+Horticulture!C93+Plant_Path!C86</f>
        <v>219</v>
      </c>
      <c r="D99" s="411">
        <f t="shared" si="29"/>
        <v>0.92016806722689071</v>
      </c>
      <c r="E99" s="174">
        <f>Dean_Ag!E110+Ag_Econ!E90+Agronomy!E89+Animal_Sci!E97+CommAgEd!E87+Entomology!E86+Grain_Sci!E97+Horticulture!E93+Plant_Path!E86</f>
        <v>209</v>
      </c>
      <c r="F99" s="272">
        <f>E99/F$81</f>
        <v>0.9247787610619469</v>
      </c>
      <c r="G99" s="383">
        <f>Dean_Ag!G110+Ag_Econ!G90+Agronomy!G89+Animal_Sci!G97+CommAgEd!G87+Entomology!G86+Grain_Sci!G97+Horticulture!G93+Plant_Path!G86</f>
        <v>211</v>
      </c>
      <c r="H99" s="411">
        <f>G99/H$81</f>
        <v>0.93777777777777782</v>
      </c>
      <c r="I99" s="399">
        <f>Dean_Ag!I110+Ag_Econ!I90+Agronomy!I89+Animal_Sci!I97+CommAgEd!I87+Entomology!I86+Grain_Sci!I97+Horticulture!I93+Plant_Path!I86</f>
        <v>213</v>
      </c>
      <c r="J99" s="169">
        <f>I99/J$81</f>
        <v>0.93832599118942728</v>
      </c>
      <c r="K99" s="383">
        <f>Dean_Ag!K110+Ag_Econ!K90+Agronomy!K89+Animal_Sci!K97+CommAgEd!K87+Entomology!K86+Grain_Sci!K97+Horticulture!K93+Plant_Path!K86</f>
        <v>216</v>
      </c>
      <c r="L99" s="169">
        <f>K99/L$81</f>
        <v>0.93506493506493504</v>
      </c>
      <c r="M99" s="383">
        <f>Dean_Ag!M110+Ag_Econ!M90+Agronomy!M89+Animal_Sci!M97+CommAgEd!M87+Entomology!M86+Grain_Sci!M97+Horticulture!M93+Plant_Path!M86</f>
        <v>226</v>
      </c>
      <c r="N99" s="411">
        <f>M99/N$81</f>
        <v>0.93388429752066116</v>
      </c>
      <c r="O99" s="383">
        <f>Dean_Ag!O110+Ag_Econ!O90+Agronomy!O89+Animal_Sci!O97+CommAgEd!O87+Entomology!O86+Grain_Sci!O97+Horticulture!O93+Plant_Path!O86</f>
        <v>221</v>
      </c>
      <c r="P99" s="411">
        <f>O99/P$81</f>
        <v>0.93644067796610164</v>
      </c>
      <c r="Q99" s="399">
        <f>Dean_Ag!Q110+Ag_Econ!Q90+Agronomy!Q89+Animal_Sci!Q97+CommAgEd!Q87+Entomology!Q86+Grain_Sci!Q97+Horticulture!Q93+Plant_Path!Q86</f>
        <v>208</v>
      </c>
      <c r="R99" s="411">
        <f>Q99/R$81</f>
        <v>0.94117647058823528</v>
      </c>
      <c r="S99" s="399">
        <f>Dean_Ag!S110+Ag_Econ!S90+Agronomy!S89+Animal_Sci!S97+CommAgEd!S87+Entomology!S86+Grain_Sci!S97+Horticulture!S93+Plant_Path!S86</f>
        <v>215</v>
      </c>
      <c r="T99" s="411">
        <f>S99/T$81</f>
        <v>0.93478260869565222</v>
      </c>
      <c r="U99" s="399">
        <f>Dean_Ag!U110+Ag_Econ!U90+Agronomy!U89+Animal_Sci!U97+CommAgEd!U87+Entomology!U86+Grain_Sci!U97+Horticulture!U93+Plant_Path!U86</f>
        <v>212</v>
      </c>
      <c r="V99" s="411">
        <f>U99/V$81</f>
        <v>0.91774891774891776</v>
      </c>
      <c r="W99" s="399">
        <f>Dean_Ag!W110+Ag_Econ!W90+Agronomy!W89+Animal_Sci!W97+CommAgEd!W87+Entomology!W86+Grain_Sci!W97+Horticulture!W93+Plant_Path!W86</f>
        <v>222</v>
      </c>
      <c r="X99" s="411">
        <f>W99/X$81</f>
        <v>0.9327731092436975</v>
      </c>
      <c r="Y99" s="399">
        <f>Dean_Ag!Y110+Ag_Econ!Y90+Agronomy!Y89+Animal_Sci!Y97+CommAgEd!Y87+Entomology!Y86+Grain_Sci!Y97+Horticulture!Y93+Plant_Path!Y86</f>
        <v>219</v>
      </c>
      <c r="Z99" s="1363">
        <f>Y99/Z$81</f>
        <v>0.9358974358974359</v>
      </c>
      <c r="AB99" s="687">
        <f t="shared" ref="AB99:AB102" si="32">AVERAGE(W99,U99,S99,Q99,Y99)</f>
        <v>215.2</v>
      </c>
      <c r="AC99" s="1106">
        <f t="shared" ref="AC99:AC102" si="33">AVERAGE(X99,V99,T99,R99,Z99)</f>
        <v>0.93247570843478778</v>
      </c>
    </row>
    <row r="100" spans="1:31" ht="12" x14ac:dyDescent="0.2">
      <c r="B100" s="42" t="s">
        <v>94</v>
      </c>
      <c r="C100" s="614">
        <f>Dean_Ag!C111+Ag_Econ!C91+Agronomy!C90+Animal_Sci!C98+CommAgEd!C88+Entomology!C87+Grain_Sci!C98+Horticulture!C94+Plant_Path!C87</f>
        <v>15</v>
      </c>
      <c r="D100" s="411">
        <f t="shared" si="29"/>
        <v>6.3025210084033612E-2</v>
      </c>
      <c r="E100" s="174">
        <f>Dean_Ag!E111+Ag_Econ!E91+Agronomy!E90+Animal_Sci!E98+CommAgEd!E88+Entomology!E87+Grain_Sci!E98+Horticulture!E94+Plant_Path!E87</f>
        <v>13</v>
      </c>
      <c r="F100" s="272">
        <f>E100/F$81</f>
        <v>5.7522123893805309E-2</v>
      </c>
      <c r="G100" s="383">
        <f>Dean_Ag!G111+Ag_Econ!G91+Agronomy!G90+Animal_Sci!G98+CommAgEd!G88+Entomology!G87+Grain_Sci!G98+Horticulture!G94+Plant_Path!G87</f>
        <v>11</v>
      </c>
      <c r="H100" s="411">
        <f>G100/H$81</f>
        <v>4.8888888888888891E-2</v>
      </c>
      <c r="I100" s="399">
        <f>Dean_Ag!I111+Ag_Econ!I91+Agronomy!I90+Animal_Sci!I98+CommAgEd!I88+Entomology!I87+Grain_Sci!I98+Horticulture!I94+Plant_Path!I87</f>
        <v>11</v>
      </c>
      <c r="J100" s="169">
        <f>I100/J$81</f>
        <v>4.8458149779735685E-2</v>
      </c>
      <c r="K100" s="383">
        <f>Dean_Ag!K111+Ag_Econ!K91+Agronomy!K90+Animal_Sci!K98+CommAgEd!K88+Entomology!K87+Grain_Sci!K98+Horticulture!K94+Plant_Path!K87</f>
        <v>14</v>
      </c>
      <c r="L100" s="169">
        <f>K100/L$81</f>
        <v>6.0606060606060608E-2</v>
      </c>
      <c r="M100" s="383">
        <f>Dean_Ag!M111+Ag_Econ!M91+Agronomy!M90+Animal_Sci!M98+CommAgEd!M88+Entomology!M87+Grain_Sci!M98+Horticulture!M94+Plant_Path!M87</f>
        <v>12</v>
      </c>
      <c r="N100" s="411">
        <f>M100/N$81</f>
        <v>4.9586776859504134E-2</v>
      </c>
      <c r="O100" s="383">
        <f>Dean_Ag!O111+Ag_Econ!O91+Agronomy!O90+Animal_Sci!O98+CommAgEd!O88+Entomology!O87+Grain_Sci!O98+Horticulture!O94+Plant_Path!O87</f>
        <v>13</v>
      </c>
      <c r="P100" s="411">
        <f>O100/P$81</f>
        <v>5.5084745762711863E-2</v>
      </c>
      <c r="Q100" s="399">
        <f>Dean_Ag!Q111+Ag_Econ!Q91+Agronomy!Q90+Animal_Sci!Q98+CommAgEd!Q88+Entomology!Q87+Grain_Sci!Q98+Horticulture!Q94+Plant_Path!Q87</f>
        <v>12</v>
      </c>
      <c r="R100" s="411">
        <f>Q100/R$81</f>
        <v>5.4298642533936653E-2</v>
      </c>
      <c r="S100" s="399">
        <f>Dean_Ag!S111+Ag_Econ!S91+Agronomy!S90+Animal_Sci!S98+CommAgEd!S88+Entomology!S87+Grain_Sci!S98+Horticulture!S94+Plant_Path!S87</f>
        <v>10</v>
      </c>
      <c r="T100" s="411">
        <f>S100/T$81</f>
        <v>4.3478260869565216E-2</v>
      </c>
      <c r="U100" s="399">
        <f>Dean_Ag!U111+Ag_Econ!U91+Agronomy!U90+Animal_Sci!U98+CommAgEd!U88+Entomology!U87+Grain_Sci!U98+Horticulture!U94+Plant_Path!U87</f>
        <v>14</v>
      </c>
      <c r="V100" s="411">
        <f>U100/V$81</f>
        <v>6.0606060606060608E-2</v>
      </c>
      <c r="W100" s="399">
        <f>Dean_Ag!W111+Ag_Econ!W91+Agronomy!W90+Animal_Sci!W98+CommAgEd!W88+Entomology!W87+Grain_Sci!W98+Horticulture!W94+Plant_Path!W87</f>
        <v>10</v>
      </c>
      <c r="X100" s="411">
        <f>W100/X$81</f>
        <v>4.2016806722689079E-2</v>
      </c>
      <c r="Y100" s="399">
        <f>Dean_Ag!Y111+Ag_Econ!Y91+Agronomy!Y90+Animal_Sci!Y98+CommAgEd!Y88+Entomology!Y87+Grain_Sci!Y98+Horticulture!Y94+Plant_Path!Y87</f>
        <v>13</v>
      </c>
      <c r="Z100" s="1363">
        <f>Y100/Z$81</f>
        <v>5.5555555555555552E-2</v>
      </c>
      <c r="AB100" s="687">
        <f t="shared" si="32"/>
        <v>11.8</v>
      </c>
      <c r="AC100" s="1106">
        <f t="shared" si="33"/>
        <v>5.1191065257561418E-2</v>
      </c>
    </row>
    <row r="101" spans="1:31" ht="12" x14ac:dyDescent="0.2">
      <c r="B101" s="42" t="s">
        <v>95</v>
      </c>
      <c r="C101" s="614">
        <f>Dean_Ag!C112+Ag_Econ!C92+Agronomy!C91+Animal_Sci!C99+CommAgEd!C89+Entomology!C88+Grain_Sci!C99+Horticulture!C95+Plant_Path!C88</f>
        <v>4</v>
      </c>
      <c r="D101" s="411">
        <f t="shared" si="29"/>
        <v>1.680672268907563E-2</v>
      </c>
      <c r="E101" s="174">
        <f>Dean_Ag!E112+Ag_Econ!E92+Agronomy!E91+Animal_Sci!E99+CommAgEd!E89+Entomology!E88+Grain_Sci!E99+Horticulture!E95+Plant_Path!E88</f>
        <v>4</v>
      </c>
      <c r="F101" s="272">
        <f>E101/F$81</f>
        <v>1.7699115044247787E-2</v>
      </c>
      <c r="G101" s="383">
        <f>Dean_Ag!G112+Ag_Econ!G92+Agronomy!G91+Animal_Sci!G99+CommAgEd!G89+Entomology!G88+Grain_Sci!G99+Horticulture!G95+Plant_Path!G88</f>
        <v>3</v>
      </c>
      <c r="H101" s="411">
        <f>G101/H$81</f>
        <v>1.3333333333333334E-2</v>
      </c>
      <c r="I101" s="399">
        <f>Dean_Ag!I112+Ag_Econ!I92+Agronomy!I91+Animal_Sci!I99+CommAgEd!I89+Entomology!I88+Grain_Sci!I99+Horticulture!I95+Plant_Path!I88</f>
        <v>3</v>
      </c>
      <c r="J101" s="169">
        <f>I101/J$81</f>
        <v>1.3215859030837005E-2</v>
      </c>
      <c r="K101" s="383">
        <f>Dean_Ag!K112+Ag_Econ!K92+Agronomy!K91+Animal_Sci!K99+CommAgEd!K89+Entomology!K88+Grain_Sci!K99+Horticulture!K95+Plant_Path!K88</f>
        <v>3</v>
      </c>
      <c r="L101" s="169">
        <f>K101/L$81</f>
        <v>1.2987012987012988E-2</v>
      </c>
      <c r="M101" s="383">
        <f>Dean_Ag!M112+Ag_Econ!M92+Agronomy!M91+Animal_Sci!M99+CommAgEd!M89+Entomology!M88+Grain_Sci!M99+Horticulture!M95+Plant_Path!M88</f>
        <v>4</v>
      </c>
      <c r="N101" s="411">
        <f>M101/N$81</f>
        <v>1.6528925619834711E-2</v>
      </c>
      <c r="O101" s="383">
        <f>Dean_Ag!O112+Ag_Econ!O92+Agronomy!O91+Animal_Sci!O99+CommAgEd!O89+Entomology!O88+Grain_Sci!O99+Horticulture!O95+Plant_Path!O88</f>
        <v>2</v>
      </c>
      <c r="P101" s="411">
        <f>O101/P$81</f>
        <v>8.4745762711864406E-3</v>
      </c>
      <c r="Q101" s="399">
        <f>Dean_Ag!Q112+Ag_Econ!Q92+Agronomy!Q91+Animal_Sci!Q99+CommAgEd!Q89+Entomology!Q88+Grain_Sci!Q99+Horticulture!Q95+Plant_Path!Q88</f>
        <v>3</v>
      </c>
      <c r="R101" s="411">
        <f>Q101/R$81</f>
        <v>1.3574660633484163E-2</v>
      </c>
      <c r="S101" s="399">
        <f>Dean_Ag!S112+Ag_Econ!S92+Agronomy!S91+Animal_Sci!S99+CommAgEd!S89+Entomology!S88+Grain_Sci!S99+Horticulture!S95+Plant_Path!S88</f>
        <v>5</v>
      </c>
      <c r="T101" s="411">
        <f>S101/T$81</f>
        <v>2.1739130434782608E-2</v>
      </c>
      <c r="U101" s="399">
        <f>Dean_Ag!U112+Ag_Econ!U92+Agronomy!U91+Animal_Sci!U99+CommAgEd!U89+Entomology!U88+Grain_Sci!U99+Horticulture!U95+Plant_Path!U88</f>
        <v>5</v>
      </c>
      <c r="V101" s="411">
        <f>U101/V$81</f>
        <v>2.1645021645021644E-2</v>
      </c>
      <c r="W101" s="399">
        <f>Dean_Ag!W112+Ag_Econ!W92+Agronomy!W91+Animal_Sci!W99+CommAgEd!W89+Entomology!W88+Grain_Sci!W99+Horticulture!W95+Plant_Path!W88</f>
        <v>6</v>
      </c>
      <c r="X101" s="411">
        <f>W101/X$81</f>
        <v>2.5210084033613446E-2</v>
      </c>
      <c r="Y101" s="399">
        <f>Dean_Ag!Y112+Ag_Econ!Y92+Agronomy!Y91+Animal_Sci!Y99+CommAgEd!Y89+Entomology!Y88+Grain_Sci!Y99+Horticulture!Y95+Plant_Path!Y88</f>
        <v>1</v>
      </c>
      <c r="Z101" s="1363">
        <f>Y101/Z$81</f>
        <v>4.2735042735042739E-3</v>
      </c>
      <c r="AB101" s="687">
        <f t="shared" si="32"/>
        <v>4</v>
      </c>
      <c r="AC101" s="1106">
        <f t="shared" si="33"/>
        <v>1.7288480204081226E-2</v>
      </c>
    </row>
    <row r="102" spans="1:31" thickBot="1" x14ac:dyDescent="0.25">
      <c r="B102" s="682" t="s">
        <v>96</v>
      </c>
      <c r="C102" s="615">
        <f>Dean_Ag!C113+Ag_Econ!C93+Agronomy!C92+Animal_Sci!C100+CommAgEd!C90+Entomology!C89+Grain_Sci!C100+Horticulture!C96+Plant_Path!C89</f>
        <v>0</v>
      </c>
      <c r="D102" s="414">
        <f t="shared" si="29"/>
        <v>0</v>
      </c>
      <c r="E102" s="177">
        <f>Dean_Ag!E113+Ag_Econ!E93+Agronomy!E92+Animal_Sci!E100+CommAgEd!E90+Entomology!E89+Grain_Sci!E100+Horticulture!E96+Plant_Path!E89</f>
        <v>0</v>
      </c>
      <c r="F102" s="274">
        <f>E102/F$81</f>
        <v>0</v>
      </c>
      <c r="G102" s="384">
        <f>Dean_Ag!G113+Ag_Econ!G93+Agronomy!G92+Animal_Sci!G100+CommAgEd!G90+Entomology!G89+Grain_Sci!G100+Horticulture!G96+Plant_Path!G89</f>
        <v>0</v>
      </c>
      <c r="H102" s="414">
        <f>G102/H$81</f>
        <v>0</v>
      </c>
      <c r="I102" s="401">
        <f>Dean_Ag!I113+Ag_Econ!I93+Agronomy!I92+Animal_Sci!I100+CommAgEd!I90+Entomology!I89+Grain_Sci!I100+Horticulture!I96+Plant_Path!I89</f>
        <v>0</v>
      </c>
      <c r="J102" s="176">
        <f>I102/J$81</f>
        <v>0</v>
      </c>
      <c r="K102" s="384">
        <f>Dean_Ag!K113+Ag_Econ!K93+Agronomy!K92+Animal_Sci!K100+CommAgEd!K90+Entomology!K89+Grain_Sci!K100+Horticulture!K96+Plant_Path!K89</f>
        <v>0</v>
      </c>
      <c r="L102" s="176">
        <f>K102/L$81</f>
        <v>0</v>
      </c>
      <c r="M102" s="384">
        <f>Dean_Ag!M113+Ag_Econ!M93+Agronomy!M92+Animal_Sci!M100+CommAgEd!M90+Entomology!M89+Grain_Sci!M100+Horticulture!M96+Plant_Path!M89</f>
        <v>0</v>
      </c>
      <c r="N102" s="414">
        <f>M102/N$81</f>
        <v>0</v>
      </c>
      <c r="O102" s="384">
        <f>Dean_Ag!O113+Ag_Econ!O93+Agronomy!O92+Animal_Sci!O100+CommAgEd!O90+Entomology!O89+Grain_Sci!O100+Horticulture!O96+Plant_Path!O89</f>
        <v>0</v>
      </c>
      <c r="P102" s="414">
        <f>O102/P$81</f>
        <v>0</v>
      </c>
      <c r="Q102" s="401">
        <f>Dean_Ag!Q113+Ag_Econ!Q93+Agronomy!Q92+Animal_Sci!Q100+CommAgEd!Q90+Entomology!Q89+Grain_Sci!Q100+Horticulture!Q96+Plant_Path!Q89</f>
        <v>0</v>
      </c>
      <c r="R102" s="414">
        <f>Q102/R$81</f>
        <v>0</v>
      </c>
      <c r="S102" s="401">
        <f>Dean_Ag!S113+Ag_Econ!S93+Agronomy!S92+Animal_Sci!S100+CommAgEd!S90+Entomology!S89+Grain_Sci!S100+Horticulture!S96+Plant_Path!S89</f>
        <v>0</v>
      </c>
      <c r="T102" s="414">
        <f>S102/T$81</f>
        <v>0</v>
      </c>
      <c r="U102" s="401">
        <f>Dean_Ag!U113+Ag_Econ!U93+Agronomy!U92+Animal_Sci!U100+CommAgEd!U90+Entomology!U89+Grain_Sci!U100+Horticulture!U96+Plant_Path!U89</f>
        <v>0</v>
      </c>
      <c r="V102" s="414">
        <f>U102/V$81</f>
        <v>0</v>
      </c>
      <c r="W102" s="401">
        <f>Dean_Ag!W113+Ag_Econ!W93+Agronomy!W92+Animal_Sci!W100+CommAgEd!W90+Entomology!W89+Grain_Sci!W100+Horticulture!W96+Plant_Path!W89</f>
        <v>0</v>
      </c>
      <c r="X102" s="414">
        <f>W102/X$81</f>
        <v>0</v>
      </c>
      <c r="Y102" s="401">
        <f>Dean_Ag!Y113+Ag_Econ!Y93+Agronomy!Y92+Animal_Sci!Y100+CommAgEd!Y90+Entomology!Y89+Grain_Sci!Y100+Horticulture!Y96+Plant_Path!Y89</f>
        <v>1</v>
      </c>
      <c r="Z102" s="1366">
        <f>Y102/Z$81</f>
        <v>4.2735042735042739E-3</v>
      </c>
      <c r="AA102" s="506"/>
      <c r="AB102" s="761">
        <f t="shared" si="32"/>
        <v>0.2</v>
      </c>
      <c r="AC102" s="1107">
        <f t="shared" si="33"/>
        <v>8.5470085470085481E-4</v>
      </c>
      <c r="AD102" s="24"/>
      <c r="AE102" s="24"/>
    </row>
    <row r="103" spans="1:31" thickTop="1" x14ac:dyDescent="0.2">
      <c r="A103" s="652"/>
      <c r="B103" s="669" t="s">
        <v>131</v>
      </c>
      <c r="C103" s="52"/>
      <c r="D103" s="671"/>
      <c r="E103" s="672"/>
      <c r="F103" s="670"/>
      <c r="G103" s="672"/>
      <c r="H103" s="670"/>
      <c r="I103" s="672"/>
      <c r="J103" s="670"/>
      <c r="K103" s="672"/>
      <c r="L103" s="670"/>
      <c r="M103" s="705"/>
      <c r="N103" s="1025"/>
      <c r="O103" s="705"/>
      <c r="P103" s="1025"/>
      <c r="Q103" s="705"/>
      <c r="R103" s="1333"/>
      <c r="S103" s="705"/>
      <c r="T103" s="1333"/>
      <c r="U103" s="705"/>
      <c r="V103" s="1333"/>
      <c r="W103" s="705"/>
      <c r="X103" s="1333"/>
      <c r="Y103" s="705"/>
      <c r="Z103" s="1251"/>
      <c r="AA103" s="652"/>
      <c r="AC103" s="652"/>
      <c r="AD103" s="15"/>
      <c r="AE103" s="15"/>
    </row>
    <row r="104" spans="1:31" ht="12" x14ac:dyDescent="0.2">
      <c r="A104" s="652"/>
      <c r="B104" s="676"/>
      <c r="C104" s="101" t="s">
        <v>97</v>
      </c>
      <c r="D104" s="677" t="s">
        <v>17</v>
      </c>
      <c r="E104" s="101" t="s">
        <v>97</v>
      </c>
      <c r="F104" s="677" t="s">
        <v>17</v>
      </c>
      <c r="G104" s="101" t="s">
        <v>97</v>
      </c>
      <c r="H104" s="677" t="s">
        <v>17</v>
      </c>
      <c r="I104" s="101" t="s">
        <v>97</v>
      </c>
      <c r="J104" s="677" t="s">
        <v>17</v>
      </c>
      <c r="K104" s="101" t="s">
        <v>97</v>
      </c>
      <c r="L104" s="677" t="s">
        <v>17</v>
      </c>
      <c r="M104" s="101" t="s">
        <v>97</v>
      </c>
      <c r="N104" s="677" t="s">
        <v>17</v>
      </c>
      <c r="O104" s="101" t="s">
        <v>97</v>
      </c>
      <c r="P104" s="677" t="s">
        <v>17</v>
      </c>
      <c r="Q104" s="253" t="s">
        <v>97</v>
      </c>
      <c r="R104" s="677" t="s">
        <v>17</v>
      </c>
      <c r="S104" s="253" t="s">
        <v>97</v>
      </c>
      <c r="T104" s="677" t="s">
        <v>17</v>
      </c>
      <c r="U104" s="253" t="s">
        <v>97</v>
      </c>
      <c r="V104" s="677" t="s">
        <v>17</v>
      </c>
      <c r="W104" s="253" t="s">
        <v>97</v>
      </c>
      <c r="X104" s="677" t="s">
        <v>17</v>
      </c>
      <c r="Y104" s="253" t="s">
        <v>97</v>
      </c>
      <c r="Z104" s="678" t="s">
        <v>17</v>
      </c>
      <c r="AA104" s="652"/>
      <c r="AB104" s="101" t="s">
        <v>97</v>
      </c>
      <c r="AC104" s="678" t="s">
        <v>17</v>
      </c>
      <c r="AD104" s="15"/>
      <c r="AE104" s="15"/>
    </row>
    <row r="105" spans="1:31" ht="12" x14ac:dyDescent="0.2">
      <c r="A105" s="652"/>
      <c r="B105" s="680" t="s">
        <v>132</v>
      </c>
      <c r="C105" s="840">
        <f>Dean_Ag!C116+Agronomy!C95+Ag_Econ!C96+Animal_Sci!C103+CommAgEd!C93+Entomology!C92+Grain_Sci!C103+Horticulture!C99+Plant_Path!C92</f>
        <v>267</v>
      </c>
      <c r="D105" s="841">
        <f>Dean_Ag!D116+Agronomy!D95+Ag_Econ!D96+Animal_Sci!D103+CommAgEd!D93+Entomology!D92+Grain_Sci!D103+Horticulture!D99+Plant_Path!D92</f>
        <v>130.29999999999998</v>
      </c>
      <c r="E105" s="840">
        <f>Dean_Ag!E116+Agronomy!E95+Ag_Econ!E96+Animal_Sci!E103+CommAgEd!E93+Entomology!E92+Grain_Sci!E103+Horticulture!E99+Plant_Path!E92</f>
        <v>242</v>
      </c>
      <c r="F105" s="841">
        <f>Dean_Ag!F116+Agronomy!F95+Ag_Econ!F96+Animal_Sci!F103+CommAgEd!F93+Entomology!F92+Grain_Sci!F103+Horticulture!F99+Plant_Path!F92</f>
        <v>116.8</v>
      </c>
      <c r="G105" s="840">
        <f>Dean_Ag!G116+Agronomy!G95+Ag_Econ!G96+Animal_Sci!G103+CommAgEd!G93+Entomology!G92+Grain_Sci!G103+Horticulture!G99+Plant_Path!G92</f>
        <v>226</v>
      </c>
      <c r="H105" s="841">
        <f>Dean_Ag!H116+Agronomy!H95+Ag_Econ!H96+Animal_Sci!H103+CommAgEd!H93+Entomology!H92+Grain_Sci!H103+Horticulture!H99+Plant_Path!H92</f>
        <v>106.50000000000001</v>
      </c>
      <c r="I105" s="840">
        <f>Dean_Ag!I116+Agronomy!I95+Ag_Econ!I96+Animal_Sci!I103+CommAgEd!I93+Entomology!I92+Grain_Sci!I103+Horticulture!I99+Plant_Path!I92</f>
        <v>219</v>
      </c>
      <c r="J105" s="841">
        <f>Dean_Ag!J116+Agronomy!J95+Ag_Econ!J96+Animal_Sci!J103+CommAgEd!J93+Entomology!J92+Grain_Sci!J103+Horticulture!J99+Plant_Path!J92</f>
        <v>105.35000000000001</v>
      </c>
      <c r="K105" s="840">
        <f>Dean_Ag!K116+Agronomy!K95+Ag_Econ!K96+Animal_Sci!K103+CommAgEd!K93+Entomology!K92+Grain_Sci!K103+Horticulture!K99+Plant_Path!K92</f>
        <v>246</v>
      </c>
      <c r="L105" s="841">
        <f>Dean_Ag!L116+Agronomy!L95+Ag_Econ!L96+Animal_Sci!L103+CommAgEd!L93+Entomology!L92+Grain_Sci!L103+Horticulture!L99+Plant_Path!L92</f>
        <v>118.5</v>
      </c>
      <c r="M105" s="840">
        <f>Dean_Ag!M116+Agronomy!M95+Ag_Econ!M96+Animal_Sci!M103+CommAgEd!M93+Entomology!M92+Grain_Sci!M103+Horticulture!M99+Plant_Path!M92</f>
        <v>236</v>
      </c>
      <c r="N105" s="841">
        <f>Dean_Ag!N116+Agronomy!N95+Ag_Econ!N96+Animal_Sci!N103+CommAgEd!N93+Entomology!N92+Grain_Sci!N103+Horticulture!N99+Plant_Path!N92</f>
        <v>112.55</v>
      </c>
      <c r="O105" s="840">
        <f>Dean_Ag!O116+Agronomy!O95+Ag_Econ!O96+Animal_Sci!O103+CommAgEd!O93+Entomology!O92+Grain_Sci!O103+Horticulture!O99+Plant_Path!O92</f>
        <v>259</v>
      </c>
      <c r="P105" s="841">
        <f>Dean_Ag!P116+Agronomy!P95+Ag_Econ!P96+Animal_Sci!P103+CommAgEd!P93+Entomology!P92+Grain_Sci!P103+Horticulture!P99+Plant_Path!P92</f>
        <v>127.15</v>
      </c>
      <c r="Q105" s="840">
        <f>Dean_Ag!Q116+Agronomy!Q95+Ag_Econ!Q96+Animal_Sci!Q103+CommAgEd!Q93+Entomology!Q92+Grain_Sci!Q103+Horticulture!Q99+Plant_Path!Q92</f>
        <v>252</v>
      </c>
      <c r="R105" s="841">
        <f>Dean_Ag!R116+Agronomy!R95+Ag_Econ!R96+Animal_Sci!R103+CommAgEd!R93+Entomology!R92+Grain_Sci!R103+Horticulture!R99+Plant_Path!R92</f>
        <v>123.05000000000001</v>
      </c>
      <c r="S105" s="840">
        <f>Dean_Ag!S116+Agronomy!S95+Ag_Econ!S96+Animal_Sci!S103+CommAgEd!S93+Entomology!S92+Grain_Sci!S103+Horticulture!S99+Plant_Path!S92</f>
        <v>258</v>
      </c>
      <c r="T105" s="841">
        <f>Dean_Ag!T116+Agronomy!T95+Ag_Econ!T96+Animal_Sci!T103+CommAgEd!T93+Entomology!T92+Grain_Sci!T103+Horticulture!T99+Plant_Path!T92</f>
        <v>124.4</v>
      </c>
      <c r="U105" s="840">
        <f>Dean_Ag!U116+Agronomy!U95+Ag_Econ!U96+Animal_Sci!U103+CommAgEd!U93+Entomology!U92+Grain_Sci!U103+Horticulture!U99+Plant_Path!U92</f>
        <v>246</v>
      </c>
      <c r="V105" s="841">
        <f>Dean_Ag!V116+Agronomy!V95+Ag_Econ!V96+Animal_Sci!V103+CommAgEd!V93+Entomology!V92+Grain_Sci!V103+Horticulture!V99+Plant_Path!V92</f>
        <v>118.00000000000001</v>
      </c>
      <c r="W105" s="840">
        <f>Dean_Ag!W116+Agronomy!W95+Ag_Econ!W96+Animal_Sci!W103+CommAgEd!W93+Entomology!W92+Grain_Sci!W103+Horticulture!W99+Plant_Path!W92</f>
        <v>260</v>
      </c>
      <c r="X105" s="841">
        <f>Dean_Ag!X116+Agronomy!X95+Ag_Econ!X96+Animal_Sci!X103+CommAgEd!X93+Entomology!X92+Grain_Sci!X103+Horticulture!X99+Plant_Path!X92</f>
        <v>124.39999999999999</v>
      </c>
      <c r="Y105" s="840">
        <f>Dean_Ag!Y116+Agronomy!Y95+Ag_Econ!Y96+Animal_Sci!Y103+CommAgEd!Y93+Entomology!Y92+Grain_Sci!Y103+Horticulture!Y99+Plant_Path!Y92</f>
        <v>278</v>
      </c>
      <c r="Z105" s="1367">
        <f>Dean_Ag!Z116+Agronomy!Z95+Ag_Econ!Z96+Animal_Sci!Z103+CommAgEd!Z93+Entomology!Z92+Grain_Sci!Z103+Horticulture!Z99+Plant_Path!Z92</f>
        <v>132.79999999999998</v>
      </c>
      <c r="AA105" s="900"/>
      <c r="AB105" s="877">
        <f t="shared" ref="AB105:AB107" si="34">AVERAGE(W105,U105,S105,Q105,Y105)</f>
        <v>258.8</v>
      </c>
      <c r="AC105" s="903">
        <f t="shared" ref="AC105:AC107" si="35">AVERAGE(X105,V105,T105,R105,Z105)</f>
        <v>124.53</v>
      </c>
      <c r="AD105" s="15"/>
      <c r="AE105" s="15"/>
    </row>
    <row r="106" spans="1:31" ht="12" x14ac:dyDescent="0.2">
      <c r="A106" s="652"/>
      <c r="B106" s="680" t="s">
        <v>133</v>
      </c>
      <c r="C106" s="840">
        <f>Dean_Ag!C117+Agronomy!C96+Ag_Econ!C97+Animal_Sci!C104+CommAgEd!C94+Entomology!C93+Grain_Sci!C104+Horticulture!C100+Plant_Path!C93</f>
        <v>20</v>
      </c>
      <c r="D106" s="841">
        <f>Dean_Ag!D117+Agronomy!D96+Ag_Econ!D97+Animal_Sci!D104+CommAgEd!D94+Entomology!D93+Grain_Sci!D104+Horticulture!D100+Plant_Path!D93</f>
        <v>5.2999999999999989</v>
      </c>
      <c r="E106" s="840">
        <f>Dean_Ag!E117+Agronomy!E96+Ag_Econ!E97+Animal_Sci!E104+CommAgEd!E94+Entomology!E93+Grain_Sci!E104+Horticulture!E100+Plant_Path!E93</f>
        <v>24</v>
      </c>
      <c r="F106" s="841">
        <f>Dean_Ag!F117+Agronomy!F96+Ag_Econ!F97+Animal_Sci!F104+CommAgEd!F94+Entomology!F93+Grain_Sci!F104+Horticulture!F100+Plant_Path!F93</f>
        <v>6.9</v>
      </c>
      <c r="G106" s="840">
        <f>Dean_Ag!G117+Agronomy!G96+Ag_Econ!G97+Animal_Sci!G104+CommAgEd!G94+Entomology!G93+Grain_Sci!G104+Horticulture!G100+Plant_Path!G93</f>
        <v>25</v>
      </c>
      <c r="H106" s="841">
        <f>Dean_Ag!H117+Agronomy!H96+Ag_Econ!H97+Animal_Sci!H104+CommAgEd!H94+Entomology!H93+Grain_Sci!H104+Horticulture!H100+Plant_Path!H93</f>
        <v>7.6999999999999993</v>
      </c>
      <c r="I106" s="840">
        <f>Dean_Ag!I117+Agronomy!I96+Ag_Econ!I97+Animal_Sci!I104+CommAgEd!I94+Entomology!I93+Grain_Sci!I104+Horticulture!I100+Plant_Path!I93</f>
        <v>24</v>
      </c>
      <c r="J106" s="841">
        <f>Dean_Ag!J117+Agronomy!J96+Ag_Econ!J97+Animal_Sci!J104+CommAgEd!J94+Entomology!J93+Grain_Sci!J104+Horticulture!J100+Plant_Path!J93</f>
        <v>7.1</v>
      </c>
      <c r="K106" s="840">
        <f>Dean_Ag!K117+Agronomy!K96+Ag_Econ!K97+Animal_Sci!K104+CommAgEd!K94+Entomology!K93+Grain_Sci!K104+Horticulture!K100+Plant_Path!K93+2</f>
        <v>27</v>
      </c>
      <c r="L106" s="841">
        <f>Dean_Ag!L117+Agronomy!L96+Ag_Econ!L97+Animal_Sci!L104+CommAgEd!L94+Entomology!L93+Grain_Sci!L104+Horticulture!L100+Plant_Path!L93+1</f>
        <v>8.3000000000000007</v>
      </c>
      <c r="M106" s="840">
        <f>Dean_Ag!M117+Agronomy!M96+Ag_Econ!M97+Animal_Sci!M104+CommAgEd!M94+Entomology!M93+Grain_Sci!M104+Horticulture!M100+Plant_Path!M93+1</f>
        <v>28</v>
      </c>
      <c r="N106" s="841">
        <f>Dean_Ag!N117+Agronomy!N96+Ag_Econ!N97+Animal_Sci!N104+CommAgEd!N94+Entomology!N93+Grain_Sci!N104+Horticulture!N100+Plant_Path!N93+0.5</f>
        <v>8.8999999999999986</v>
      </c>
      <c r="O106" s="840">
        <f>Dean_Ag!O117+Agronomy!O96+Ag_Econ!O97+Animal_Sci!O104+CommAgEd!O94+Entomology!O93+Grain_Sci!O104+Horticulture!O100+Plant_Path!O93</f>
        <v>22</v>
      </c>
      <c r="P106" s="841">
        <f>Dean_Ag!P117+Agronomy!P96+Ag_Econ!P97+Animal_Sci!P104+CommAgEd!P94+Entomology!P93+Grain_Sci!P104+Horticulture!P100+Plant_Path!P93</f>
        <v>7.3</v>
      </c>
      <c r="Q106" s="840">
        <f>Dean_Ag!Q117+Agronomy!Q96+Ag_Econ!Q97+Animal_Sci!Q104+CommAgEd!Q94+Entomology!Q93+Grain_Sci!Q104+Horticulture!Q100+Plant_Path!Q93</f>
        <v>16</v>
      </c>
      <c r="R106" s="841">
        <f>Dean_Ag!R117+Agronomy!R96+Ag_Econ!R97+Animal_Sci!R104+CommAgEd!R94+Entomology!R93+Grain_Sci!R104+Horticulture!R100+Plant_Path!R93</f>
        <v>7.5</v>
      </c>
      <c r="S106" s="840">
        <f>Dean_Ag!S117+Agronomy!S96+Ag_Econ!S97+Animal_Sci!S104+CommAgEd!S94+Entomology!S93+Grain_Sci!S104+Horticulture!S100+Plant_Path!S93</f>
        <v>29</v>
      </c>
      <c r="T106" s="841">
        <f>Dean_Ag!T117+Agronomy!T96+Ag_Econ!T97+Animal_Sci!T104+CommAgEd!T94+Entomology!T93+Grain_Sci!T104+Horticulture!T100+Plant_Path!T93</f>
        <v>9.5</v>
      </c>
      <c r="U106" s="840">
        <f>Dean_Ag!U117+Agronomy!U96+Ag_Econ!U97+Animal_Sci!U104+CommAgEd!U94+Entomology!U93+Grain_Sci!U104+Horticulture!U100+Plant_Path!U93</f>
        <v>38</v>
      </c>
      <c r="V106" s="841">
        <f>Dean_Ag!V117+Agronomy!V96+Ag_Econ!V97+Animal_Sci!V104+CommAgEd!V94+Entomology!V93+Grain_Sci!V104+Horticulture!V100+Plant_Path!V93</f>
        <v>11.25</v>
      </c>
      <c r="W106" s="840">
        <f>Dean_Ag!W117+Agronomy!W96+Ag_Econ!W97+Animal_Sci!W104+CommAgEd!W94+Entomology!W93+Grain_Sci!W104+Horticulture!W100+Plant_Path!W93</f>
        <v>43</v>
      </c>
      <c r="X106" s="841">
        <f>Dean_Ag!X117+Agronomy!X96+Ag_Econ!X97+Animal_Sci!X104+CommAgEd!X94+Entomology!X93+Grain_Sci!X104+Horticulture!X100+Plant_Path!X93</f>
        <v>13.61</v>
      </c>
      <c r="Y106" s="840">
        <f>Dean_Ag!Y117+Agronomy!Y96+Ag_Econ!Y97+Animal_Sci!Y104+CommAgEd!Y94+Entomology!Y93+Grain_Sci!Y104+Horticulture!Y100+Plant_Path!Y93</f>
        <v>48</v>
      </c>
      <c r="Z106" s="1367">
        <f>Dean_Ag!Z117+Agronomy!Z96+Ag_Econ!Z97+Animal_Sci!Z104+CommAgEd!Z94+Entomology!Z93+Grain_Sci!Z104+Horticulture!Z100+Plant_Path!Z93</f>
        <v>15</v>
      </c>
      <c r="AA106" s="900"/>
      <c r="AB106" s="877">
        <f t="shared" si="34"/>
        <v>34.799999999999997</v>
      </c>
      <c r="AC106" s="903">
        <f t="shared" si="35"/>
        <v>11.372</v>
      </c>
    </row>
    <row r="107" spans="1:31" thickBot="1" x14ac:dyDescent="0.25">
      <c r="A107" s="652"/>
      <c r="B107" s="682" t="s">
        <v>158</v>
      </c>
      <c r="C107" s="840">
        <f>Dean_Ag!C118+Agronomy!C97+Ag_Econ!C98+Animal_Sci!C105+CommAgEd!C95+Entomology!C94+Grain_Sci!C105+Horticulture!C101+Plant_Path!C94</f>
        <v>2</v>
      </c>
      <c r="D107" s="842">
        <f>Dean_Ag!D118+Agronomy!D97+Ag_Econ!D98+Animal_Sci!D105+CommAgEd!D95+Entomology!D94+Grain_Sci!D105+Horticulture!D101+Plant_Path!D94</f>
        <v>0.9</v>
      </c>
      <c r="E107" s="840">
        <f>Dean_Ag!E118+Agronomy!E97+Ag_Econ!E98+Animal_Sci!E105+CommAgEd!E95+Entomology!E94+Grain_Sci!E105+Horticulture!E101+Plant_Path!E94</f>
        <v>0</v>
      </c>
      <c r="F107" s="842">
        <f>Dean_Ag!F118+Agronomy!F97+Ag_Econ!F98+Animal_Sci!F105+CommAgEd!F95+Entomology!F94+Grain_Sci!F105+Horticulture!F101+Plant_Path!F94</f>
        <v>0</v>
      </c>
      <c r="G107" s="840">
        <f>Dean_Ag!G118+Agronomy!G97+Ag_Econ!G98+Animal_Sci!G105+CommAgEd!G95+Entomology!G94+Grain_Sci!G105+Horticulture!G101+Plant_Path!G94</f>
        <v>1</v>
      </c>
      <c r="H107" s="842">
        <f>Dean_Ag!H118+Agronomy!H97+Ag_Econ!H98+Animal_Sci!H105+CommAgEd!H95+Entomology!H94+Grain_Sci!H105+Horticulture!H101+Plant_Path!H94</f>
        <v>0.5</v>
      </c>
      <c r="I107" s="840">
        <f>Dean_Ag!I118+Agronomy!I97+Ag_Econ!I98+Animal_Sci!I105+CommAgEd!I95+Entomology!I94+Grain_Sci!I105+Horticulture!I101+Plant_Path!I94</f>
        <v>1</v>
      </c>
      <c r="J107" s="842">
        <f>Dean_Ag!J118+Agronomy!J97+Ag_Econ!J98+Animal_Sci!J105+CommAgEd!J95+Entomology!J94+Grain_Sci!J105+Horticulture!J101+Plant_Path!J94</f>
        <v>0.5</v>
      </c>
      <c r="K107" s="840">
        <f>Dean_Ag!K118+Agronomy!K97+Ag_Econ!K98+Animal_Sci!K105+CommAgEd!K95+Entomology!K94+Grain_Sci!K105+Horticulture!K101+Plant_Path!K94</f>
        <v>3</v>
      </c>
      <c r="L107" s="842">
        <f>Dean_Ag!L118+Agronomy!L97+Ag_Econ!L98+Animal_Sci!L105+CommAgEd!L95+Entomology!L94+Grain_Sci!L105+Horticulture!L101+Plant_Path!L94</f>
        <v>1.4</v>
      </c>
      <c r="M107" s="840">
        <f>Dean_Ag!M118+Agronomy!M97+Ag_Econ!M98+Animal_Sci!M105+CommAgEd!M95+Entomology!M94+Grain_Sci!M105+Horticulture!M101+Plant_Path!M94</f>
        <v>3</v>
      </c>
      <c r="N107" s="842">
        <f>Dean_Ag!N118+Agronomy!N97+Ag_Econ!N98+Animal_Sci!N105+CommAgEd!N95+Entomology!N94+Grain_Sci!N105+Horticulture!N101+Plant_Path!N94</f>
        <v>1.2</v>
      </c>
      <c r="O107" s="840">
        <f>Dean_Ag!O118+Agronomy!O97+Ag_Econ!O98+Animal_Sci!O105+CommAgEd!O95+Entomology!O94+Grain_Sci!O105+Horticulture!O101+Plant_Path!O94</f>
        <v>3</v>
      </c>
      <c r="P107" s="842">
        <f>Dean_Ag!P118+Agronomy!P97+Ag_Econ!P98+Animal_Sci!P105+CommAgEd!P95+Entomology!P94+Grain_Sci!P105+Horticulture!P101+Plant_Path!P94</f>
        <v>1.4</v>
      </c>
      <c r="Q107" s="840">
        <f>Dean_Ag!Q118+Agronomy!Q97+Ag_Econ!Q98+Animal_Sci!Q105+CommAgEd!Q95+Entomology!Q94+Grain_Sci!Q105+Horticulture!Q101+Plant_Path!Q94</f>
        <v>2</v>
      </c>
      <c r="R107" s="842">
        <f>Dean_Ag!R118+Agronomy!R97+Ag_Econ!R98+Animal_Sci!R105+CommAgEd!R95+Entomology!R94+Grain_Sci!R105+Horticulture!R101+Plant_Path!R94</f>
        <v>1.5</v>
      </c>
      <c r="S107" s="840">
        <f>Dean_Ag!S118+Agronomy!S97+Ag_Econ!S98+Animal_Sci!S105+CommAgEd!S95+Entomology!S94+Grain_Sci!S105+Horticulture!S101+Plant_Path!S94</f>
        <v>1</v>
      </c>
      <c r="T107" s="842">
        <f>Dean_Ag!T118+Agronomy!T97+Ag_Econ!T98+Animal_Sci!T105+CommAgEd!T95+Entomology!T94+Grain_Sci!T105+Horticulture!T101+Plant_Path!T94</f>
        <v>0.5</v>
      </c>
      <c r="U107" s="840">
        <f>Dean_Ag!U118+Agronomy!U97+Ag_Econ!U98+Animal_Sci!U105+CommAgEd!U95+Entomology!U94+Grain_Sci!U105+Horticulture!U101+Plant_Path!U94</f>
        <v>5</v>
      </c>
      <c r="V107" s="842">
        <f>Dean_Ag!V118+Agronomy!V97+Ag_Econ!V98+Animal_Sci!V105+CommAgEd!V95+Entomology!V94+Grain_Sci!V105+Horticulture!V101+Plant_Path!V94</f>
        <v>0.9</v>
      </c>
      <c r="W107" s="840">
        <f>Dean_Ag!W118+Agronomy!W97+Ag_Econ!W98+Animal_Sci!W105+CommAgEd!W95+Entomology!W94+Grain_Sci!W105+Horticulture!W101+Plant_Path!W94</f>
        <v>5</v>
      </c>
      <c r="X107" s="842">
        <f>Dean_Ag!X118+Agronomy!X97+Ag_Econ!X98+Animal_Sci!X105+CommAgEd!X95+Entomology!X94+Grain_Sci!X105+Horticulture!X101+Plant_Path!X94</f>
        <v>1.5999999999999999</v>
      </c>
      <c r="Y107" s="840">
        <f>Dean_Ag!Y118+Agronomy!Y97+Ag_Econ!Y98+Animal_Sci!Y105+CommAgEd!Y95+Entomology!Y94+Grain_Sci!Y105+Horticulture!Y101+Plant_Path!Y94</f>
        <v>5</v>
      </c>
      <c r="Z107" s="1368">
        <f>Dean_Ag!Z118+Agronomy!Z97+Ag_Econ!Z98+Animal_Sci!Z105+CommAgEd!Z95+Entomology!Z94+Grain_Sci!Z105+Horticulture!Z101+Plant_Path!Z94</f>
        <v>1.7</v>
      </c>
      <c r="AA107" s="900"/>
      <c r="AB107" s="877">
        <f t="shared" si="34"/>
        <v>3.6</v>
      </c>
      <c r="AC107" s="903">
        <f t="shared" si="35"/>
        <v>1.24</v>
      </c>
      <c r="AE107" s="24"/>
    </row>
    <row r="108" spans="1:31" ht="17.25" thickTop="1" thickBot="1" x14ac:dyDescent="0.3">
      <c r="A108" s="708"/>
      <c r="B108" s="709"/>
      <c r="C108" s="1477" t="s">
        <v>35</v>
      </c>
      <c r="D108" s="1482"/>
      <c r="E108" s="1477" t="s">
        <v>36</v>
      </c>
      <c r="F108" s="1482"/>
      <c r="G108" s="1479" t="s">
        <v>122</v>
      </c>
      <c r="H108" s="1487"/>
      <c r="I108" s="1479" t="s">
        <v>123</v>
      </c>
      <c r="J108" s="1487"/>
      <c r="K108" s="1479" t="s">
        <v>148</v>
      </c>
      <c r="L108" s="1487"/>
      <c r="M108" s="1488" t="s">
        <v>149</v>
      </c>
      <c r="N108" s="1484"/>
      <c r="O108" s="1483" t="s">
        <v>175</v>
      </c>
      <c r="P108" s="1484"/>
      <c r="Q108" s="1483" t="s">
        <v>194</v>
      </c>
      <c r="R108" s="1484"/>
      <c r="S108" s="1483" t="s">
        <v>219</v>
      </c>
      <c r="T108" s="1484"/>
      <c r="U108" s="1483" t="s">
        <v>222</v>
      </c>
      <c r="V108" s="1484"/>
      <c r="W108" s="1483" t="s">
        <v>233</v>
      </c>
      <c r="X108" s="1484"/>
      <c r="Y108" s="1483" t="s">
        <v>242</v>
      </c>
      <c r="Z108" s="1489"/>
      <c r="AA108" s="1214"/>
      <c r="AB108" s="1485"/>
      <c r="AC108" s="1486"/>
      <c r="AD108" s="24"/>
    </row>
    <row r="109" spans="1:31" x14ac:dyDescent="0.2">
      <c r="B109" s="710" t="s">
        <v>157</v>
      </c>
      <c r="C109" s="1"/>
      <c r="D109" s="711"/>
      <c r="E109" s="712"/>
      <c r="F109" s="713"/>
      <c r="G109" s="714"/>
      <c r="H109" s="715"/>
      <c r="I109" s="716"/>
      <c r="J109" s="717"/>
      <c r="K109" s="655"/>
      <c r="L109" s="718"/>
      <c r="M109" s="655"/>
      <c r="N109" s="722"/>
      <c r="O109" s="222"/>
      <c r="P109" s="1187"/>
      <c r="Q109" s="655"/>
      <c r="R109" s="722"/>
      <c r="S109" s="655"/>
      <c r="T109" s="722"/>
      <c r="U109" s="222"/>
      <c r="V109" s="1187"/>
      <c r="W109" s="655"/>
      <c r="X109" s="722"/>
      <c r="Y109" s="655"/>
      <c r="Z109" s="1184"/>
      <c r="AA109" s="24"/>
      <c r="AB109" s="24"/>
      <c r="AC109" s="24"/>
    </row>
    <row r="110" spans="1:31" ht="12" x14ac:dyDescent="0.2">
      <c r="A110" s="652"/>
      <c r="B110" s="1059" t="s">
        <v>138</v>
      </c>
      <c r="C110" s="1461">
        <f>Agronomy!C100+Ag_Econ!C101+Animal_Sci!C108+CommAgEd!C98+Entomology!C97+Grain_Sci!C108+Horticulture!C104+Plant_Path!C97</f>
        <v>51.79999999999999</v>
      </c>
      <c r="D110" s="1462"/>
      <c r="E110" s="728"/>
      <c r="F110" s="729"/>
      <c r="G110" s="730"/>
      <c r="H110" s="731"/>
      <c r="I110" s="1461">
        <f>Agronomy!I100+Ag_Econ!I101+Animal_Sci!I108+CommAgEd!I98+Entomology!I97+Grain_Sci!I108+Horticulture!I104+Plant_Path!I97+Dean_Ag!I121</f>
        <v>54.28</v>
      </c>
      <c r="J110" s="1462"/>
      <c r="K110" s="723"/>
      <c r="L110" s="724"/>
      <c r="M110" s="723"/>
      <c r="N110" s="722"/>
      <c r="O110" s="235"/>
      <c r="P110" s="1233">
        <f>Dean_Ag!P121+Ag_Econ!P101+Agronomy!P100+Animal_Sci!P108+CommAgEd!P98+Entomology!P97+Grain_Sci!P108+Horticulture!P104+Plant_Path!P97</f>
        <v>60.170000000000009</v>
      </c>
      <c r="Q110" s="723"/>
      <c r="R110" s="722"/>
      <c r="S110" s="723"/>
      <c r="T110" s="722"/>
      <c r="U110" s="235"/>
      <c r="V110" s="1233">
        <v>65.84</v>
      </c>
      <c r="W110" s="723"/>
      <c r="X110" s="722"/>
      <c r="Y110" s="723"/>
      <c r="Z110" s="1184"/>
      <c r="AA110" s="24"/>
      <c r="AB110" s="24"/>
      <c r="AC110" s="1215"/>
    </row>
    <row r="111" spans="1:31" x14ac:dyDescent="0.2">
      <c r="A111" s="652"/>
      <c r="B111" s="1060" t="s">
        <v>139</v>
      </c>
      <c r="C111" s="1461">
        <f>Agronomy!C101+Ag_Econ!C102+Animal_Sci!C109+CommAgEd!C99+Entomology!C98+Grain_Sci!C109+Horticulture!C105+Plant_Path!C98</f>
        <v>4.32</v>
      </c>
      <c r="D111" s="1462"/>
      <c r="E111" s="728"/>
      <c r="F111" s="729"/>
      <c r="G111" s="730"/>
      <c r="H111" s="731"/>
      <c r="K111" s="1300"/>
      <c r="L111" s="724"/>
      <c r="M111" s="723"/>
      <c r="N111" s="722"/>
      <c r="O111" s="235"/>
      <c r="P111" s="1233"/>
      <c r="Q111" s="723"/>
      <c r="R111" s="722"/>
      <c r="S111" s="723"/>
      <c r="T111" s="722"/>
      <c r="U111" s="235"/>
      <c r="V111" s="1233"/>
      <c r="W111" s="723"/>
      <c r="X111" s="722"/>
      <c r="Y111" s="723"/>
      <c r="Z111" s="1184"/>
      <c r="AA111" s="24"/>
      <c r="AB111" s="24"/>
      <c r="AC111" s="1215"/>
    </row>
    <row r="112" spans="1:31" ht="12" x14ac:dyDescent="0.2">
      <c r="A112" s="652"/>
      <c r="B112" s="1060" t="s">
        <v>140</v>
      </c>
      <c r="C112" s="1461">
        <f>Agronomy!C102+Ag_Econ!C103+Animal_Sci!C110+CommAgEd!C100+Entomology!C99+Grain_Sci!C110+Horticulture!C106+Plant_Path!C99</f>
        <v>0</v>
      </c>
      <c r="D112" s="1462"/>
      <c r="E112" s="728"/>
      <c r="F112" s="729"/>
      <c r="G112" s="730"/>
      <c r="H112" s="731"/>
      <c r="I112" s="1461">
        <f>Agronomy!I101+Ag_Econ!I102+Animal_Sci!I109+CommAgEd!I99+Entomology!I98+Grain_Sci!I109+Horticulture!I105+Plant_Path!I98+Dean_Ag!I123</f>
        <v>2.65</v>
      </c>
      <c r="J112" s="1462"/>
      <c r="K112" s="723"/>
      <c r="L112" s="724"/>
      <c r="M112" s="723"/>
      <c r="N112" s="722"/>
      <c r="O112" s="235"/>
      <c r="P112" s="1233">
        <f>Dean_Ag!P123+Ag_Econ!P103+Agronomy!P102+Animal_Sci!P110+CommAgEd!P100+Entomology!P99+Grain_Sci!P110+Horticulture!P106+Plant_Path!P99</f>
        <v>3.4</v>
      </c>
      <c r="Q112" s="723"/>
      <c r="R112" s="722"/>
      <c r="S112" s="723"/>
      <c r="T112" s="722"/>
      <c r="U112" s="235"/>
      <c r="V112" s="1233">
        <v>6.5</v>
      </c>
      <c r="W112" s="723"/>
      <c r="X112" s="722"/>
      <c r="Y112" s="723"/>
      <c r="Z112" s="1184"/>
      <c r="AA112" s="24"/>
      <c r="AB112" s="24"/>
      <c r="AC112" s="1215"/>
    </row>
    <row r="113" spans="1:31" ht="12" x14ac:dyDescent="0.2">
      <c r="A113" s="652"/>
      <c r="B113" s="719" t="s">
        <v>141</v>
      </c>
      <c r="C113" s="1461">
        <f>Agronomy!C103+Ag_Econ!C104+Animal_Sci!C111+CommAgEd!C101+Entomology!C100+Grain_Sci!C111+Horticulture!C107+Plant_Path!C100</f>
        <v>4.5</v>
      </c>
      <c r="D113" s="1462"/>
      <c r="E113" s="728"/>
      <c r="F113" s="729"/>
      <c r="G113" s="730"/>
      <c r="H113" s="731"/>
      <c r="I113" s="1461">
        <f>Agronomy!I103+Ag_Econ!I104+Animal_Sci!I111+CommAgEd!I101+Entomology!I100+Grain_Sci!I111+Horticulture!I107+Plant_Path!I100</f>
        <v>5.4499999999999993</v>
      </c>
      <c r="J113" s="1462"/>
      <c r="K113" s="723"/>
      <c r="L113" s="724"/>
      <c r="M113" s="723"/>
      <c r="N113" s="722"/>
      <c r="O113" s="235"/>
      <c r="P113" s="1233">
        <f>Dean_Ag!P124+Ag_Econ!P104+Agronomy!P103+Animal_Sci!P111+CommAgEd!P101+Entomology!P100+Grain_Sci!P111+Horticulture!P107+Plant_Path!P100</f>
        <v>5.8</v>
      </c>
      <c r="Q113" s="723"/>
      <c r="R113" s="722"/>
      <c r="S113" s="723"/>
      <c r="T113" s="722"/>
      <c r="U113" s="235"/>
      <c r="V113" s="1233">
        <v>4.95</v>
      </c>
      <c r="W113" s="723"/>
      <c r="X113" s="722"/>
      <c r="Y113" s="723"/>
      <c r="Z113" s="1184"/>
      <c r="AA113" s="24"/>
      <c r="AB113" s="24"/>
      <c r="AC113" s="1215"/>
    </row>
    <row r="114" spans="1:31" ht="12" x14ac:dyDescent="0.2">
      <c r="A114" s="652"/>
      <c r="B114" s="726" t="s">
        <v>142</v>
      </c>
      <c r="C114" s="1461">
        <f>Agronomy!C104+Ag_Econ!C105+Animal_Sci!C112+CommAgEd!C102+Entomology!C101+Grain_Sci!C112+Horticulture!C108+Plant_Path!C101</f>
        <v>4.5</v>
      </c>
      <c r="D114" s="1462"/>
      <c r="E114" s="728"/>
      <c r="F114" s="729"/>
      <c r="G114" s="730"/>
      <c r="H114" s="731"/>
      <c r="I114" s="1461">
        <f>Agronomy!I104+Ag_Econ!I105+Animal_Sci!I112+CommAgEd!I102+Entomology!I101+Grain_Sci!I112+Horticulture!I108+Plant_Path!I101</f>
        <v>5.18</v>
      </c>
      <c r="J114" s="1462"/>
      <c r="K114" s="723"/>
      <c r="L114" s="724"/>
      <c r="M114" s="723"/>
      <c r="N114" s="722"/>
      <c r="O114" s="235"/>
      <c r="P114" s="1233">
        <f>Dean_Ag!P125+Ag_Econ!P105+Agronomy!P104+Animal_Sci!P112+CommAgEd!P102+Entomology!P101+Grain_Sci!P112+Horticulture!P108+Plant_Path!P101</f>
        <v>9.9</v>
      </c>
      <c r="Q114" s="723"/>
      <c r="R114" s="722"/>
      <c r="S114" s="723"/>
      <c r="T114" s="722"/>
      <c r="U114" s="235"/>
      <c r="V114" s="1233">
        <f>7.85+8.85</f>
        <v>16.7</v>
      </c>
      <c r="W114" s="723"/>
      <c r="X114" s="722"/>
      <c r="Y114" s="723"/>
      <c r="Z114" s="1184"/>
      <c r="AA114" s="24"/>
      <c r="AB114" s="24"/>
      <c r="AC114" s="1215"/>
    </row>
    <row r="115" spans="1:31" ht="12" x14ac:dyDescent="0.2">
      <c r="A115" s="652"/>
      <c r="B115" s="726" t="s">
        <v>143</v>
      </c>
      <c r="C115" s="1461">
        <f>Agronomy!C105+Ag_Econ!C106+Animal_Sci!C113+CommAgEd!C103+Entomology!C102+Grain_Sci!C113+Horticulture!C109+Plant_Path!C102</f>
        <v>65.12</v>
      </c>
      <c r="D115" s="1462"/>
      <c r="E115" s="728"/>
      <c r="F115" s="729"/>
      <c r="G115" s="730"/>
      <c r="H115" s="731"/>
      <c r="I115" s="1461">
        <f>Agronomy!I105+Ag_Econ!I106+Animal_Sci!I113+CommAgEd!I103+Entomology!I102+Grain_Sci!I113+Horticulture!I109+Plant_Path!I102+Dean_Ag!I126</f>
        <v>67.61</v>
      </c>
      <c r="J115" s="1462"/>
      <c r="K115" s="723"/>
      <c r="L115" s="724"/>
      <c r="M115" s="723"/>
      <c r="N115" s="722"/>
      <c r="O115" s="235"/>
      <c r="P115" s="1233">
        <f>SUM(P110:P114)</f>
        <v>79.27000000000001</v>
      </c>
      <c r="Q115" s="723"/>
      <c r="R115" s="722"/>
      <c r="S115" s="723"/>
      <c r="T115" s="722"/>
      <c r="U115" s="235"/>
      <c r="V115" s="1233">
        <f>SUM(V110:V114)</f>
        <v>93.990000000000009</v>
      </c>
      <c r="W115" s="723"/>
      <c r="X115" s="722"/>
      <c r="Y115" s="723"/>
      <c r="Z115" s="1184"/>
      <c r="AA115" s="24"/>
      <c r="AB115" s="24"/>
      <c r="AC115" s="1215"/>
    </row>
    <row r="116" spans="1:31" thickBot="1" x14ac:dyDescent="0.25">
      <c r="A116" s="652"/>
      <c r="B116" s="727" t="s">
        <v>151</v>
      </c>
      <c r="C116" s="1526"/>
      <c r="D116" s="1527"/>
      <c r="E116" s="720"/>
      <c r="F116" s="721"/>
      <c r="G116" s="655"/>
      <c r="H116" s="722"/>
      <c r="I116" s="1526"/>
      <c r="J116" s="1527"/>
      <c r="K116" s="723"/>
      <c r="L116" s="724"/>
      <c r="M116" s="723"/>
      <c r="N116" s="722"/>
      <c r="O116" s="235"/>
      <c r="P116" s="1187"/>
      <c r="Q116" s="723"/>
      <c r="R116" s="722"/>
      <c r="S116" s="723"/>
      <c r="T116" s="722"/>
      <c r="U116" s="235"/>
      <c r="V116" s="1187"/>
      <c r="W116" s="723"/>
      <c r="X116" s="722"/>
      <c r="Y116" s="723"/>
      <c r="Z116" s="1184"/>
      <c r="AA116" s="24"/>
      <c r="AB116" s="24"/>
      <c r="AC116" s="1215"/>
    </row>
    <row r="117" spans="1:31" ht="12" x14ac:dyDescent="0.2">
      <c r="A117" s="652"/>
      <c r="B117" s="719" t="s">
        <v>144</v>
      </c>
      <c r="C117" s="1524">
        <f>Agronomy!C107+Ag_Econ!C108+Animal_Sci!C115+CommAgEd!C105+Entomology!C104+Grain_Sci!C115+Horticulture!C111+Plant_Path!C104</f>
        <v>12834</v>
      </c>
      <c r="D117" s="1525"/>
      <c r="E117" s="844"/>
      <c r="F117" s="845"/>
      <c r="G117" s="846"/>
      <c r="H117" s="847"/>
      <c r="I117" s="1524">
        <f>Agronomy!I107+Ag_Econ!I108+Animal_Sci!I115+CommAgEd!I105+Entomology!I104+Grain_Sci!I115+Horticulture!I111+Plant_Path!I104+Dean_Ag!I128</f>
        <v>10069</v>
      </c>
      <c r="J117" s="1525"/>
      <c r="K117" s="723"/>
      <c r="L117" s="724"/>
      <c r="M117" s="723"/>
      <c r="N117" s="722"/>
      <c r="O117" s="235"/>
      <c r="P117" s="1231">
        <f>Dean_Ag!P128+Ag_Econ!P108+Agronomy!P107+Animal_Sci!P115+CommAgEd!P105+Entomology!P104+Grain_Sci!P115+Horticulture!P111+Plant_Path!P104</f>
        <v>15044</v>
      </c>
      <c r="Q117" s="723"/>
      <c r="R117" s="722"/>
      <c r="S117" s="723"/>
      <c r="T117" s="722"/>
      <c r="U117" s="235"/>
      <c r="V117" s="1231">
        <v>16759</v>
      </c>
      <c r="W117" s="723"/>
      <c r="X117" s="722"/>
      <c r="Y117" s="723"/>
      <c r="Z117" s="1184"/>
      <c r="AA117" s="24"/>
      <c r="AB117" s="24"/>
      <c r="AC117" s="550"/>
    </row>
    <row r="118" spans="1:31" ht="12" x14ac:dyDescent="0.2">
      <c r="A118" s="652"/>
      <c r="B118" s="726" t="s">
        <v>145</v>
      </c>
      <c r="C118" s="1524">
        <f>Agronomy!C108+Ag_Econ!C109+Animal_Sci!C116+CommAgEd!C106+Entomology!C105+Grain_Sci!C116+Horticulture!C112+Plant_Path!C105</f>
        <v>79</v>
      </c>
      <c r="D118" s="1525"/>
      <c r="E118" s="844"/>
      <c r="F118" s="845"/>
      <c r="G118" s="846"/>
      <c r="H118" s="847"/>
      <c r="I118" s="1524">
        <f>Agronomy!I108+Ag_Econ!I109+Animal_Sci!I116+CommAgEd!I106+Entomology!I105+Grain_Sci!I116+Horticulture!I112+Plant_Path!I105</f>
        <v>304</v>
      </c>
      <c r="J118" s="1525"/>
      <c r="K118" s="723"/>
      <c r="L118" s="724"/>
      <c r="M118" s="723"/>
      <c r="N118" s="722"/>
      <c r="O118" s="235"/>
      <c r="P118" s="1231">
        <f>Dean_Ag!P129+Ag_Econ!P109+Agronomy!P108+Animal_Sci!P116+CommAgEd!P106+Entomology!P105+Grain_Sci!P116+Horticulture!P112+Plant_Path!P105</f>
        <v>10</v>
      </c>
      <c r="Q118" s="723"/>
      <c r="R118" s="722"/>
      <c r="S118" s="723"/>
      <c r="T118" s="722"/>
      <c r="U118" s="235"/>
      <c r="V118" s="1231">
        <v>290</v>
      </c>
      <c r="W118" s="723"/>
      <c r="X118" s="722"/>
      <c r="Y118" s="723"/>
      <c r="Z118" s="1184"/>
      <c r="AA118" s="24"/>
      <c r="AB118" s="24"/>
      <c r="AC118" s="550"/>
    </row>
    <row r="119" spans="1:31" ht="12" x14ac:dyDescent="0.2">
      <c r="A119" s="652"/>
      <c r="B119" s="726" t="s">
        <v>146</v>
      </c>
      <c r="C119" s="1524">
        <f>Agronomy!C109+Ag_Econ!C110+Animal_Sci!C117+CommAgEd!C107+Entomology!C106+Grain_Sci!C117+Horticulture!C113+Plant_Path!C106</f>
        <v>1553</v>
      </c>
      <c r="D119" s="1525"/>
      <c r="E119" s="844"/>
      <c r="F119" s="845"/>
      <c r="G119" s="846"/>
      <c r="H119" s="847"/>
      <c r="I119" s="1524">
        <f>Agronomy!I109+Ag_Econ!I110+Animal_Sci!I117+CommAgEd!I107+Entomology!I106+Grain_Sci!I117+Horticulture!I113+Plant_Path!I106</f>
        <v>1376</v>
      </c>
      <c r="J119" s="1525"/>
      <c r="K119" s="723"/>
      <c r="L119" s="724"/>
      <c r="M119" s="723"/>
      <c r="N119" s="722"/>
      <c r="O119" s="235"/>
      <c r="P119" s="1231">
        <f>Dean_Ag!P130+Ag_Econ!P110+Agronomy!P109+Animal_Sci!P117+CommAgEd!P107+Entomology!P106+Grain_Sci!P117+Horticulture!P113+Plant_Path!P106</f>
        <v>1718</v>
      </c>
      <c r="Q119" s="723"/>
      <c r="R119" s="722"/>
      <c r="S119" s="723"/>
      <c r="T119" s="722"/>
      <c r="U119" s="235"/>
      <c r="V119" s="1231">
        <f>1763+1206</f>
        <v>2969</v>
      </c>
      <c r="W119" s="723"/>
      <c r="X119" s="722"/>
      <c r="Y119" s="723"/>
      <c r="Z119" s="1184"/>
      <c r="AA119" s="24"/>
      <c r="AB119" s="24"/>
      <c r="AC119" s="550"/>
    </row>
    <row r="120" spans="1:31" ht="12" x14ac:dyDescent="0.2">
      <c r="A120" s="652"/>
      <c r="B120" s="726" t="s">
        <v>156</v>
      </c>
      <c r="C120" s="1524">
        <f>Agronomy!C110+Ag_Econ!C111+Animal_Sci!C118+CommAgEd!C108+Entomology!C107+Grain_Sci!C118+Horticulture!C114+Plant_Path!C107</f>
        <v>14466</v>
      </c>
      <c r="D120" s="1525"/>
      <c r="E120" s="844"/>
      <c r="F120" s="845"/>
      <c r="G120" s="846"/>
      <c r="H120" s="847"/>
      <c r="I120" s="1524">
        <f>Agronomy!I110+Ag_Econ!I111+Animal_Sci!I118+CommAgEd!I108+Entomology!I107+Grain_Sci!I118+Horticulture!I114+Plant_Path!I107+Dean_Ag!I131</f>
        <v>11749</v>
      </c>
      <c r="J120" s="1525"/>
      <c r="K120" s="723"/>
      <c r="L120" s="724"/>
      <c r="M120" s="723"/>
      <c r="N120" s="722"/>
      <c r="O120" s="235"/>
      <c r="P120" s="1231">
        <f>SUM(P117:P119)</f>
        <v>16772</v>
      </c>
      <c r="Q120" s="723"/>
      <c r="R120" s="722"/>
      <c r="S120" s="723"/>
      <c r="T120" s="722"/>
      <c r="U120" s="235"/>
      <c r="V120" s="1231">
        <f>SUM(V117:V119)</f>
        <v>20018</v>
      </c>
      <c r="W120" s="723"/>
      <c r="X120" s="722"/>
      <c r="Y120" s="723"/>
      <c r="Z120" s="1184"/>
      <c r="AA120" s="24"/>
      <c r="AB120" s="24"/>
      <c r="AC120" s="550"/>
    </row>
    <row r="121" spans="1:31" thickBot="1" x14ac:dyDescent="0.25">
      <c r="A121" s="652"/>
      <c r="B121" s="727" t="s">
        <v>152</v>
      </c>
      <c r="C121" s="1526"/>
      <c r="D121" s="1527"/>
      <c r="E121" s="720"/>
      <c r="F121" s="721"/>
      <c r="G121" s="655"/>
      <c r="H121" s="722"/>
      <c r="I121" s="1526"/>
      <c r="J121" s="1527"/>
      <c r="K121" s="723"/>
      <c r="L121" s="724"/>
      <c r="M121" s="723"/>
      <c r="N121" s="722"/>
      <c r="O121" s="235"/>
      <c r="P121" s="1187"/>
      <c r="Q121" s="723"/>
      <c r="R121" s="722"/>
      <c r="S121" s="723"/>
      <c r="T121" s="722"/>
      <c r="U121" s="235"/>
      <c r="V121" s="1187"/>
      <c r="W121" s="723"/>
      <c r="X121" s="722"/>
      <c r="Y121" s="723"/>
      <c r="Z121" s="1184"/>
      <c r="AA121" s="24"/>
      <c r="AB121" s="24"/>
      <c r="AC121" s="550"/>
      <c r="AD121" s="24"/>
      <c r="AE121" s="24"/>
    </row>
    <row r="122" spans="1:31" ht="12" x14ac:dyDescent="0.2">
      <c r="A122" s="652"/>
      <c r="B122" s="719" t="s">
        <v>153</v>
      </c>
      <c r="C122" s="1524">
        <f>Agronomy!C112+Ag_Econ!C113+Animal_Sci!C120+CommAgEd!C110+Entomology!C109+Grain_Sci!C120+Horticulture!C116+Plant_Path!C109</f>
        <v>1861.29602325982</v>
      </c>
      <c r="D122" s="1525"/>
      <c r="E122" s="844"/>
      <c r="F122" s="845"/>
      <c r="G122" s="846"/>
      <c r="H122" s="847"/>
      <c r="I122" s="1524">
        <f>I117/I110</f>
        <v>185.50110537951363</v>
      </c>
      <c r="J122" s="1525" t="e">
        <f>J117/J110</f>
        <v>#DIV/0!</v>
      </c>
      <c r="K122" s="879"/>
      <c r="L122" s="880"/>
      <c r="M122" s="879"/>
      <c r="N122" s="1091"/>
      <c r="O122" s="235"/>
      <c r="P122" s="1199">
        <f>P117/P110</f>
        <v>250.02492936679405</v>
      </c>
      <c r="Q122" s="879"/>
      <c r="R122" s="1091"/>
      <c r="S122" s="879"/>
      <c r="T122" s="1091"/>
      <c r="U122" s="1424"/>
      <c r="V122" s="1199">
        <f>V117/V110</f>
        <v>254.54131227217496</v>
      </c>
      <c r="W122" s="879"/>
      <c r="X122" s="1091"/>
      <c r="Y122" s="879"/>
      <c r="Z122" s="1201"/>
      <c r="AA122" s="774"/>
      <c r="AB122" s="774"/>
      <c r="AC122" s="550"/>
      <c r="AD122" s="15"/>
      <c r="AE122" s="15"/>
    </row>
    <row r="123" spans="1:31" ht="12" x14ac:dyDescent="0.2">
      <c r="A123" s="652"/>
      <c r="B123" s="726" t="s">
        <v>154</v>
      </c>
      <c r="C123" s="1524">
        <f>Agronomy!C113+Ag_Econ!C114+Animal_Sci!C121+CommAgEd!C111+Entomology!C110+Grain_Sci!C121+Horticulture!C117+Plant_Path!C110</f>
        <v>18.287037037037035</v>
      </c>
      <c r="D123" s="1525"/>
      <c r="E123" s="844"/>
      <c r="F123" s="845"/>
      <c r="G123" s="846"/>
      <c r="H123" s="847"/>
      <c r="I123" s="1524">
        <f>I118/I112</f>
        <v>114.71698113207547</v>
      </c>
      <c r="J123" s="1525" t="e">
        <f>J118/SUM(J111:K113)</f>
        <v>#DIV/0!</v>
      </c>
      <c r="K123" s="879"/>
      <c r="L123" s="880"/>
      <c r="M123" s="879"/>
      <c r="N123" s="1091"/>
      <c r="O123" s="235"/>
      <c r="P123" s="1233">
        <f>P118/P112</f>
        <v>2.9411764705882355</v>
      </c>
      <c r="Q123" s="879"/>
      <c r="R123" s="1091"/>
      <c r="S123" s="879"/>
      <c r="T123" s="1091"/>
      <c r="U123" s="1424"/>
      <c r="V123" s="1233">
        <f>V118/(V112+V113)</f>
        <v>25.327510917030569</v>
      </c>
      <c r="W123" s="879"/>
      <c r="X123" s="1091"/>
      <c r="Y123" s="879"/>
      <c r="Z123" s="1201"/>
      <c r="AA123" s="774"/>
      <c r="AB123" s="774"/>
      <c r="AC123" s="550"/>
      <c r="AD123" s="15"/>
      <c r="AE123" s="15"/>
    </row>
    <row r="124" spans="1:31" ht="12" x14ac:dyDescent="0.2">
      <c r="A124" s="652"/>
      <c r="B124" s="726" t="s">
        <v>155</v>
      </c>
      <c r="C124" s="1524">
        <f>Agronomy!C114+Ag_Econ!C115+Animal_Sci!C122+CommAgEd!C112+Entomology!C111+Grain_Sci!C122+Horticulture!C118+Plant_Path!C111</f>
        <v>1936.5714285714287</v>
      </c>
      <c r="D124" s="1525"/>
      <c r="E124" s="844"/>
      <c r="F124" s="845"/>
      <c r="G124" s="846"/>
      <c r="H124" s="847"/>
      <c r="I124" s="1524">
        <f>I119/I114</f>
        <v>265.63706563706563</v>
      </c>
      <c r="J124" s="1525" t="e">
        <f>J119/J114</f>
        <v>#DIV/0!</v>
      </c>
      <c r="K124" s="879"/>
      <c r="L124" s="880"/>
      <c r="M124" s="879"/>
      <c r="N124" s="1091"/>
      <c r="O124" s="235"/>
      <c r="P124" s="1199">
        <f>P119/P114</f>
        <v>173.53535353535352</v>
      </c>
      <c r="Q124" s="879"/>
      <c r="R124" s="1091"/>
      <c r="S124" s="879"/>
      <c r="T124" s="1091"/>
      <c r="U124" s="1424"/>
      <c r="V124" s="1199">
        <f>V119/V114</f>
        <v>177.78443113772457</v>
      </c>
      <c r="W124" s="879"/>
      <c r="X124" s="1091"/>
      <c r="Y124" s="879"/>
      <c r="Z124" s="1201"/>
      <c r="AA124" s="774"/>
      <c r="AB124" s="774"/>
      <c r="AC124" s="550"/>
      <c r="AD124" s="15"/>
      <c r="AE124" s="15"/>
    </row>
    <row r="125" spans="1:31" thickBot="1" x14ac:dyDescent="0.25">
      <c r="A125" s="652"/>
      <c r="B125" s="733" t="s">
        <v>147</v>
      </c>
      <c r="C125" s="1551">
        <f>Agronomy!C115+Ag_Econ!C116+Animal_Sci!C123+CommAgEd!C113+Entomology!C112+Grain_Sci!C123+Horticulture!C119+Plant_Path!C112</f>
        <v>1641.0938196846612</v>
      </c>
      <c r="D125" s="1552"/>
      <c r="E125" s="905"/>
      <c r="F125" s="906"/>
      <c r="G125" s="907"/>
      <c r="H125" s="908"/>
      <c r="I125" s="1551">
        <f>I120/I115</f>
        <v>173.77606862890104</v>
      </c>
      <c r="J125" s="1552" t="e">
        <f>J120/J115</f>
        <v>#DIV/0!</v>
      </c>
      <c r="K125" s="881"/>
      <c r="L125" s="882"/>
      <c r="M125" s="881"/>
      <c r="N125" s="882"/>
      <c r="O125" s="252"/>
      <c r="P125" s="1200">
        <f>P120/P115</f>
        <v>211.5806736470291</v>
      </c>
      <c r="Q125" s="881"/>
      <c r="R125" s="882"/>
      <c r="S125" s="881"/>
      <c r="T125" s="882"/>
      <c r="U125" s="1431"/>
      <c r="V125" s="1200">
        <f>V120/V115</f>
        <v>212.9801042664113</v>
      </c>
      <c r="W125" s="881"/>
      <c r="X125" s="882"/>
      <c r="Y125" s="881"/>
      <c r="Z125" s="1202"/>
      <c r="AA125" s="774"/>
      <c r="AB125" s="774"/>
      <c r="AC125" s="550"/>
      <c r="AD125" s="15"/>
      <c r="AE125" s="15"/>
    </row>
    <row r="126" spans="1:31" ht="13.5" thickTop="1" x14ac:dyDescent="0.2">
      <c r="B126" s="1213" t="s">
        <v>234</v>
      </c>
      <c r="C126" s="835"/>
      <c r="D126" s="836"/>
      <c r="E126" s="837"/>
      <c r="F126" s="838"/>
      <c r="G126" s="839"/>
      <c r="H126" s="836"/>
      <c r="I126" s="839"/>
      <c r="J126" s="836"/>
      <c r="K126" s="839"/>
      <c r="L126" s="836"/>
      <c r="M126" s="839"/>
      <c r="N126" s="836"/>
      <c r="O126" s="836"/>
      <c r="P126" s="836"/>
      <c r="Q126" s="836"/>
      <c r="R126" s="836"/>
      <c r="S126" s="836"/>
      <c r="T126" s="836"/>
      <c r="U126" s="836"/>
      <c r="V126" s="836"/>
      <c r="W126" s="836"/>
      <c r="X126" s="836"/>
      <c r="Y126" s="836"/>
      <c r="Z126" s="836"/>
      <c r="AA126" s="506"/>
      <c r="AB126" s="24"/>
      <c r="AC126" s="1215"/>
    </row>
    <row r="127" spans="1:31" ht="12" x14ac:dyDescent="0.2">
      <c r="C127" s="1"/>
      <c r="D127" s="1"/>
      <c r="E127" s="1"/>
      <c r="F127" s="1"/>
      <c r="G127" s="222"/>
      <c r="H127" s="222"/>
      <c r="I127" s="222"/>
      <c r="J127" s="222"/>
      <c r="M127" s="24"/>
      <c r="N127" s="24"/>
      <c r="O127" s="24"/>
      <c r="P127" s="24"/>
      <c r="Q127" s="24"/>
      <c r="R127" s="24"/>
      <c r="S127" s="24"/>
      <c r="T127" s="24"/>
      <c r="U127" s="24"/>
      <c r="V127" s="24"/>
      <c r="W127" s="24"/>
      <c r="X127" s="24"/>
      <c r="Y127" s="24"/>
      <c r="Z127" s="24"/>
      <c r="AA127" s="24"/>
      <c r="AB127" s="24"/>
      <c r="AC127" s="740"/>
    </row>
    <row r="128" spans="1:31" ht="12" x14ac:dyDescent="0.2">
      <c r="C128" s="1"/>
      <c r="D128" s="1"/>
      <c r="E128" s="1"/>
      <c r="F128" s="1"/>
      <c r="G128" s="222"/>
      <c r="H128" s="222"/>
      <c r="I128" s="222"/>
      <c r="J128" s="222"/>
      <c r="AA128" s="24"/>
      <c r="AB128" s="24"/>
      <c r="AC128" s="740"/>
    </row>
    <row r="129" spans="3:29" ht="12" x14ac:dyDescent="0.2">
      <c r="C129" s="1"/>
      <c r="D129" s="1"/>
      <c r="E129" s="1"/>
      <c r="F129" s="1"/>
      <c r="G129" s="222"/>
      <c r="H129" s="222"/>
      <c r="I129" s="222"/>
      <c r="J129" s="222"/>
      <c r="AA129" s="24"/>
      <c r="AB129" s="24"/>
      <c r="AC129" s="740"/>
    </row>
    <row r="130" spans="3:29" ht="12" x14ac:dyDescent="0.2">
      <c r="C130" s="1"/>
      <c r="D130" s="1"/>
      <c r="E130" s="1"/>
      <c r="F130" s="1"/>
      <c r="G130" s="222"/>
      <c r="H130" s="222"/>
      <c r="I130" s="222"/>
      <c r="J130" s="222"/>
      <c r="AB130" s="24"/>
      <c r="AC130" s="740"/>
    </row>
    <row r="131" spans="3:29" ht="12" x14ac:dyDescent="0.2">
      <c r="C131" s="1"/>
      <c r="D131" s="1"/>
      <c r="E131" s="1"/>
      <c r="F131" s="1"/>
      <c r="G131" s="222"/>
      <c r="H131" s="222"/>
      <c r="I131" s="222"/>
      <c r="J131" s="222"/>
    </row>
    <row r="132" spans="3:29" ht="12" x14ac:dyDescent="0.2">
      <c r="C132" s="1"/>
      <c r="D132" s="1"/>
      <c r="E132" s="1"/>
      <c r="F132" s="1"/>
      <c r="G132" s="222"/>
      <c r="H132" s="222"/>
      <c r="I132" s="222"/>
      <c r="J132" s="222"/>
    </row>
    <row r="133" spans="3:29" ht="12" x14ac:dyDescent="0.2">
      <c r="C133" s="1"/>
      <c r="D133" s="1"/>
      <c r="E133" s="1"/>
      <c r="F133" s="1"/>
      <c r="G133" s="222"/>
      <c r="H133" s="222"/>
      <c r="I133" s="222"/>
      <c r="J133" s="222"/>
    </row>
    <row r="134" spans="3:29" ht="12" x14ac:dyDescent="0.2">
      <c r="C134" s="1"/>
      <c r="D134" s="1"/>
      <c r="E134" s="1"/>
      <c r="F134" s="1"/>
      <c r="G134" s="222"/>
      <c r="H134" s="222"/>
      <c r="I134" s="222"/>
      <c r="J134" s="222"/>
    </row>
    <row r="135" spans="3:29" ht="12" x14ac:dyDescent="0.2">
      <c r="C135" s="1"/>
      <c r="D135" s="1"/>
      <c r="E135" s="1"/>
      <c r="F135" s="1"/>
      <c r="G135" s="222"/>
      <c r="H135" s="222"/>
      <c r="I135" s="222"/>
      <c r="J135" s="222"/>
    </row>
    <row r="136" spans="3:29" ht="12" x14ac:dyDescent="0.2">
      <c r="C136" s="1"/>
      <c r="D136" s="1"/>
      <c r="E136" s="1"/>
      <c r="F136" s="1"/>
      <c r="G136" s="222"/>
      <c r="H136" s="222"/>
      <c r="I136" s="222"/>
      <c r="J136" s="222"/>
    </row>
    <row r="137" spans="3:29" x14ac:dyDescent="0.2">
      <c r="C137" s="1"/>
      <c r="D137" s="1"/>
      <c r="E137" s="1"/>
      <c r="F137" s="1"/>
      <c r="G137" s="222"/>
      <c r="H137" s="222"/>
      <c r="I137" s="222"/>
      <c r="J137" s="222"/>
      <c r="AB137" s="223"/>
      <c r="AC137" s="223"/>
    </row>
    <row r="138" spans="3:29" x14ac:dyDescent="0.2">
      <c r="C138" s="1"/>
      <c r="D138" s="1"/>
      <c r="E138" s="1"/>
      <c r="F138" s="1"/>
      <c r="G138" s="222"/>
      <c r="H138" s="222"/>
      <c r="I138" s="222"/>
      <c r="J138" s="222"/>
      <c r="AB138" s="223"/>
      <c r="AC138" s="223"/>
    </row>
    <row r="139" spans="3:29" x14ac:dyDescent="0.2">
      <c r="C139" s="1"/>
      <c r="D139" s="1"/>
      <c r="E139" s="1"/>
      <c r="F139" s="1"/>
      <c r="G139" s="222"/>
      <c r="H139" s="222"/>
      <c r="I139" s="222"/>
      <c r="J139" s="222"/>
      <c r="AB139" s="223"/>
      <c r="AC139" s="223"/>
    </row>
    <row r="140" spans="3:29" x14ac:dyDescent="0.2">
      <c r="C140" s="1"/>
      <c r="D140" s="1"/>
      <c r="E140" s="1"/>
      <c r="F140" s="1"/>
      <c r="G140" s="222"/>
      <c r="H140" s="222"/>
      <c r="I140" s="222"/>
      <c r="J140" s="222"/>
      <c r="AB140" s="223"/>
      <c r="AC140" s="223"/>
    </row>
    <row r="141" spans="3:29" ht="12" x14ac:dyDescent="0.2">
      <c r="C141" s="1"/>
      <c r="D141" s="1"/>
      <c r="E141" s="1"/>
      <c r="F141" s="1"/>
      <c r="G141" s="222"/>
      <c r="H141" s="222"/>
      <c r="I141" s="222"/>
      <c r="J141" s="222"/>
    </row>
    <row r="142" spans="3:29" ht="12" x14ac:dyDescent="0.2">
      <c r="C142" s="1"/>
      <c r="D142" s="1"/>
      <c r="E142" s="1"/>
      <c r="F142" s="1"/>
      <c r="G142" s="222"/>
      <c r="H142" s="222"/>
      <c r="I142" s="222"/>
      <c r="J142" s="222"/>
    </row>
    <row r="143" spans="3:29" ht="12" x14ac:dyDescent="0.2">
      <c r="C143" s="1"/>
      <c r="D143" s="1"/>
      <c r="E143" s="1"/>
      <c r="F143" s="1"/>
      <c r="G143" s="222"/>
      <c r="H143" s="222"/>
      <c r="I143" s="222"/>
      <c r="J143" s="222"/>
    </row>
    <row r="144" spans="3:29" ht="12" x14ac:dyDescent="0.2">
      <c r="C144" s="1"/>
      <c r="D144" s="1"/>
      <c r="E144" s="1"/>
      <c r="F144" s="1"/>
      <c r="G144" s="222"/>
      <c r="H144" s="222"/>
      <c r="I144" s="222"/>
      <c r="J144" s="222"/>
    </row>
    <row r="145" spans="3:10" ht="12" x14ac:dyDescent="0.2">
      <c r="C145" s="1"/>
      <c r="D145" s="1"/>
      <c r="E145" s="1"/>
      <c r="F145" s="1"/>
      <c r="G145" s="222"/>
      <c r="H145" s="222"/>
      <c r="I145" s="222"/>
      <c r="J145" s="222"/>
    </row>
    <row r="146" spans="3:10" ht="12" x14ac:dyDescent="0.2">
      <c r="C146" s="1"/>
      <c r="D146" s="1"/>
      <c r="E146" s="1"/>
      <c r="F146" s="1"/>
      <c r="G146" s="222"/>
      <c r="H146" s="222"/>
      <c r="I146" s="222"/>
      <c r="J146" s="222"/>
    </row>
  </sheetData>
  <mergeCells count="138">
    <mergeCell ref="Y5:Z5"/>
    <mergeCell ref="Y19:Z19"/>
    <mergeCell ref="Y27:Z27"/>
    <mergeCell ref="Y30:Z30"/>
    <mergeCell ref="Y34:Z34"/>
    <mergeCell ref="Y66:Z66"/>
    <mergeCell ref="Y73:Z73"/>
    <mergeCell ref="Y108:Z108"/>
    <mergeCell ref="AB30:AC30"/>
    <mergeCell ref="AB108:AC108"/>
    <mergeCell ref="AB73:AC73"/>
    <mergeCell ref="AB5:AC5"/>
    <mergeCell ref="AB19:AC19"/>
    <mergeCell ref="AB34:AC34"/>
    <mergeCell ref="K5:L5"/>
    <mergeCell ref="K19:L19"/>
    <mergeCell ref="E19:F19"/>
    <mergeCell ref="I5:J5"/>
    <mergeCell ref="I19:J19"/>
    <mergeCell ref="G34:H34"/>
    <mergeCell ref="U34:V34"/>
    <mergeCell ref="U66:V66"/>
    <mergeCell ref="C19:D19"/>
    <mergeCell ref="M5:N5"/>
    <mergeCell ref="G66:H66"/>
    <mergeCell ref="G28:H28"/>
    <mergeCell ref="O73:P73"/>
    <mergeCell ref="O108:P108"/>
    <mergeCell ref="O27:P27"/>
    <mergeCell ref="O30:P30"/>
    <mergeCell ref="O34:P34"/>
    <mergeCell ref="O66:P66"/>
    <mergeCell ref="O19:P19"/>
    <mergeCell ref="C34:D34"/>
    <mergeCell ref="E29:F29"/>
    <mergeCell ref="E34:F34"/>
    <mergeCell ref="G30:H30"/>
    <mergeCell ref="E27:F27"/>
    <mergeCell ref="G27:H27"/>
    <mergeCell ref="G29:H29"/>
    <mergeCell ref="M19:N19"/>
    <mergeCell ref="G19:H19"/>
    <mergeCell ref="I28:J28"/>
    <mergeCell ref="G108:H108"/>
    <mergeCell ref="C28:D28"/>
    <mergeCell ref="C30:D30"/>
    <mergeCell ref="E30:F30"/>
    <mergeCell ref="E73:F73"/>
    <mergeCell ref="E28:F28"/>
    <mergeCell ref="G73:H73"/>
    <mergeCell ref="I123:J123"/>
    <mergeCell ref="M73:N73"/>
    <mergeCell ref="K34:L34"/>
    <mergeCell ref="K73:L73"/>
    <mergeCell ref="K66:L66"/>
    <mergeCell ref="I73:J73"/>
    <mergeCell ref="I110:J110"/>
    <mergeCell ref="I121:J121"/>
    <mergeCell ref="I119:J119"/>
    <mergeCell ref="I34:J34"/>
    <mergeCell ref="K108:L108"/>
    <mergeCell ref="M34:N34"/>
    <mergeCell ref="M66:N66"/>
    <mergeCell ref="M108:N108"/>
    <mergeCell ref="I108:J108"/>
    <mergeCell ref="I66:J66"/>
    <mergeCell ref="S73:T73"/>
    <mergeCell ref="I27:J27"/>
    <mergeCell ref="M27:N27"/>
    <mergeCell ref="Q19:R19"/>
    <mergeCell ref="Q27:R27"/>
    <mergeCell ref="K27:L27"/>
    <mergeCell ref="C122:D122"/>
    <mergeCell ref="I122:J122"/>
    <mergeCell ref="I116:J116"/>
    <mergeCell ref="C117:D117"/>
    <mergeCell ref="I117:J117"/>
    <mergeCell ref="C118:D118"/>
    <mergeCell ref="I118:J118"/>
    <mergeCell ref="C116:D116"/>
    <mergeCell ref="C119:D119"/>
    <mergeCell ref="C121:D121"/>
    <mergeCell ref="C110:D110"/>
    <mergeCell ref="C108:D108"/>
    <mergeCell ref="C27:D27"/>
    <mergeCell ref="C29:D29"/>
    <mergeCell ref="E66:F66"/>
    <mergeCell ref="C73:D73"/>
    <mergeCell ref="C66:D66"/>
    <mergeCell ref="E108:F108"/>
    <mergeCell ref="C125:D125"/>
    <mergeCell ref="I125:J125"/>
    <mergeCell ref="C111:D111"/>
    <mergeCell ref="C112:D112"/>
    <mergeCell ref="I112:J112"/>
    <mergeCell ref="C123:D123"/>
    <mergeCell ref="I29:J29"/>
    <mergeCell ref="I30:J30"/>
    <mergeCell ref="Q73:R73"/>
    <mergeCell ref="M30:N30"/>
    <mergeCell ref="Q30:R30"/>
    <mergeCell ref="Q34:R34"/>
    <mergeCell ref="Q66:R66"/>
    <mergeCell ref="K30:L30"/>
    <mergeCell ref="C124:D124"/>
    <mergeCell ref="I124:J124"/>
    <mergeCell ref="C120:D120"/>
    <mergeCell ref="I120:J120"/>
    <mergeCell ref="I113:J113"/>
    <mergeCell ref="C114:D114"/>
    <mergeCell ref="I114:J114"/>
    <mergeCell ref="C115:D115"/>
    <mergeCell ref="I115:J115"/>
    <mergeCell ref="C113:D113"/>
    <mergeCell ref="W73:X73"/>
    <mergeCell ref="W108:X108"/>
    <mergeCell ref="W5:X5"/>
    <mergeCell ref="W19:X19"/>
    <mergeCell ref="W27:X27"/>
    <mergeCell ref="W30:X30"/>
    <mergeCell ref="W34:X34"/>
    <mergeCell ref="W66:X66"/>
    <mergeCell ref="O5:P5"/>
    <mergeCell ref="S108:T108"/>
    <mergeCell ref="S5:T5"/>
    <mergeCell ref="S19:T19"/>
    <mergeCell ref="S27:T27"/>
    <mergeCell ref="S30:T30"/>
    <mergeCell ref="S34:T34"/>
    <mergeCell ref="S66:T66"/>
    <mergeCell ref="Q108:R108"/>
    <mergeCell ref="Q5:R5"/>
    <mergeCell ref="U73:V73"/>
    <mergeCell ref="U108:V108"/>
    <mergeCell ref="U5:V5"/>
    <mergeCell ref="U19:V19"/>
    <mergeCell ref="U27:V27"/>
    <mergeCell ref="U30:V30"/>
  </mergeCells>
  <phoneticPr fontId="0" type="noConversion"/>
  <printOptions horizontalCentered="1"/>
  <pageMargins left="0.25" right="0.25" top="0.5" bottom="0.5" header="0.25" footer="0.5"/>
  <pageSetup scale="61" orientation="portrait" r:id="rId1"/>
  <headerFooter alignWithMargins="0">
    <oddFooter>&amp;R&amp;P of &amp;N
&amp;D</oddFooter>
  </headerFooter>
  <rowBreaks count="1" manualBreakCount="1">
    <brk id="70" max="25" man="1"/>
  </rowBreaks>
  <ignoredErrors>
    <ignoredError sqref="E90:K102 L61:O61 M90:R102 M83:R88 E83:K88 S83:S102 U83:U102 P61:U61 W83:Y10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view="pageBreakPreview" zoomScale="110" zoomScaleNormal="100" zoomScaleSheetLayoutView="110" workbookViewId="0">
      <pane xSplit="2" ySplit="1" topLeftCell="C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2.75" x14ac:dyDescent="0.2"/>
  <cols>
    <col min="1" max="1" width="3.7109375" style="1" customWidth="1"/>
    <col min="2" max="2" width="29.7109375" style="1" customWidth="1"/>
    <col min="3" max="3" width="7.7109375" hidden="1" customWidth="1"/>
    <col min="4" max="4" width="10.140625" hidden="1" customWidth="1"/>
    <col min="5" max="5" width="7.7109375" hidden="1" customWidth="1"/>
    <col min="6" max="6" width="10.42578125" hidden="1" customWidth="1"/>
    <col min="7" max="7" width="7.7109375" style="223" hidden="1" customWidth="1"/>
    <col min="8" max="8" width="10.42578125" style="223" hidden="1" customWidth="1"/>
    <col min="9" max="9" width="7.7109375" style="223" hidden="1" customWidth="1"/>
    <col min="10" max="10" width="11.5703125" style="223" hidden="1" customWidth="1"/>
    <col min="11" max="11" width="7.7109375" style="1" hidden="1" customWidth="1"/>
    <col min="12" max="12" width="10.28515625" style="1" hidden="1" customWidth="1"/>
    <col min="13" max="13" width="7.7109375" style="1" hidden="1" customWidth="1"/>
    <col min="14" max="14" width="10.28515625" style="1" hidden="1" customWidth="1"/>
    <col min="15" max="15" width="7.7109375" style="1" customWidth="1"/>
    <col min="16" max="16" width="10.28515625" style="1" customWidth="1"/>
    <col min="17" max="17" width="7.7109375" style="1" customWidth="1"/>
    <col min="18" max="18" width="11" style="1" bestFit="1" customWidth="1"/>
    <col min="19" max="19" width="7.7109375" style="1" customWidth="1"/>
    <col min="20" max="20" width="12.28515625" style="1" bestFit="1" customWidth="1"/>
    <col min="21" max="21" width="7.7109375" style="1" customWidth="1"/>
    <col min="22" max="22" width="10.28515625" style="1" customWidth="1"/>
    <col min="23" max="23" width="7.7109375" style="1" customWidth="1"/>
    <col min="24" max="24" width="10.28515625" style="1" customWidth="1"/>
    <col min="25" max="25" width="7.7109375" style="1" customWidth="1"/>
    <col min="26" max="26" width="10.28515625" style="1" customWidth="1"/>
    <col min="27" max="27" width="3.140625" style="1" customWidth="1"/>
    <col min="28" max="28" width="7.7109375" style="1" customWidth="1"/>
    <col min="29" max="29" width="11.140625" style="1" customWidth="1"/>
    <col min="30" max="30" width="3.5703125" style="1" customWidth="1"/>
    <col min="31" max="16384" width="10.28515625" style="1"/>
  </cols>
  <sheetData>
    <row r="1" spans="1:29" ht="18" x14ac:dyDescent="0.25">
      <c r="A1" s="1100" t="str">
        <f>Dean_Ag!A1</f>
        <v>Department Profile Report - FY 2015</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row>
    <row r="2" spans="1:29" ht="12" x14ac:dyDescent="0.2">
      <c r="C2" s="1"/>
      <c r="D2" s="1"/>
      <c r="E2" s="1"/>
      <c r="F2" s="1"/>
      <c r="G2" s="222"/>
      <c r="H2" s="222"/>
      <c r="I2" s="222"/>
      <c r="J2" s="222"/>
    </row>
    <row r="3" spans="1:29" x14ac:dyDescent="0.2">
      <c r="A3" s="3" t="s">
        <v>0</v>
      </c>
      <c r="B3" s="222"/>
      <c r="C3" s="1"/>
      <c r="D3" s="1"/>
      <c r="E3" s="1"/>
      <c r="F3" s="1"/>
      <c r="G3" s="222"/>
      <c r="H3" s="222"/>
      <c r="I3" s="222"/>
      <c r="J3" s="222"/>
    </row>
    <row r="4" spans="1:29" ht="12" x14ac:dyDescent="0.2">
      <c r="C4" s="1"/>
      <c r="D4" s="1"/>
      <c r="E4" s="1"/>
      <c r="F4" s="1"/>
      <c r="G4" s="222"/>
      <c r="H4" s="222"/>
      <c r="I4" s="222"/>
      <c r="J4" s="222"/>
    </row>
    <row r="5" spans="1:29" x14ac:dyDescent="0.2">
      <c r="A5" s="3" t="s">
        <v>55</v>
      </c>
      <c r="C5" s="1"/>
      <c r="D5" s="1"/>
      <c r="E5" s="1"/>
      <c r="F5" s="1"/>
      <c r="G5" s="222"/>
      <c r="H5" s="222"/>
      <c r="I5" s="222"/>
      <c r="J5" s="222"/>
    </row>
    <row r="6" spans="1:29" ht="10.5" customHeight="1" thickBot="1" x14ac:dyDescent="0.25">
      <c r="A6" s="2"/>
      <c r="B6" s="24"/>
      <c r="C6" s="71"/>
      <c r="D6" s="1"/>
      <c r="E6" s="1"/>
      <c r="F6" s="1"/>
      <c r="G6" s="222"/>
      <c r="H6" s="222"/>
      <c r="I6" s="222"/>
      <c r="J6" s="222"/>
      <c r="AB6" s="71"/>
      <c r="AC6" s="71"/>
    </row>
    <row r="7" spans="1:29" ht="13.5" customHeight="1" thickTop="1" x14ac:dyDescent="0.2">
      <c r="B7" s="38"/>
      <c r="C7" s="8" t="s">
        <v>33</v>
      </c>
      <c r="D7" s="29"/>
      <c r="E7" s="8" t="s">
        <v>34</v>
      </c>
      <c r="F7" s="5"/>
      <c r="G7" s="256" t="s">
        <v>106</v>
      </c>
      <c r="H7" s="418"/>
      <c r="I7" s="405" t="s">
        <v>118</v>
      </c>
      <c r="J7" s="469"/>
      <c r="K7" s="1512" t="s">
        <v>121</v>
      </c>
      <c r="L7" s="1509"/>
      <c r="M7" s="1512" t="s">
        <v>127</v>
      </c>
      <c r="N7" s="1513"/>
      <c r="O7" s="1509" t="s">
        <v>174</v>
      </c>
      <c r="P7" s="1532"/>
      <c r="Q7" s="1533" t="s">
        <v>193</v>
      </c>
      <c r="R7" s="1513"/>
      <c r="S7" s="1509" t="s">
        <v>218</v>
      </c>
      <c r="T7" s="1513"/>
      <c r="U7" s="1509" t="s">
        <v>221</v>
      </c>
      <c r="V7" s="1513"/>
      <c r="W7" s="1509" t="s">
        <v>232</v>
      </c>
      <c r="X7" s="1513"/>
      <c r="Y7" s="1509" t="s">
        <v>241</v>
      </c>
      <c r="Z7" s="1510"/>
      <c r="AB7" s="1517" t="s">
        <v>134</v>
      </c>
      <c r="AC7" s="1528"/>
    </row>
    <row r="8" spans="1:29" ht="12" x14ac:dyDescent="0.2">
      <c r="B8" s="39"/>
      <c r="C8" s="9" t="s">
        <v>1</v>
      </c>
      <c r="D8" s="31" t="s">
        <v>2</v>
      </c>
      <c r="E8" s="9" t="s">
        <v>1</v>
      </c>
      <c r="F8" s="6" t="s">
        <v>2</v>
      </c>
      <c r="G8" s="257" t="s">
        <v>1</v>
      </c>
      <c r="H8" s="415" t="s">
        <v>2</v>
      </c>
      <c r="I8" s="402" t="s">
        <v>1</v>
      </c>
      <c r="J8" s="470" t="s">
        <v>2</v>
      </c>
      <c r="K8" s="257" t="s">
        <v>1</v>
      </c>
      <c r="L8" s="470" t="s">
        <v>2</v>
      </c>
      <c r="M8" s="257" t="s">
        <v>1</v>
      </c>
      <c r="N8" s="415" t="s">
        <v>2</v>
      </c>
      <c r="O8" s="402" t="s">
        <v>1</v>
      </c>
      <c r="P8" s="1167" t="s">
        <v>2</v>
      </c>
      <c r="Q8" s="402" t="s">
        <v>1</v>
      </c>
      <c r="R8" s="415" t="s">
        <v>2</v>
      </c>
      <c r="S8" s="402" t="s">
        <v>1</v>
      </c>
      <c r="T8" s="415" t="s">
        <v>2</v>
      </c>
      <c r="U8" s="402" t="s">
        <v>1</v>
      </c>
      <c r="V8" s="415" t="s">
        <v>2</v>
      </c>
      <c r="W8" s="402" t="s">
        <v>1</v>
      </c>
      <c r="X8" s="415" t="s">
        <v>2</v>
      </c>
      <c r="Y8" s="402" t="s">
        <v>1</v>
      </c>
      <c r="Z8" s="224" t="s">
        <v>2</v>
      </c>
      <c r="AB8" s="755" t="s">
        <v>1</v>
      </c>
      <c r="AC8" s="756" t="s">
        <v>2</v>
      </c>
    </row>
    <row r="9" spans="1:29" thickBot="1" x14ac:dyDescent="0.25">
      <c r="B9" s="40"/>
      <c r="C9" s="55" t="s">
        <v>3</v>
      </c>
      <c r="D9" s="56" t="s">
        <v>4</v>
      </c>
      <c r="E9" s="55" t="s">
        <v>3</v>
      </c>
      <c r="F9" s="282" t="s">
        <v>4</v>
      </c>
      <c r="G9" s="283" t="s">
        <v>3</v>
      </c>
      <c r="H9" s="431" t="s">
        <v>4</v>
      </c>
      <c r="I9" s="419" t="s">
        <v>3</v>
      </c>
      <c r="J9" s="471" t="s">
        <v>4</v>
      </c>
      <c r="K9" s="283" t="s">
        <v>3</v>
      </c>
      <c r="L9" s="471" t="s">
        <v>4</v>
      </c>
      <c r="M9" s="283" t="s">
        <v>3</v>
      </c>
      <c r="N9" s="431" t="s">
        <v>4</v>
      </c>
      <c r="O9" s="419" t="s">
        <v>3</v>
      </c>
      <c r="P9" s="1168" t="s">
        <v>4</v>
      </c>
      <c r="Q9" s="419" t="s">
        <v>3</v>
      </c>
      <c r="R9" s="431" t="s">
        <v>4</v>
      </c>
      <c r="S9" s="419" t="s">
        <v>3</v>
      </c>
      <c r="T9" s="431" t="s">
        <v>4</v>
      </c>
      <c r="U9" s="419" t="s">
        <v>3</v>
      </c>
      <c r="V9" s="431" t="s">
        <v>4</v>
      </c>
      <c r="W9" s="419" t="s">
        <v>3</v>
      </c>
      <c r="X9" s="431" t="s">
        <v>4</v>
      </c>
      <c r="Y9" s="419" t="s">
        <v>3</v>
      </c>
      <c r="Z9" s="225" t="s">
        <v>4</v>
      </c>
      <c r="AB9" s="757" t="s">
        <v>3</v>
      </c>
      <c r="AC9" s="758" t="s">
        <v>4</v>
      </c>
    </row>
    <row r="10" spans="1:29" ht="12.75" customHeight="1" x14ac:dyDescent="0.2">
      <c r="B10" s="41" t="s">
        <v>5</v>
      </c>
      <c r="C10" s="57"/>
      <c r="D10" s="58"/>
      <c r="E10" s="57"/>
      <c r="F10" s="27"/>
      <c r="G10" s="284"/>
      <c r="H10" s="393"/>
      <c r="I10" s="324"/>
      <c r="J10" s="472"/>
      <c r="K10" s="284"/>
      <c r="L10" s="472"/>
      <c r="M10" s="284"/>
      <c r="N10" s="393"/>
      <c r="O10" s="324"/>
      <c r="P10" s="1173"/>
      <c r="Q10" s="324"/>
      <c r="R10" s="393"/>
      <c r="S10" s="324"/>
      <c r="T10" s="393"/>
      <c r="U10" s="324"/>
      <c r="V10" s="393"/>
      <c r="W10" s="324"/>
      <c r="X10" s="393"/>
      <c r="Y10" s="324"/>
      <c r="Z10" s="226"/>
      <c r="AB10" s="299"/>
      <c r="AC10" s="652"/>
    </row>
    <row r="11" spans="1:29" ht="13.5" customHeight="1" x14ac:dyDescent="0.2">
      <c r="B11" s="593" t="s">
        <v>24</v>
      </c>
      <c r="C11" s="338"/>
      <c r="D11" s="339"/>
      <c r="E11" s="338"/>
      <c r="F11" s="340"/>
      <c r="G11" s="259"/>
      <c r="H11" s="339"/>
      <c r="I11" s="338"/>
      <c r="J11" s="340"/>
      <c r="K11" s="259"/>
      <c r="L11" s="340"/>
      <c r="M11" s="259"/>
      <c r="N11" s="339"/>
      <c r="O11" s="338"/>
      <c r="P11" s="1174"/>
      <c r="Q11" s="338"/>
      <c r="R11" s="339"/>
      <c r="S11" s="338"/>
      <c r="T11" s="339"/>
      <c r="U11" s="338"/>
      <c r="V11" s="339"/>
      <c r="W11" s="338"/>
      <c r="X11" s="339"/>
      <c r="Y11" s="338"/>
      <c r="Z11" s="130"/>
      <c r="AA11" s="657"/>
      <c r="AB11" s="299"/>
      <c r="AC11" s="652"/>
    </row>
    <row r="12" spans="1:29" ht="13.5" customHeight="1" x14ac:dyDescent="0.2">
      <c r="B12" s="594" t="s">
        <v>164</v>
      </c>
      <c r="C12" s="338">
        <v>118</v>
      </c>
      <c r="D12" s="339">
        <v>46</v>
      </c>
      <c r="E12" s="338">
        <v>121</v>
      </c>
      <c r="F12" s="340">
        <f>31+1</f>
        <v>32</v>
      </c>
      <c r="G12" s="259">
        <v>135</v>
      </c>
      <c r="H12" s="339">
        <v>30</v>
      </c>
      <c r="I12" s="338">
        <v>139</v>
      </c>
      <c r="J12" s="340">
        <f>30+4</f>
        <v>34</v>
      </c>
      <c r="K12" s="259">
        <v>154</v>
      </c>
      <c r="L12" s="340">
        <f>34+6</f>
        <v>40</v>
      </c>
      <c r="M12" s="259">
        <f>134+15</f>
        <v>149</v>
      </c>
      <c r="N12" s="339">
        <v>41</v>
      </c>
      <c r="O12" s="338">
        <f>125+15</f>
        <v>140</v>
      </c>
      <c r="P12" s="1174">
        <v>39</v>
      </c>
      <c r="Q12" s="338">
        <v>147</v>
      </c>
      <c r="R12" s="339">
        <v>38</v>
      </c>
      <c r="S12" s="338">
        <v>153</v>
      </c>
      <c r="T12" s="339">
        <v>41</v>
      </c>
      <c r="U12" s="338">
        <v>154</v>
      </c>
      <c r="V12" s="339">
        <v>35</v>
      </c>
      <c r="W12" s="338">
        <v>174</v>
      </c>
      <c r="X12" s="339">
        <v>33</v>
      </c>
      <c r="Y12" s="338">
        <v>186</v>
      </c>
      <c r="Z12" s="1399"/>
      <c r="AA12" s="657"/>
      <c r="AB12" s="742">
        <f>AVERAGE(W12,U12,S12,Q12,Y12)</f>
        <v>162.80000000000001</v>
      </c>
      <c r="AC12" s="759">
        <f>AVERAGE(X12,V12,T12,R12,P12)</f>
        <v>37.200000000000003</v>
      </c>
    </row>
    <row r="13" spans="1:29" ht="13.5" customHeight="1" x14ac:dyDescent="0.2">
      <c r="B13" s="594" t="s">
        <v>51</v>
      </c>
      <c r="C13" s="338">
        <v>15</v>
      </c>
      <c r="D13" s="339">
        <v>14</v>
      </c>
      <c r="E13" s="338">
        <v>14</v>
      </c>
      <c r="F13" s="340">
        <v>8</v>
      </c>
      <c r="G13" s="259">
        <v>22</v>
      </c>
      <c r="H13" s="339">
        <v>13</v>
      </c>
      <c r="I13" s="338">
        <v>22</v>
      </c>
      <c r="J13" s="340">
        <v>12</v>
      </c>
      <c r="K13" s="259">
        <v>23</v>
      </c>
      <c r="L13" s="340">
        <v>11</v>
      </c>
      <c r="M13" s="259">
        <v>15</v>
      </c>
      <c r="N13" s="339">
        <v>9</v>
      </c>
      <c r="O13" s="338">
        <v>10</v>
      </c>
      <c r="P13" s="1174">
        <v>11</v>
      </c>
      <c r="Q13" s="338">
        <v>7</v>
      </c>
      <c r="R13" s="339">
        <v>4</v>
      </c>
      <c r="S13" s="338">
        <v>14</v>
      </c>
      <c r="T13" s="339">
        <v>10</v>
      </c>
      <c r="U13" s="338">
        <v>10</v>
      </c>
      <c r="V13" s="339">
        <v>6</v>
      </c>
      <c r="W13" s="338">
        <v>17</v>
      </c>
      <c r="X13" s="339">
        <v>11</v>
      </c>
      <c r="Y13" s="338">
        <v>13</v>
      </c>
      <c r="Z13" s="1399"/>
      <c r="AA13" s="657"/>
      <c r="AB13" s="742">
        <f t="shared" ref="AB13:AB15" si="0">AVERAGE(W13,U13,S13,Q13,Y13)</f>
        <v>12.2</v>
      </c>
      <c r="AC13" s="759">
        <f t="shared" ref="AC13:AC19" si="1">AVERAGE(X13,V13,T13,R13,P13)</f>
        <v>8.4</v>
      </c>
    </row>
    <row r="14" spans="1:29" ht="13.5" customHeight="1" x14ac:dyDescent="0.2">
      <c r="B14" s="594" t="s">
        <v>167</v>
      </c>
      <c r="C14" s="338">
        <v>33</v>
      </c>
      <c r="D14" s="339">
        <v>11</v>
      </c>
      <c r="E14" s="338">
        <v>31</v>
      </c>
      <c r="F14" s="340">
        <f>18+2</f>
        <v>20</v>
      </c>
      <c r="G14" s="259">
        <v>25</v>
      </c>
      <c r="H14" s="339">
        <v>16</v>
      </c>
      <c r="I14" s="338">
        <v>29</v>
      </c>
      <c r="J14" s="340">
        <v>11</v>
      </c>
      <c r="K14" s="259">
        <v>31</v>
      </c>
      <c r="L14" s="340">
        <v>14</v>
      </c>
      <c r="M14" s="259">
        <v>22</v>
      </c>
      <c r="N14" s="339">
        <v>13</v>
      </c>
      <c r="O14" s="338">
        <v>27</v>
      </c>
      <c r="P14" s="1174">
        <v>12</v>
      </c>
      <c r="Q14" s="338">
        <v>28</v>
      </c>
      <c r="R14" s="339">
        <v>15</v>
      </c>
      <c r="S14" s="338">
        <v>23</v>
      </c>
      <c r="T14" s="339">
        <v>6</v>
      </c>
      <c r="U14" s="338">
        <v>20</v>
      </c>
      <c r="V14" s="339">
        <v>6</v>
      </c>
      <c r="W14" s="338">
        <v>18</v>
      </c>
      <c r="X14" s="339">
        <v>12</v>
      </c>
      <c r="Y14" s="338">
        <v>19</v>
      </c>
      <c r="Z14" s="1399"/>
      <c r="AA14" s="657"/>
      <c r="AB14" s="742">
        <f t="shared" si="0"/>
        <v>21.6</v>
      </c>
      <c r="AC14" s="759">
        <f t="shared" si="1"/>
        <v>10.199999999999999</v>
      </c>
    </row>
    <row r="15" spans="1:29" ht="13.5" customHeight="1" x14ac:dyDescent="0.2">
      <c r="B15" s="594" t="s">
        <v>6</v>
      </c>
      <c r="C15" s="336">
        <v>32</v>
      </c>
      <c r="D15" s="337">
        <v>0</v>
      </c>
      <c r="E15" s="336">
        <v>30</v>
      </c>
      <c r="F15" s="106">
        <v>4</v>
      </c>
      <c r="G15" s="129">
        <v>27</v>
      </c>
      <c r="H15" s="337">
        <v>9</v>
      </c>
      <c r="I15" s="336">
        <v>20</v>
      </c>
      <c r="J15" s="106">
        <v>6</v>
      </c>
      <c r="K15" s="129">
        <v>16</v>
      </c>
      <c r="L15" s="106">
        <v>2</v>
      </c>
      <c r="M15" s="129">
        <v>19</v>
      </c>
      <c r="N15" s="337">
        <v>6</v>
      </c>
      <c r="O15" s="336">
        <v>18</v>
      </c>
      <c r="P15" s="1175">
        <v>1</v>
      </c>
      <c r="Q15" s="336">
        <v>22</v>
      </c>
      <c r="R15" s="337">
        <v>4</v>
      </c>
      <c r="S15" s="336">
        <v>20</v>
      </c>
      <c r="T15" s="337">
        <v>3</v>
      </c>
      <c r="U15" s="336">
        <v>21</v>
      </c>
      <c r="V15" s="337">
        <v>3</v>
      </c>
      <c r="W15" s="336">
        <v>25</v>
      </c>
      <c r="X15" s="337">
        <v>3</v>
      </c>
      <c r="Y15" s="336">
        <v>27</v>
      </c>
      <c r="Z15" s="1400"/>
      <c r="AA15" s="657"/>
      <c r="AB15" s="742">
        <f t="shared" si="0"/>
        <v>23</v>
      </c>
      <c r="AC15" s="759">
        <f t="shared" si="1"/>
        <v>2.8</v>
      </c>
    </row>
    <row r="16" spans="1:29" ht="13.5" customHeight="1" x14ac:dyDescent="0.2">
      <c r="B16" s="593" t="s">
        <v>25</v>
      </c>
      <c r="C16" s="353"/>
      <c r="D16" s="342"/>
      <c r="E16" s="353"/>
      <c r="F16" s="343"/>
      <c r="G16" s="359"/>
      <c r="H16" s="446"/>
      <c r="I16" s="353"/>
      <c r="J16" s="481"/>
      <c r="K16" s="359"/>
      <c r="L16" s="345"/>
      <c r="M16" s="359"/>
      <c r="N16" s="1022"/>
      <c r="O16" s="353"/>
      <c r="P16" s="1176"/>
      <c r="Q16" s="353"/>
      <c r="R16" s="1022"/>
      <c r="S16" s="353"/>
      <c r="T16" s="1022"/>
      <c r="U16" s="353"/>
      <c r="V16" s="1022"/>
      <c r="W16" s="353"/>
      <c r="X16" s="1022"/>
      <c r="Y16" s="353"/>
      <c r="Z16" s="1401"/>
      <c r="AA16" s="657"/>
      <c r="AB16" s="742"/>
      <c r="AC16" s="759"/>
    </row>
    <row r="17" spans="1:30" ht="13.5" customHeight="1" x14ac:dyDescent="0.2">
      <c r="B17" s="594" t="s">
        <v>164</v>
      </c>
      <c r="C17" s="353">
        <v>141</v>
      </c>
      <c r="D17" s="342">
        <v>29</v>
      </c>
      <c r="E17" s="353">
        <f>148+5</f>
        <v>153</v>
      </c>
      <c r="F17" s="343">
        <v>38</v>
      </c>
      <c r="G17" s="359">
        <v>170</v>
      </c>
      <c r="H17" s="342">
        <v>37</v>
      </c>
      <c r="I17" s="353">
        <v>179</v>
      </c>
      <c r="J17" s="343">
        <v>48</v>
      </c>
      <c r="K17" s="359">
        <v>181</v>
      </c>
      <c r="L17" s="343">
        <v>42</v>
      </c>
      <c r="M17" s="359">
        <f>193+2</f>
        <v>195</v>
      </c>
      <c r="N17" s="342">
        <v>44</v>
      </c>
      <c r="O17" s="353">
        <f>198+2</f>
        <v>200</v>
      </c>
      <c r="P17" s="1177">
        <v>56</v>
      </c>
      <c r="Q17" s="353">
        <v>210</v>
      </c>
      <c r="R17" s="342">
        <v>53</v>
      </c>
      <c r="S17" s="353">
        <v>214</v>
      </c>
      <c r="T17" s="342">
        <v>47</v>
      </c>
      <c r="U17" s="353">
        <v>254</v>
      </c>
      <c r="V17" s="342">
        <v>45</v>
      </c>
      <c r="W17" s="353">
        <v>305</v>
      </c>
      <c r="X17" s="342">
        <v>65</v>
      </c>
      <c r="Y17" s="353">
        <v>303</v>
      </c>
      <c r="Z17" s="1402"/>
      <c r="AA17" s="657"/>
      <c r="AB17" s="742">
        <f t="shared" ref="AB17:AB19" si="2">AVERAGE(W17,U17,S17,Q17,Y17)</f>
        <v>257.2</v>
      </c>
      <c r="AC17" s="759">
        <f t="shared" si="1"/>
        <v>53.2</v>
      </c>
    </row>
    <row r="18" spans="1:30" ht="13.5" customHeight="1" x14ac:dyDescent="0.2">
      <c r="B18" s="1151" t="s">
        <v>51</v>
      </c>
      <c r="C18" s="360">
        <v>11</v>
      </c>
      <c r="D18" s="348">
        <v>11</v>
      </c>
      <c r="E18" s="360">
        <v>7</v>
      </c>
      <c r="F18" s="347">
        <v>5</v>
      </c>
      <c r="G18" s="361">
        <v>9</v>
      </c>
      <c r="H18" s="348">
        <v>9</v>
      </c>
      <c r="I18" s="360">
        <v>9</v>
      </c>
      <c r="J18" s="347">
        <v>1</v>
      </c>
      <c r="K18" s="361">
        <v>9</v>
      </c>
      <c r="L18" s="347">
        <v>4</v>
      </c>
      <c r="M18" s="361">
        <v>8</v>
      </c>
      <c r="N18" s="348">
        <v>7</v>
      </c>
      <c r="O18" s="360">
        <v>15</v>
      </c>
      <c r="P18" s="1178">
        <v>4</v>
      </c>
      <c r="Q18" s="360">
        <f>17</f>
        <v>17</v>
      </c>
      <c r="R18" s="348">
        <v>7</v>
      </c>
      <c r="S18" s="360">
        <v>18</v>
      </c>
      <c r="T18" s="348">
        <v>2</v>
      </c>
      <c r="U18" s="360">
        <v>21</v>
      </c>
      <c r="V18" s="348">
        <v>12</v>
      </c>
      <c r="W18" s="360">
        <v>19</v>
      </c>
      <c r="X18" s="348">
        <v>11</v>
      </c>
      <c r="Y18" s="360">
        <v>19</v>
      </c>
      <c r="Z18" s="1403"/>
      <c r="AA18" s="657"/>
      <c r="AB18" s="742">
        <f t="shared" si="2"/>
        <v>18.8</v>
      </c>
      <c r="AC18" s="759">
        <f t="shared" si="1"/>
        <v>7.2</v>
      </c>
    </row>
    <row r="19" spans="1:30" ht="13.5" customHeight="1" thickBot="1" x14ac:dyDescent="0.25">
      <c r="B19" s="595" t="s">
        <v>167</v>
      </c>
      <c r="C19" s="357">
        <v>2</v>
      </c>
      <c r="D19" s="364">
        <v>9</v>
      </c>
      <c r="E19" s="357">
        <v>48</v>
      </c>
      <c r="F19" s="365">
        <v>16</v>
      </c>
      <c r="G19" s="358">
        <v>43</v>
      </c>
      <c r="H19" s="364">
        <v>19</v>
      </c>
      <c r="I19" s="357">
        <v>37</v>
      </c>
      <c r="J19" s="365">
        <v>7</v>
      </c>
      <c r="K19" s="358">
        <v>52</v>
      </c>
      <c r="L19" s="365">
        <v>20</v>
      </c>
      <c r="M19" s="358">
        <v>55</v>
      </c>
      <c r="N19" s="364">
        <v>16</v>
      </c>
      <c r="O19" s="357">
        <v>68</v>
      </c>
      <c r="P19" s="1179">
        <v>14</v>
      </c>
      <c r="Q19" s="357">
        <v>52</v>
      </c>
      <c r="R19" s="364">
        <v>21</v>
      </c>
      <c r="S19" s="357">
        <v>60</v>
      </c>
      <c r="T19" s="364">
        <v>16</v>
      </c>
      <c r="U19" s="357">
        <v>60</v>
      </c>
      <c r="V19" s="364">
        <v>23</v>
      </c>
      <c r="W19" s="357">
        <v>69</v>
      </c>
      <c r="X19" s="364">
        <v>21</v>
      </c>
      <c r="Y19" s="357">
        <v>74</v>
      </c>
      <c r="Z19" s="1404"/>
      <c r="AA19" s="657"/>
      <c r="AB19" s="761">
        <f t="shared" si="2"/>
        <v>63</v>
      </c>
      <c r="AC19" s="759">
        <f t="shared" si="1"/>
        <v>19</v>
      </c>
    </row>
    <row r="20" spans="1:30" ht="13.5" customHeight="1" thickTop="1" x14ac:dyDescent="0.2">
      <c r="B20" s="119" t="s">
        <v>117</v>
      </c>
      <c r="C20" s="51"/>
      <c r="D20" s="26"/>
      <c r="E20" s="51"/>
      <c r="F20" s="26"/>
      <c r="G20" s="228"/>
      <c r="H20" s="229"/>
      <c r="I20" s="228"/>
      <c r="J20" s="229"/>
      <c r="K20" s="228"/>
      <c r="L20" s="229"/>
      <c r="M20" s="627"/>
      <c r="N20" s="229"/>
      <c r="O20" s="627"/>
      <c r="P20" s="229"/>
      <c r="Q20" s="627"/>
      <c r="R20" s="229"/>
      <c r="S20" s="627"/>
      <c r="T20" s="229"/>
      <c r="U20" s="627"/>
      <c r="V20" s="229"/>
      <c r="W20" s="627"/>
      <c r="X20" s="229"/>
      <c r="Y20" s="627"/>
      <c r="Z20" s="229"/>
      <c r="AB20" s="24"/>
      <c r="AC20" s="66"/>
    </row>
    <row r="21" spans="1:30" ht="13.5" customHeight="1" thickBot="1" x14ac:dyDescent="0.25">
      <c r="C21" s="51"/>
      <c r="D21" s="26"/>
      <c r="E21" s="51"/>
      <c r="F21" s="26"/>
      <c r="G21" s="228"/>
      <c r="H21" s="229"/>
      <c r="I21" s="228"/>
      <c r="J21" s="229"/>
      <c r="K21" s="228"/>
      <c r="L21" s="229"/>
      <c r="M21" s="628"/>
      <c r="N21" s="229"/>
      <c r="O21" s="628"/>
      <c r="P21" s="229"/>
      <c r="Q21" s="628"/>
      <c r="R21" s="229"/>
      <c r="S21" s="628"/>
      <c r="T21" s="229"/>
      <c r="U21" s="628"/>
      <c r="V21" s="229"/>
      <c r="W21" s="628"/>
      <c r="X21" s="229"/>
      <c r="Y21" s="628"/>
      <c r="Z21" s="229"/>
      <c r="AA21" s="24"/>
      <c r="AB21" s="71"/>
      <c r="AC21" s="71"/>
    </row>
    <row r="22" spans="1:30" ht="13.5" customHeight="1" thickTop="1" thickBot="1" x14ac:dyDescent="0.25">
      <c r="B22" s="1055"/>
      <c r="C22" s="1498" t="s">
        <v>33</v>
      </c>
      <c r="D22" s="1499"/>
      <c r="E22" s="1501" t="s">
        <v>34</v>
      </c>
      <c r="F22" s="1501"/>
      <c r="G22" s="1500" t="s">
        <v>106</v>
      </c>
      <c r="H22" s="1495"/>
      <c r="I22" s="1494" t="s">
        <v>118</v>
      </c>
      <c r="J22" s="1494"/>
      <c r="K22" s="1500" t="s">
        <v>121</v>
      </c>
      <c r="L22" s="1494"/>
      <c r="M22" s="1500" t="s">
        <v>127</v>
      </c>
      <c r="N22" s="1495"/>
      <c r="O22" s="1494" t="s">
        <v>174</v>
      </c>
      <c r="P22" s="1495"/>
      <c r="Q22" s="1494" t="s">
        <v>193</v>
      </c>
      <c r="R22" s="1495"/>
      <c r="S22" s="1494" t="s">
        <v>218</v>
      </c>
      <c r="T22" s="1495"/>
      <c r="U22" s="1494" t="s">
        <v>221</v>
      </c>
      <c r="V22" s="1495"/>
      <c r="W22" s="1494" t="s">
        <v>232</v>
      </c>
      <c r="X22" s="1495"/>
      <c r="Y22" s="1494" t="s">
        <v>241</v>
      </c>
      <c r="Z22" s="1508"/>
      <c r="AA22" s="652"/>
      <c r="AB22" s="1529" t="s">
        <v>134</v>
      </c>
      <c r="AC22" s="1530"/>
    </row>
    <row r="23" spans="1:30" ht="13.5" customHeight="1" x14ac:dyDescent="0.2">
      <c r="B23" s="41" t="s">
        <v>7</v>
      </c>
      <c r="C23" s="132"/>
      <c r="D23" s="133"/>
      <c r="E23" s="16"/>
      <c r="F23" s="16"/>
      <c r="G23" s="260"/>
      <c r="H23" s="407"/>
      <c r="I23" s="387"/>
      <c r="J23" s="387"/>
      <c r="K23" s="260"/>
      <c r="L23" s="387"/>
      <c r="M23" s="260"/>
      <c r="N23" s="407"/>
      <c r="O23" s="387"/>
      <c r="P23" s="407"/>
      <c r="Q23" s="387"/>
      <c r="R23" s="407"/>
      <c r="S23" s="387"/>
      <c r="T23" s="407"/>
      <c r="U23" s="387"/>
      <c r="V23" s="407"/>
      <c r="W23" s="387"/>
      <c r="X23" s="407"/>
      <c r="Y23" s="387"/>
      <c r="Z23" s="230"/>
      <c r="AA23" s="652"/>
      <c r="AB23" s="660"/>
      <c r="AC23" s="656"/>
    </row>
    <row r="24" spans="1:30" ht="13.5" customHeight="1" x14ac:dyDescent="0.2">
      <c r="B24" s="45" t="s">
        <v>8</v>
      </c>
      <c r="C24" s="134"/>
      <c r="D24" s="135"/>
      <c r="E24" s="7"/>
      <c r="F24" s="7"/>
      <c r="G24" s="261"/>
      <c r="H24" s="389"/>
      <c r="I24" s="231"/>
      <c r="J24" s="231"/>
      <c r="K24" s="261"/>
      <c r="L24" s="231"/>
      <c r="M24" s="261"/>
      <c r="N24" s="389"/>
      <c r="O24" s="231"/>
      <c r="P24" s="389"/>
      <c r="Q24" s="231"/>
      <c r="R24" s="389"/>
      <c r="S24" s="231"/>
      <c r="T24" s="389"/>
      <c r="U24" s="231"/>
      <c r="V24" s="389"/>
      <c r="W24" s="231"/>
      <c r="X24" s="389"/>
      <c r="Y24" s="231"/>
      <c r="Z24" s="104"/>
      <c r="AA24" s="652"/>
      <c r="AC24" s="652"/>
    </row>
    <row r="25" spans="1:30" ht="13.5" customHeight="1" x14ac:dyDescent="0.2">
      <c r="B25" s="45" t="s">
        <v>9</v>
      </c>
      <c r="C25" s="134"/>
      <c r="D25" s="168">
        <v>1696</v>
      </c>
      <c r="E25" s="7"/>
      <c r="F25" s="99">
        <v>1782</v>
      </c>
      <c r="G25" s="261"/>
      <c r="H25" s="408">
        <v>1658</v>
      </c>
      <c r="I25" s="231"/>
      <c r="J25" s="244">
        <v>1801</v>
      </c>
      <c r="K25" s="261"/>
      <c r="L25" s="244">
        <v>1886</v>
      </c>
      <c r="M25" s="261"/>
      <c r="N25" s="408">
        <v>1909</v>
      </c>
      <c r="O25" s="231"/>
      <c r="P25" s="408">
        <v>1856</v>
      </c>
      <c r="Q25" s="231"/>
      <c r="R25" s="408">
        <v>1930</v>
      </c>
      <c r="S25" s="231"/>
      <c r="T25" s="408">
        <v>2229</v>
      </c>
      <c r="U25" s="231"/>
      <c r="V25" s="408">
        <v>2682</v>
      </c>
      <c r="W25" s="231"/>
      <c r="X25" s="408">
        <v>2815</v>
      </c>
      <c r="Y25" s="231"/>
      <c r="Z25" s="1432"/>
      <c r="AA25" s="652"/>
      <c r="AB25" s="16"/>
      <c r="AC25" s="752">
        <f t="shared" ref="AC25:AC29" si="3">AVERAGE(X25,V25,T25,R25,P25)</f>
        <v>2302.4</v>
      </c>
    </row>
    <row r="26" spans="1:30" ht="13.5" customHeight="1" x14ac:dyDescent="0.2">
      <c r="B26" s="45" t="s">
        <v>10</v>
      </c>
      <c r="C26" s="134"/>
      <c r="D26" s="168">
        <v>4023</v>
      </c>
      <c r="E26" s="7"/>
      <c r="F26" s="99">
        <v>4243</v>
      </c>
      <c r="G26" s="261"/>
      <c r="H26" s="408">
        <v>4408</v>
      </c>
      <c r="I26" s="231"/>
      <c r="J26" s="244">
        <v>4858</v>
      </c>
      <c r="K26" s="261"/>
      <c r="L26" s="244">
        <v>4905</v>
      </c>
      <c r="M26" s="261"/>
      <c r="N26" s="408">
        <v>4455</v>
      </c>
      <c r="O26" s="231"/>
      <c r="P26" s="408">
        <v>4608</v>
      </c>
      <c r="Q26" s="231"/>
      <c r="R26" s="408">
        <v>4449</v>
      </c>
      <c r="S26" s="231"/>
      <c r="T26" s="408">
        <v>4734</v>
      </c>
      <c r="U26" s="231"/>
      <c r="V26" s="408">
        <v>5353</v>
      </c>
      <c r="W26" s="231"/>
      <c r="X26" s="408">
        <v>5755</v>
      </c>
      <c r="Y26" s="231"/>
      <c r="Z26" s="1432"/>
      <c r="AA26" s="652"/>
      <c r="AB26" s="7"/>
      <c r="AC26" s="752">
        <f t="shared" si="3"/>
        <v>4979.8</v>
      </c>
    </row>
    <row r="27" spans="1:30" ht="13.5" customHeight="1" x14ac:dyDescent="0.2">
      <c r="B27" s="45" t="s">
        <v>11</v>
      </c>
      <c r="C27" s="134"/>
      <c r="D27" s="168">
        <v>401</v>
      </c>
      <c r="E27" s="7"/>
      <c r="F27" s="99">
        <v>574</v>
      </c>
      <c r="G27" s="261"/>
      <c r="H27" s="408">
        <v>813</v>
      </c>
      <c r="I27" s="231"/>
      <c r="J27" s="244">
        <v>1004</v>
      </c>
      <c r="K27" s="261"/>
      <c r="L27" s="244">
        <v>1176</v>
      </c>
      <c r="M27" s="261"/>
      <c r="N27" s="408">
        <v>1180</v>
      </c>
      <c r="O27" s="231"/>
      <c r="P27" s="408">
        <v>1233</v>
      </c>
      <c r="Q27" s="231"/>
      <c r="R27" s="408">
        <v>1227</v>
      </c>
      <c r="S27" s="231"/>
      <c r="T27" s="408">
        <v>1305</v>
      </c>
      <c r="U27" s="231"/>
      <c r="V27" s="408">
        <v>1259</v>
      </c>
      <c r="W27" s="231"/>
      <c r="X27" s="408">
        <v>1405</v>
      </c>
      <c r="Y27" s="231"/>
      <c r="Z27" s="1432"/>
      <c r="AA27" s="652"/>
      <c r="AB27" s="748"/>
      <c r="AC27" s="752">
        <f t="shared" si="3"/>
        <v>1285.8</v>
      </c>
    </row>
    <row r="28" spans="1:30" ht="13.5" customHeight="1" x14ac:dyDescent="0.2">
      <c r="B28" s="45" t="s">
        <v>12</v>
      </c>
      <c r="C28" s="134"/>
      <c r="D28" s="136">
        <v>325</v>
      </c>
      <c r="E28" s="7"/>
      <c r="F28" s="12">
        <v>320</v>
      </c>
      <c r="G28" s="261"/>
      <c r="H28" s="217">
        <v>262</v>
      </c>
      <c r="I28" s="231"/>
      <c r="J28" s="105">
        <v>247</v>
      </c>
      <c r="K28" s="261"/>
      <c r="L28" s="105">
        <v>147</v>
      </c>
      <c r="M28" s="261"/>
      <c r="N28" s="217">
        <v>181</v>
      </c>
      <c r="O28" s="231"/>
      <c r="P28" s="217">
        <v>169</v>
      </c>
      <c r="Q28" s="231"/>
      <c r="R28" s="217">
        <v>235</v>
      </c>
      <c r="S28" s="231"/>
      <c r="T28" s="217">
        <v>233</v>
      </c>
      <c r="U28" s="231"/>
      <c r="V28" s="217">
        <v>261</v>
      </c>
      <c r="W28" s="231"/>
      <c r="X28" s="217">
        <v>292</v>
      </c>
      <c r="Y28" s="231"/>
      <c r="Z28" s="1433"/>
      <c r="AA28" s="652"/>
      <c r="AB28" s="748"/>
      <c r="AC28" s="752">
        <f t="shared" si="3"/>
        <v>238</v>
      </c>
      <c r="AD28" s="489"/>
    </row>
    <row r="29" spans="1:30" ht="13.5" customHeight="1" thickBot="1" x14ac:dyDescent="0.25">
      <c r="B29" s="46" t="s">
        <v>13</v>
      </c>
      <c r="C29" s="137"/>
      <c r="D29" s="178">
        <f>SUM(D25:D28)</f>
        <v>6445</v>
      </c>
      <c r="E29" s="59"/>
      <c r="F29" s="60">
        <f>SUM(F25:F28)</f>
        <v>6919</v>
      </c>
      <c r="G29" s="262"/>
      <c r="H29" s="432">
        <f>SUM(H25:H28)</f>
        <v>7141</v>
      </c>
      <c r="I29" s="404"/>
      <c r="J29" s="473">
        <f>SUM(J25:J28)</f>
        <v>7910</v>
      </c>
      <c r="K29" s="262"/>
      <c r="L29" s="473">
        <f>SUM(L25:L28)</f>
        <v>8114</v>
      </c>
      <c r="M29" s="262"/>
      <c r="N29" s="432">
        <v>7725</v>
      </c>
      <c r="O29" s="404"/>
      <c r="P29" s="432">
        <f>SUM(P25:P28)</f>
        <v>7866</v>
      </c>
      <c r="Q29" s="404"/>
      <c r="R29" s="432">
        <f>SUM(R25:R28)</f>
        <v>7841</v>
      </c>
      <c r="S29" s="404"/>
      <c r="T29" s="432">
        <f>SUM(T25:T28)</f>
        <v>8501</v>
      </c>
      <c r="U29" s="404"/>
      <c r="V29" s="432">
        <f>SUM(V25:V28)</f>
        <v>9555</v>
      </c>
      <c r="W29" s="404"/>
      <c r="X29" s="432">
        <f>SUM(X25:X28)</f>
        <v>10267</v>
      </c>
      <c r="Y29" s="404"/>
      <c r="Z29" s="1434">
        <f>SUM(Z25:Z28)</f>
        <v>0</v>
      </c>
      <c r="AA29" s="652"/>
      <c r="AB29" s="659"/>
      <c r="AC29" s="859">
        <f t="shared" si="3"/>
        <v>8806</v>
      </c>
      <c r="AD29" s="489"/>
    </row>
    <row r="30" spans="1:30" ht="13.5" customHeight="1" thickTop="1" thickBot="1" x14ac:dyDescent="0.25">
      <c r="A30" s="652"/>
      <c r="B30" s="727" t="s">
        <v>150</v>
      </c>
      <c r="C30" s="1477" t="s">
        <v>35</v>
      </c>
      <c r="D30" s="1478"/>
      <c r="E30" s="1477" t="s">
        <v>36</v>
      </c>
      <c r="F30" s="1478"/>
      <c r="G30" s="1479" t="s">
        <v>122</v>
      </c>
      <c r="H30" s="1480"/>
      <c r="I30" s="1479" t="s">
        <v>123</v>
      </c>
      <c r="J30" s="1481"/>
      <c r="K30" s="1479" t="s">
        <v>148</v>
      </c>
      <c r="L30" s="1481"/>
      <c r="M30" s="1488" t="s">
        <v>149</v>
      </c>
      <c r="N30" s="1480"/>
      <c r="O30" s="1483" t="s">
        <v>175</v>
      </c>
      <c r="P30" s="1480"/>
      <c r="Q30" s="1483" t="s">
        <v>194</v>
      </c>
      <c r="R30" s="1480"/>
      <c r="S30" s="1483" t="s">
        <v>219</v>
      </c>
      <c r="T30" s="1480"/>
      <c r="U30" s="1483" t="s">
        <v>222</v>
      </c>
      <c r="V30" s="1480"/>
      <c r="W30" s="1483" t="s">
        <v>233</v>
      </c>
      <c r="X30" s="1480"/>
      <c r="Y30" s="1483" t="s">
        <v>242</v>
      </c>
      <c r="Z30" s="1511"/>
      <c r="AA30" s="652"/>
      <c r="AB30" s="693"/>
      <c r="AC30" s="694"/>
      <c r="AD30" s="489"/>
    </row>
    <row r="31" spans="1:30" ht="13.5" customHeight="1" x14ac:dyDescent="0.2">
      <c r="A31" s="652"/>
      <c r="B31" s="719" t="s">
        <v>135</v>
      </c>
      <c r="C31" s="1463">
        <v>0.378</v>
      </c>
      <c r="D31" s="1464"/>
      <c r="E31" s="1465">
        <v>0.36849999999999999</v>
      </c>
      <c r="F31" s="1466"/>
      <c r="G31" s="1465">
        <v>0.43120999999999998</v>
      </c>
      <c r="H31" s="1466"/>
      <c r="I31" s="1237"/>
      <c r="J31" s="1244">
        <v>0.39400000000000002</v>
      </c>
      <c r="K31" s="696"/>
      <c r="L31" s="697">
        <v>0.42199999999999999</v>
      </c>
      <c r="M31" s="698"/>
      <c r="N31" s="997">
        <v>0.435</v>
      </c>
      <c r="O31" s="995"/>
      <c r="P31" s="997">
        <v>0.41399999999999998</v>
      </c>
      <c r="Q31" s="1019"/>
      <c r="R31" s="997">
        <v>0.41</v>
      </c>
      <c r="S31" s="1019"/>
      <c r="T31" s="997">
        <v>0.42599999999999999</v>
      </c>
      <c r="U31" s="1019"/>
      <c r="V31" s="997">
        <v>0.46600000000000003</v>
      </c>
      <c r="W31" s="1019"/>
      <c r="X31" s="997">
        <v>0.503</v>
      </c>
      <c r="Y31" s="1019"/>
      <c r="Z31" s="1241">
        <v>0.505</v>
      </c>
      <c r="AA31" s="699"/>
      <c r="AB31" s="848"/>
      <c r="AC31" s="743"/>
      <c r="AD31" s="704"/>
    </row>
    <row r="32" spans="1:30" ht="13.5" customHeight="1" x14ac:dyDescent="0.2">
      <c r="A32" s="652"/>
      <c r="B32" s="726" t="s">
        <v>136</v>
      </c>
      <c r="C32" s="1470">
        <v>0.04</v>
      </c>
      <c r="D32" s="1471"/>
      <c r="E32" s="1472">
        <v>9.7000000000000003E-2</v>
      </c>
      <c r="F32" s="1473"/>
      <c r="G32" s="1472">
        <v>7.3999999999999996E-2</v>
      </c>
      <c r="H32" s="1473"/>
      <c r="I32" s="1238"/>
      <c r="J32" s="1245">
        <v>7.0999999999999994E-2</v>
      </c>
      <c r="K32" s="701"/>
      <c r="L32" s="702">
        <v>0.09</v>
      </c>
      <c r="M32" s="701"/>
      <c r="N32" s="998">
        <v>8.4000000000000005E-2</v>
      </c>
      <c r="O32" s="996"/>
      <c r="P32" s="998">
        <v>9.9000000000000005E-2</v>
      </c>
      <c r="Q32" s="1020"/>
      <c r="R32" s="998">
        <v>9.4E-2</v>
      </c>
      <c r="S32" s="1020"/>
      <c r="T32" s="998">
        <v>9.2999999999999999E-2</v>
      </c>
      <c r="U32" s="1020"/>
      <c r="V32" s="998">
        <v>7.4999999999999997E-2</v>
      </c>
      <c r="W32" s="1020"/>
      <c r="X32" s="998">
        <v>8.3000000000000004E-2</v>
      </c>
      <c r="Y32" s="1020"/>
      <c r="Z32" s="1242">
        <v>8.3000000000000004E-2</v>
      </c>
      <c r="AA32" s="699"/>
      <c r="AB32" s="848"/>
      <c r="AC32" s="743"/>
    </row>
    <row r="33" spans="1:29" ht="13.5" customHeight="1" thickBot="1" x14ac:dyDescent="0.25">
      <c r="B33" s="703" t="s">
        <v>137</v>
      </c>
      <c r="C33" s="1468">
        <f>1-SUM(C31:D32)</f>
        <v>0.58200000000000007</v>
      </c>
      <c r="D33" s="1469"/>
      <c r="E33" s="1468">
        <f>1-SUM(E31:F32)</f>
        <v>0.53449999999999998</v>
      </c>
      <c r="F33" s="1469"/>
      <c r="G33" s="1468">
        <f>1-SUM(G31:H32)</f>
        <v>0.49479000000000006</v>
      </c>
      <c r="H33" s="1469"/>
      <c r="I33" s="1239"/>
      <c r="J33" s="1240">
        <f>1-SUM(J31:K32)</f>
        <v>0.53499999999999992</v>
      </c>
      <c r="K33" s="1239"/>
      <c r="L33" s="1370">
        <f>1-L31-L32</f>
        <v>0.4880000000000001</v>
      </c>
      <c r="M33" s="1239"/>
      <c r="N33" s="1370">
        <f>1-N31-N32</f>
        <v>0.48099999999999993</v>
      </c>
      <c r="O33" s="1240"/>
      <c r="P33" s="1370">
        <f>1-P31-P32</f>
        <v>0.4870000000000001</v>
      </c>
      <c r="Q33" s="1369"/>
      <c r="R33" s="1371">
        <f>1-R31-R32</f>
        <v>0.49600000000000011</v>
      </c>
      <c r="S33" s="1369"/>
      <c r="T33" s="1371">
        <f>1-T31-T32</f>
        <v>0.48100000000000009</v>
      </c>
      <c r="U33" s="1369"/>
      <c r="V33" s="1371">
        <f>1-V31-V32</f>
        <v>0.45900000000000002</v>
      </c>
      <c r="W33" s="1369"/>
      <c r="X33" s="1444">
        <f>1-X31-X32</f>
        <v>0.41399999999999998</v>
      </c>
      <c r="Y33" s="1442"/>
      <c r="Z33" s="1443">
        <f>1-Z31-Z32</f>
        <v>0.41199999999999998</v>
      </c>
      <c r="AA33" s="699"/>
      <c r="AB33" s="1445"/>
      <c r="AC33" s="1446"/>
    </row>
    <row r="34" spans="1:29" ht="13.5" customHeight="1" thickTop="1" x14ac:dyDescent="0.2">
      <c r="B34" s="65"/>
      <c r="C34" s="68"/>
      <c r="D34" s="67"/>
      <c r="E34" s="68"/>
      <c r="F34" s="67"/>
      <c r="G34" s="233"/>
      <c r="H34" s="234"/>
      <c r="I34" s="233"/>
      <c r="J34" s="234"/>
      <c r="K34" s="233"/>
      <c r="L34" s="234"/>
      <c r="M34" s="233"/>
      <c r="N34" s="234"/>
      <c r="O34" s="233"/>
      <c r="P34" s="234"/>
      <c r="Q34" s="233"/>
      <c r="R34" s="234"/>
      <c r="S34" s="233"/>
      <c r="T34" s="234"/>
      <c r="U34" s="233"/>
      <c r="V34" s="234"/>
      <c r="W34" s="233"/>
      <c r="X34" s="234"/>
      <c r="Y34" s="233"/>
      <c r="Z34" s="234"/>
      <c r="AC34" s="66"/>
    </row>
    <row r="35" spans="1:29" ht="13.5" customHeight="1" x14ac:dyDescent="0.2">
      <c r="A35" s="75" t="s">
        <v>65</v>
      </c>
      <c r="B35" s="61"/>
      <c r="C35" s="24"/>
      <c r="D35" s="24"/>
      <c r="E35" s="24"/>
      <c r="F35" s="24"/>
      <c r="G35" s="235"/>
      <c r="H35" s="235"/>
      <c r="I35" s="235"/>
      <c r="J35" s="235"/>
      <c r="K35" s="235"/>
      <c r="L35" s="235"/>
      <c r="M35" s="235"/>
      <c r="N35" s="235"/>
      <c r="O35" s="235"/>
      <c r="P35" s="235"/>
      <c r="Q35" s="235"/>
      <c r="R35" s="235"/>
      <c r="S35" s="235"/>
      <c r="T35" s="235"/>
      <c r="U35" s="235"/>
      <c r="V35" s="235"/>
      <c r="W35" s="235"/>
      <c r="X35" s="235"/>
      <c r="Y35" s="235"/>
      <c r="Z35" s="235"/>
    </row>
    <row r="36" spans="1:29" ht="13.5" customHeight="1" thickBot="1" x14ac:dyDescent="0.25">
      <c r="A36" s="75"/>
      <c r="B36" s="61"/>
      <c r="C36" s="24"/>
      <c r="D36" s="24"/>
      <c r="E36" s="24"/>
      <c r="F36" s="24"/>
      <c r="G36" s="235"/>
      <c r="H36" s="235"/>
      <c r="I36" s="235"/>
      <c r="J36" s="235"/>
      <c r="K36" s="235"/>
      <c r="L36" s="235"/>
      <c r="M36" s="252"/>
      <c r="N36" s="235"/>
      <c r="O36" s="252"/>
      <c r="P36" s="235"/>
      <c r="Q36" s="252"/>
      <c r="R36" s="235"/>
      <c r="S36" s="252"/>
      <c r="T36" s="235"/>
      <c r="U36" s="252"/>
      <c r="V36" s="235"/>
      <c r="W36" s="252"/>
      <c r="X36" s="235"/>
      <c r="Y36" s="252"/>
      <c r="Z36" s="235"/>
      <c r="AB36" s="71"/>
      <c r="AC36" s="71"/>
    </row>
    <row r="37" spans="1:29" ht="14.25" thickTop="1" thickBot="1" x14ac:dyDescent="0.25">
      <c r="A37" s="3"/>
      <c r="B37" s="1127" t="s">
        <v>57</v>
      </c>
      <c r="C37" s="1498" t="s">
        <v>33</v>
      </c>
      <c r="D37" s="1499"/>
      <c r="E37" s="1501" t="s">
        <v>34</v>
      </c>
      <c r="F37" s="1501"/>
      <c r="G37" s="1500" t="s">
        <v>106</v>
      </c>
      <c r="H37" s="1495"/>
      <c r="I37" s="1494" t="s">
        <v>118</v>
      </c>
      <c r="J37" s="1494"/>
      <c r="K37" s="1500" t="s">
        <v>121</v>
      </c>
      <c r="L37" s="1494"/>
      <c r="M37" s="1500" t="s">
        <v>127</v>
      </c>
      <c r="N37" s="1495"/>
      <c r="O37" s="1494" t="s">
        <v>174</v>
      </c>
      <c r="P37" s="1495"/>
      <c r="Q37" s="1494" t="s">
        <v>193</v>
      </c>
      <c r="R37" s="1495"/>
      <c r="S37" s="1494" t="s">
        <v>218</v>
      </c>
      <c r="T37" s="1495"/>
      <c r="U37" s="1494" t="s">
        <v>221</v>
      </c>
      <c r="V37" s="1495"/>
      <c r="W37" s="1494" t="s">
        <v>232</v>
      </c>
      <c r="X37" s="1495"/>
      <c r="Y37" s="1494" t="s">
        <v>241</v>
      </c>
      <c r="Z37" s="1508"/>
      <c r="AA37" s="657"/>
      <c r="AB37" s="1529" t="s">
        <v>134</v>
      </c>
      <c r="AC37" s="1530"/>
    </row>
    <row r="38" spans="1:29" x14ac:dyDescent="0.2">
      <c r="A38" s="3"/>
      <c r="B38" s="1128" t="s">
        <v>58</v>
      </c>
      <c r="C38" s="161"/>
      <c r="D38" s="136"/>
      <c r="E38" s="12"/>
      <c r="F38" s="12"/>
      <c r="G38" s="308"/>
      <c r="H38" s="217"/>
      <c r="I38" s="105"/>
      <c r="J38" s="105"/>
      <c r="K38" s="308"/>
      <c r="L38" s="105"/>
      <c r="M38" s="308"/>
      <c r="N38" s="217"/>
      <c r="O38" s="105"/>
      <c r="P38" s="217"/>
      <c r="Q38" s="105"/>
      <c r="R38" s="217"/>
      <c r="S38" s="105"/>
      <c r="T38" s="217"/>
      <c r="U38" s="105"/>
      <c r="V38" s="217"/>
      <c r="W38" s="105"/>
      <c r="X38" s="217"/>
      <c r="Y38" s="105"/>
      <c r="Z38" s="232"/>
      <c r="AA38" s="657"/>
      <c r="AB38" s="744"/>
      <c r="AC38" s="745"/>
    </row>
    <row r="39" spans="1:29" x14ac:dyDescent="0.2">
      <c r="A39" s="3"/>
      <c r="B39" s="1044" t="s">
        <v>59</v>
      </c>
      <c r="C39" s="189"/>
      <c r="D39" s="190">
        <v>1159733</v>
      </c>
      <c r="E39" s="179"/>
      <c r="F39" s="214">
        <v>1232221</v>
      </c>
      <c r="G39" s="295"/>
      <c r="H39" s="447">
        <v>1285832</v>
      </c>
      <c r="I39" s="420"/>
      <c r="J39" s="482">
        <v>1333586</v>
      </c>
      <c r="K39" s="295"/>
      <c r="L39" s="482">
        <v>1328273</v>
      </c>
      <c r="M39" s="295"/>
      <c r="N39" s="448">
        <v>1373797</v>
      </c>
      <c r="O39" s="420"/>
      <c r="P39" s="448">
        <v>1380010</v>
      </c>
      <c r="Q39" s="420"/>
      <c r="R39" s="448">
        <v>1376918</v>
      </c>
      <c r="S39" s="420"/>
      <c r="T39" s="448">
        <v>1443239</v>
      </c>
      <c r="U39" s="420"/>
      <c r="V39" s="448">
        <v>1494404</v>
      </c>
      <c r="W39" s="420"/>
      <c r="X39" s="448">
        <v>1513325</v>
      </c>
      <c r="Y39" s="420"/>
      <c r="Z39" s="1349">
        <v>1628357</v>
      </c>
      <c r="AA39" s="657"/>
      <c r="AB39" s="7"/>
      <c r="AC39" s="746">
        <f t="shared" ref="AC39" si="4">AVERAGE(X39,V39,T39,R39,Z39)</f>
        <v>1491248.6</v>
      </c>
    </row>
    <row r="40" spans="1:29" x14ac:dyDescent="0.2">
      <c r="A40" s="3"/>
      <c r="B40" s="1044" t="s">
        <v>196</v>
      </c>
      <c r="C40" s="189"/>
      <c r="D40" s="190"/>
      <c r="E40" s="179"/>
      <c r="F40" s="214"/>
      <c r="G40" s="295"/>
      <c r="H40" s="447"/>
      <c r="I40" s="420"/>
      <c r="J40" s="482"/>
      <c r="K40" s="295"/>
      <c r="L40" s="482"/>
      <c r="M40" s="295"/>
      <c r="N40" s="448"/>
      <c r="O40" s="420"/>
      <c r="P40" s="448"/>
      <c r="Q40" s="420"/>
      <c r="R40" s="448"/>
      <c r="S40" s="420"/>
      <c r="T40" s="448"/>
      <c r="U40" s="420"/>
      <c r="V40" s="448"/>
      <c r="W40" s="420"/>
      <c r="X40" s="448"/>
      <c r="Y40" s="420"/>
      <c r="Z40" s="1349"/>
      <c r="AA40" s="657"/>
      <c r="AB40" s="7"/>
      <c r="AC40" s="746"/>
    </row>
    <row r="41" spans="1:29" ht="36" x14ac:dyDescent="0.2">
      <c r="A41" s="3"/>
      <c r="B41" s="1045" t="s">
        <v>198</v>
      </c>
      <c r="C41" s="161"/>
      <c r="D41" s="211"/>
      <c r="E41" s="12"/>
      <c r="F41" s="215"/>
      <c r="G41" s="308"/>
      <c r="H41" s="448"/>
      <c r="I41" s="105"/>
      <c r="J41" s="482"/>
      <c r="K41" s="308"/>
      <c r="L41" s="482">
        <v>5856</v>
      </c>
      <c r="M41" s="308"/>
      <c r="N41" s="448">
        <v>6182</v>
      </c>
      <c r="O41" s="105"/>
      <c r="P41" s="448">
        <v>3232</v>
      </c>
      <c r="Q41" s="105"/>
      <c r="R41" s="448">
        <v>3273</v>
      </c>
      <c r="S41" s="105"/>
      <c r="T41" s="448">
        <v>3311</v>
      </c>
      <c r="U41" s="105"/>
      <c r="V41" s="448">
        <v>8788</v>
      </c>
      <c r="W41" s="105"/>
      <c r="X41" s="448">
        <v>12448</v>
      </c>
      <c r="Y41" s="105"/>
      <c r="Z41" s="1349">
        <v>74866</v>
      </c>
      <c r="AA41" s="657"/>
      <c r="AB41" s="748"/>
      <c r="AC41" s="746">
        <f t="shared" ref="AC41:AC42" si="5">AVERAGE(X41,V41,T41,R41,Z41)</f>
        <v>20537.2</v>
      </c>
    </row>
    <row r="42" spans="1:29" x14ac:dyDescent="0.2">
      <c r="A42" s="3"/>
      <c r="B42" s="1046" t="s">
        <v>60</v>
      </c>
      <c r="C42" s="212"/>
      <c r="D42" s="213">
        <f>SUM(D39:D41)</f>
        <v>1159733</v>
      </c>
      <c r="E42" s="60"/>
      <c r="F42" s="216">
        <f>SUM(F39:F41)</f>
        <v>1232221</v>
      </c>
      <c r="G42" s="309"/>
      <c r="H42" s="449">
        <f>SUM(H39:H41)</f>
        <v>1285832</v>
      </c>
      <c r="I42" s="445"/>
      <c r="J42" s="483">
        <f>SUM(J39:J41)</f>
        <v>1333586</v>
      </c>
      <c r="K42" s="309"/>
      <c r="L42" s="483">
        <f>SUM(L39:L41)</f>
        <v>1334129</v>
      </c>
      <c r="M42" s="309"/>
      <c r="N42" s="449">
        <f>SUM(N39:N41)</f>
        <v>1379979</v>
      </c>
      <c r="O42" s="445"/>
      <c r="P42" s="449">
        <f>SUM(P39:P41)</f>
        <v>1383242</v>
      </c>
      <c r="Q42" s="445"/>
      <c r="R42" s="449">
        <f>SUM(R39:R41)</f>
        <v>1380191</v>
      </c>
      <c r="S42" s="445"/>
      <c r="T42" s="449">
        <f>SUM(T39:T41)</f>
        <v>1446550</v>
      </c>
      <c r="U42" s="445"/>
      <c r="V42" s="449">
        <f>SUM(V39:V41)</f>
        <v>1503192</v>
      </c>
      <c r="W42" s="445"/>
      <c r="X42" s="449">
        <f>SUM(X39:X41)</f>
        <v>1525773</v>
      </c>
      <c r="Y42" s="445"/>
      <c r="Z42" s="249">
        <f>SUM(Z39:Z41)</f>
        <v>1703223</v>
      </c>
      <c r="AA42" s="657"/>
      <c r="AB42" s="16"/>
      <c r="AC42" s="804">
        <f t="shared" si="5"/>
        <v>1511785.8</v>
      </c>
    </row>
    <row r="43" spans="1:29" x14ac:dyDescent="0.2">
      <c r="A43" s="3"/>
      <c r="B43" s="1043" t="s">
        <v>61</v>
      </c>
      <c r="C43" s="161"/>
      <c r="D43" s="211"/>
      <c r="E43" s="12"/>
      <c r="F43" s="215"/>
      <c r="G43" s="308"/>
      <c r="H43" s="448"/>
      <c r="I43" s="105"/>
      <c r="J43" s="482"/>
      <c r="K43" s="308"/>
      <c r="L43" s="482"/>
      <c r="M43" s="308"/>
      <c r="N43" s="448"/>
      <c r="O43" s="105"/>
      <c r="P43" s="448"/>
      <c r="Q43" s="105"/>
      <c r="R43" s="448"/>
      <c r="S43" s="105"/>
      <c r="T43" s="448"/>
      <c r="U43" s="105"/>
      <c r="V43" s="448"/>
      <c r="W43" s="105"/>
      <c r="X43" s="448"/>
      <c r="Y43" s="105"/>
      <c r="Z43" s="1349"/>
      <c r="AA43" s="657"/>
      <c r="AB43" s="7"/>
      <c r="AC43" s="746"/>
    </row>
    <row r="44" spans="1:29" x14ac:dyDescent="0.2">
      <c r="A44" s="3"/>
      <c r="B44" s="1044" t="s">
        <v>59</v>
      </c>
      <c r="C44" s="161"/>
      <c r="D44" s="211">
        <v>2947756</v>
      </c>
      <c r="E44" s="12"/>
      <c r="F44" s="215">
        <v>2998300</v>
      </c>
      <c r="G44" s="308"/>
      <c r="H44" s="448">
        <v>3075095</v>
      </c>
      <c r="I44" s="105"/>
      <c r="J44" s="1182">
        <v>3162798</v>
      </c>
      <c r="K44" s="308"/>
      <c r="L44" s="1182">
        <v>3238686</v>
      </c>
      <c r="M44" s="308"/>
      <c r="N44" s="1183">
        <v>3386164</v>
      </c>
      <c r="O44" s="105"/>
      <c r="P44" s="1183">
        <v>3331875</v>
      </c>
      <c r="Q44" s="105"/>
      <c r="R44" s="1183">
        <v>3340716</v>
      </c>
      <c r="S44" s="105"/>
      <c r="T44" s="1183">
        <v>3441514</v>
      </c>
      <c r="U44" s="105"/>
      <c r="V44" s="1183">
        <v>3558255</v>
      </c>
      <c r="W44" s="105"/>
      <c r="X44" s="1183">
        <v>3570470</v>
      </c>
      <c r="Y44" s="105"/>
      <c r="Z44" s="1350">
        <v>3812402</v>
      </c>
      <c r="AA44" s="657"/>
      <c r="AB44" s="748"/>
      <c r="AC44" s="746">
        <f t="shared" ref="AC44" si="6">AVERAGE(X44,V44,T44,R44,Z44)</f>
        <v>3544671.4</v>
      </c>
    </row>
    <row r="45" spans="1:29" x14ac:dyDescent="0.2">
      <c r="A45" s="3"/>
      <c r="B45" s="1044" t="s">
        <v>196</v>
      </c>
      <c r="C45" s="161"/>
      <c r="D45" s="211"/>
      <c r="E45" s="12"/>
      <c r="F45" s="215"/>
      <c r="G45" s="308"/>
      <c r="H45" s="448"/>
      <c r="I45" s="105"/>
      <c r="J45" s="499"/>
      <c r="K45" s="295"/>
      <c r="L45" s="629"/>
      <c r="M45" s="295"/>
      <c r="N45" s="1023"/>
      <c r="O45" s="420"/>
      <c r="P45" s="1023"/>
      <c r="Q45" s="420"/>
      <c r="R45" s="1023"/>
      <c r="S45" s="420"/>
      <c r="T45" s="1023"/>
      <c r="U45" s="420"/>
      <c r="V45" s="1023"/>
      <c r="W45" s="420"/>
      <c r="X45" s="1023"/>
      <c r="Y45" s="420"/>
      <c r="Z45" s="1351"/>
      <c r="AA45" s="657"/>
      <c r="AB45" s="748"/>
      <c r="AC45" s="746"/>
    </row>
    <row r="46" spans="1:29" ht="36" x14ac:dyDescent="0.2">
      <c r="A46" s="3"/>
      <c r="B46" s="1045" t="s">
        <v>198</v>
      </c>
      <c r="C46" s="161"/>
      <c r="D46" s="211">
        <v>287229</v>
      </c>
      <c r="E46" s="12"/>
      <c r="F46" s="215">
        <v>294041</v>
      </c>
      <c r="G46" s="308"/>
      <c r="H46" s="448">
        <v>322559</v>
      </c>
      <c r="I46" s="105"/>
      <c r="J46" s="482">
        <v>391114</v>
      </c>
      <c r="K46" s="308"/>
      <c r="L46" s="482">
        <v>459202</v>
      </c>
      <c r="M46" s="308"/>
      <c r="N46" s="448">
        <v>251987</v>
      </c>
      <c r="O46" s="105"/>
      <c r="P46" s="448">
        <v>243947</v>
      </c>
      <c r="Q46" s="105"/>
      <c r="R46" s="448">
        <v>245367</v>
      </c>
      <c r="S46" s="105"/>
      <c r="T46" s="448">
        <v>230094</v>
      </c>
      <c r="U46" s="105"/>
      <c r="V46" s="448">
        <v>240729</v>
      </c>
      <c r="W46" s="105"/>
      <c r="X46" s="448">
        <v>187446</v>
      </c>
      <c r="Y46" s="105"/>
      <c r="Z46" s="1349">
        <v>816444</v>
      </c>
      <c r="AA46" s="657"/>
      <c r="AB46" s="748"/>
      <c r="AC46" s="746">
        <f t="shared" ref="AC46:AC48" si="7">AVERAGE(X46,V46,T46,R46,Z46)</f>
        <v>344016</v>
      </c>
    </row>
    <row r="47" spans="1:29" x14ac:dyDescent="0.2">
      <c r="A47" s="3"/>
      <c r="B47" s="1046" t="s">
        <v>62</v>
      </c>
      <c r="C47" s="212"/>
      <c r="D47" s="213">
        <f>SUM(D44:D46)</f>
        <v>3234985</v>
      </c>
      <c r="E47" s="60"/>
      <c r="F47" s="216">
        <f>SUM(F44:F46)</f>
        <v>3292341</v>
      </c>
      <c r="G47" s="309"/>
      <c r="H47" s="449">
        <f>SUM(H44:H46)</f>
        <v>3397654</v>
      </c>
      <c r="I47" s="445"/>
      <c r="J47" s="249">
        <f>SUM(J44:J46)</f>
        <v>3553912</v>
      </c>
      <c r="K47" s="309"/>
      <c r="L47" s="483">
        <f>SUM(L44:L46)</f>
        <v>3697888</v>
      </c>
      <c r="M47" s="309"/>
      <c r="N47" s="449">
        <f>SUM(N44:N46)</f>
        <v>3638151</v>
      </c>
      <c r="O47" s="445"/>
      <c r="P47" s="449">
        <f>SUM(P44:P46)</f>
        <v>3575822</v>
      </c>
      <c r="Q47" s="445"/>
      <c r="R47" s="449">
        <f>SUM(R44:R46)</f>
        <v>3586083</v>
      </c>
      <c r="S47" s="445"/>
      <c r="T47" s="449">
        <f>SUM(T44:T46)</f>
        <v>3671608</v>
      </c>
      <c r="U47" s="445"/>
      <c r="V47" s="449">
        <f>SUM(V44:V46)</f>
        <v>3798984</v>
      </c>
      <c r="W47" s="445"/>
      <c r="X47" s="449">
        <f>SUM(X44:X46)</f>
        <v>3757916</v>
      </c>
      <c r="Y47" s="445"/>
      <c r="Z47" s="249">
        <f>SUM(Z44:Z46)</f>
        <v>4628846</v>
      </c>
      <c r="AA47" s="657"/>
      <c r="AB47" s="318"/>
      <c r="AC47" s="804">
        <f t="shared" si="7"/>
        <v>3888687.4</v>
      </c>
    </row>
    <row r="48" spans="1:29" ht="13.5" thickBot="1" x14ac:dyDescent="0.25">
      <c r="A48" s="3"/>
      <c r="B48" s="1047" t="s">
        <v>63</v>
      </c>
      <c r="C48" s="161"/>
      <c r="D48" s="213">
        <f>SUM(D42,D47)</f>
        <v>4394718</v>
      </c>
      <c r="E48" s="12"/>
      <c r="F48" s="216">
        <f>SUM(F42,F47)</f>
        <v>4524562</v>
      </c>
      <c r="G48" s="308"/>
      <c r="H48" s="449">
        <f>SUM(H42,H47)</f>
        <v>4683486</v>
      </c>
      <c r="I48" s="105"/>
      <c r="J48" s="483">
        <f>SUM(J42,J47)</f>
        <v>4887498</v>
      </c>
      <c r="K48" s="308"/>
      <c r="L48" s="483">
        <f>SUM(L42,L47)</f>
        <v>5032017</v>
      </c>
      <c r="M48" s="308"/>
      <c r="N48" s="449">
        <f>SUM(N42,N47)</f>
        <v>5018130</v>
      </c>
      <c r="O48" s="105"/>
      <c r="P48" s="449">
        <f>SUM(P42,P47)</f>
        <v>4959064</v>
      </c>
      <c r="Q48" s="105"/>
      <c r="R48" s="449">
        <f>SUM(R42,R47)</f>
        <v>4966274</v>
      </c>
      <c r="S48" s="105"/>
      <c r="T48" s="449">
        <f>SUM(T42,T47)</f>
        <v>5118158</v>
      </c>
      <c r="U48" s="105"/>
      <c r="V48" s="449">
        <f>SUM(V42,V47)</f>
        <v>5302176</v>
      </c>
      <c r="W48" s="105"/>
      <c r="X48" s="449">
        <f>SUM(X42,X47)</f>
        <v>5283689</v>
      </c>
      <c r="Y48" s="105"/>
      <c r="Z48" s="249">
        <f>SUM(Z42,Z47)</f>
        <v>6332069</v>
      </c>
      <c r="AA48" s="657"/>
      <c r="AB48" s="665"/>
      <c r="AC48" s="853">
        <f t="shared" si="7"/>
        <v>5400473.2000000002</v>
      </c>
    </row>
    <row r="49" spans="1:31" ht="12" x14ac:dyDescent="0.2">
      <c r="B49" s="1048" t="s">
        <v>205</v>
      </c>
      <c r="C49" s="142"/>
      <c r="D49" s="143"/>
      <c r="E49" s="54"/>
      <c r="F49" s="54"/>
      <c r="G49" s="265"/>
      <c r="H49" s="435"/>
      <c r="I49" s="138"/>
      <c r="J49" s="138"/>
      <c r="K49" s="265"/>
      <c r="L49" s="138"/>
      <c r="M49" s="265"/>
      <c r="N49" s="435"/>
      <c r="O49" s="138"/>
      <c r="P49" s="435"/>
      <c r="Q49" s="138"/>
      <c r="R49" s="435"/>
      <c r="S49" s="138"/>
      <c r="T49" s="435"/>
      <c r="U49" s="138"/>
      <c r="V49" s="435"/>
      <c r="W49" s="138"/>
      <c r="X49" s="435"/>
      <c r="Y49" s="138"/>
      <c r="Z49" s="236"/>
      <c r="AA49" s="657"/>
      <c r="AB49" s="16"/>
      <c r="AC49" s="747"/>
    </row>
    <row r="50" spans="1:31" ht="11.45" customHeight="1" x14ac:dyDescent="0.2">
      <c r="B50" s="45" t="s">
        <v>14</v>
      </c>
      <c r="C50" s="149"/>
      <c r="D50" s="182">
        <f>1169416+62483</f>
        <v>1231899</v>
      </c>
      <c r="E50" s="7"/>
      <c r="F50" s="566">
        <v>1201569</v>
      </c>
      <c r="G50" s="261"/>
      <c r="H50" s="182">
        <v>1381064</v>
      </c>
      <c r="I50" s="231"/>
      <c r="J50" s="805">
        <v>1304392.46</v>
      </c>
      <c r="K50" s="261"/>
      <c r="L50" s="791">
        <v>1381903</v>
      </c>
      <c r="M50" s="261"/>
      <c r="N50" s="1010">
        <v>1376225</v>
      </c>
      <c r="O50" s="231"/>
      <c r="P50" s="1248">
        <v>1435156</v>
      </c>
      <c r="Q50" s="327"/>
      <c r="R50" s="1248">
        <v>1346233</v>
      </c>
      <c r="S50" s="327"/>
      <c r="T50" s="1248">
        <v>1538112</v>
      </c>
      <c r="U50" s="327"/>
      <c r="V50" s="1248">
        <v>1654260</v>
      </c>
      <c r="W50" s="327"/>
      <c r="X50" s="1454">
        <v>1578627.75</v>
      </c>
      <c r="Y50" s="327"/>
      <c r="Z50" s="1330"/>
      <c r="AB50" s="748"/>
      <c r="AC50" s="854">
        <f>AVERAGE(X50,V50,T50,R50,P50)</f>
        <v>1510477.75</v>
      </c>
    </row>
    <row r="51" spans="1:31" ht="11.45" customHeight="1" x14ac:dyDescent="0.2">
      <c r="B51" s="1129" t="s">
        <v>15</v>
      </c>
      <c r="C51" s="147"/>
      <c r="D51" s="183">
        <f>1249868+293853+908630+534919</f>
        <v>2987270</v>
      </c>
      <c r="E51" s="13"/>
      <c r="F51" s="555">
        <f>1395318+1386348</f>
        <v>2781666</v>
      </c>
      <c r="G51" s="296"/>
      <c r="H51" s="182">
        <v>3008319</v>
      </c>
      <c r="I51" s="421"/>
      <c r="J51" s="806">
        <f>1531572+1738662</f>
        <v>3270234</v>
      </c>
      <c r="K51" s="296"/>
      <c r="L51" s="810">
        <f>17140+63707+229356+1381640+1292772+297511</f>
        <v>3282126</v>
      </c>
      <c r="M51" s="296"/>
      <c r="N51" s="1117">
        <v>3376480</v>
      </c>
      <c r="O51" s="421"/>
      <c r="P51" s="503">
        <f>1790882+9407+1501329+7105+48722+5579-1002</f>
        <v>3362022</v>
      </c>
      <c r="Q51" s="327"/>
      <c r="R51" s="503">
        <f>18022.24+1658314.26+11062.34+1564034.61+3999.72+28747.22</f>
        <v>3284180.3900000006</v>
      </c>
      <c r="S51" s="327"/>
      <c r="T51" s="503">
        <f>17178+1855866.88+2043+1607972.56+13727.41+45886.83</f>
        <v>3542674.68</v>
      </c>
      <c r="U51" s="327"/>
      <c r="V51" s="503">
        <v>3685341</v>
      </c>
      <c r="W51" s="327"/>
      <c r="X51" s="1453">
        <v>3703130.3</v>
      </c>
      <c r="Y51" s="327"/>
      <c r="Z51" s="1331"/>
      <c r="AB51" s="318"/>
      <c r="AC51" s="854">
        <f>AVERAGE(X51,V51,T51,R51,P51)</f>
        <v>3515469.6740000001</v>
      </c>
    </row>
    <row r="52" spans="1:31" thickBot="1" x14ac:dyDescent="0.25">
      <c r="B52" s="1130" t="s">
        <v>32</v>
      </c>
      <c r="C52" s="144"/>
      <c r="D52" s="157"/>
      <c r="E52" s="19"/>
      <c r="F52" s="306"/>
      <c r="G52" s="266"/>
      <c r="H52" s="436"/>
      <c r="I52" s="422"/>
      <c r="J52" s="807"/>
      <c r="K52" s="266"/>
      <c r="L52" s="807"/>
      <c r="M52" s="266"/>
      <c r="N52" s="436"/>
      <c r="O52" s="422"/>
      <c r="P52" s="436"/>
      <c r="Q52" s="422"/>
      <c r="R52" s="436"/>
      <c r="S52" s="422"/>
      <c r="T52" s="436"/>
      <c r="U52" s="422"/>
      <c r="V52" s="436"/>
      <c r="W52" s="422"/>
      <c r="X52" s="436"/>
      <c r="Y52" s="422"/>
      <c r="Z52" s="237"/>
      <c r="AB52" s="849"/>
      <c r="AC52" s="868"/>
    </row>
    <row r="53" spans="1:31" ht="12" x14ac:dyDescent="0.2">
      <c r="B53" s="1131"/>
      <c r="C53" s="145" t="s">
        <v>97</v>
      </c>
      <c r="D53" s="146" t="s">
        <v>104</v>
      </c>
      <c r="E53" s="53" t="s">
        <v>97</v>
      </c>
      <c r="F53" s="155" t="s">
        <v>104</v>
      </c>
      <c r="G53" s="267" t="s">
        <v>97</v>
      </c>
      <c r="H53" s="437" t="s">
        <v>104</v>
      </c>
      <c r="I53" s="423" t="s">
        <v>97</v>
      </c>
      <c r="J53" s="808" t="s">
        <v>104</v>
      </c>
      <c r="K53" s="267" t="s">
        <v>97</v>
      </c>
      <c r="L53" s="808" t="s">
        <v>104</v>
      </c>
      <c r="M53" s="267" t="s">
        <v>97</v>
      </c>
      <c r="N53" s="437" t="s">
        <v>104</v>
      </c>
      <c r="O53" s="423" t="s">
        <v>97</v>
      </c>
      <c r="P53" s="437" t="s">
        <v>104</v>
      </c>
      <c r="Q53" s="423" t="s">
        <v>97</v>
      </c>
      <c r="R53" s="437" t="s">
        <v>104</v>
      </c>
      <c r="S53" s="423" t="s">
        <v>97</v>
      </c>
      <c r="T53" s="437" t="s">
        <v>104</v>
      </c>
      <c r="U53" s="423" t="s">
        <v>97</v>
      </c>
      <c r="V53" s="437" t="s">
        <v>104</v>
      </c>
      <c r="W53" s="423" t="s">
        <v>97</v>
      </c>
      <c r="X53" s="437" t="s">
        <v>104</v>
      </c>
      <c r="Y53" s="423" t="s">
        <v>97</v>
      </c>
      <c r="Z53" s="250" t="s">
        <v>104</v>
      </c>
      <c r="AB53" s="749" t="s">
        <v>97</v>
      </c>
      <c r="AC53" s="250" t="s">
        <v>104</v>
      </c>
      <c r="AE53" s="1" t="s">
        <v>23</v>
      </c>
    </row>
    <row r="54" spans="1:31" ht="12" x14ac:dyDescent="0.2">
      <c r="B54" s="1072" t="s">
        <v>50</v>
      </c>
      <c r="C54" s="764">
        <v>25</v>
      </c>
      <c r="D54" s="562">
        <v>2796663.06</v>
      </c>
      <c r="E54" s="790">
        <v>25</v>
      </c>
      <c r="F54" s="563">
        <v>2640893.63</v>
      </c>
      <c r="G54" s="768">
        <v>34</v>
      </c>
      <c r="H54" s="503">
        <v>2219985</v>
      </c>
      <c r="I54" s="771">
        <v>55</v>
      </c>
      <c r="J54" s="562">
        <v>4402021.3499999996</v>
      </c>
      <c r="K54" s="768">
        <v>37</v>
      </c>
      <c r="L54" s="327">
        <v>1351880</v>
      </c>
      <c r="M54" s="768">
        <v>53</v>
      </c>
      <c r="N54" s="454">
        <v>3934386</v>
      </c>
      <c r="O54" s="768">
        <v>48</v>
      </c>
      <c r="P54" s="454">
        <v>3840774</v>
      </c>
      <c r="Q54" s="799">
        <v>44</v>
      </c>
      <c r="R54" s="454">
        <v>4036617</v>
      </c>
      <c r="S54" s="799">
        <v>29</v>
      </c>
      <c r="T54" s="454">
        <v>1801775</v>
      </c>
      <c r="U54" s="799">
        <v>29</v>
      </c>
      <c r="V54" s="454">
        <v>4525803</v>
      </c>
      <c r="W54" s="799">
        <v>58</v>
      </c>
      <c r="X54" s="454">
        <v>5575531</v>
      </c>
      <c r="Y54" s="992"/>
      <c r="Z54" s="385"/>
      <c r="AA54" s="657"/>
      <c r="AB54" s="855">
        <f t="shared" ref="AB54:AC56" si="8">AVERAGE(W54,U54,S54,Q54,O54)</f>
        <v>41.6</v>
      </c>
      <c r="AC54" s="854">
        <f t="shared" si="8"/>
        <v>3956100</v>
      </c>
    </row>
    <row r="55" spans="1:31" ht="12" x14ac:dyDescent="0.2">
      <c r="B55" s="1072"/>
      <c r="C55" s="765"/>
      <c r="D55" s="148"/>
      <c r="E55" s="767"/>
      <c r="F55" s="156"/>
      <c r="G55" s="769"/>
      <c r="H55" s="564"/>
      <c r="I55" s="772"/>
      <c r="J55" s="809"/>
      <c r="K55" s="769"/>
      <c r="L55" s="811"/>
      <c r="M55" s="769"/>
      <c r="N55" s="1094"/>
      <c r="O55" s="769"/>
      <c r="P55" s="1094"/>
      <c r="Q55" s="799"/>
      <c r="R55" s="1094"/>
      <c r="S55" s="799"/>
      <c r="T55" s="1094"/>
      <c r="U55" s="799"/>
      <c r="V55" s="1094"/>
      <c r="W55" s="799"/>
      <c r="X55" s="1094"/>
      <c r="Y55" s="421"/>
      <c r="Z55" s="251"/>
      <c r="AA55" s="657"/>
      <c r="AB55" s="855"/>
      <c r="AC55" s="854"/>
    </row>
    <row r="56" spans="1:31" thickBot="1" x14ac:dyDescent="0.25">
      <c r="B56" s="1073" t="s">
        <v>16</v>
      </c>
      <c r="C56" s="766">
        <v>17</v>
      </c>
      <c r="D56" s="157">
        <v>1439771</v>
      </c>
      <c r="E56" s="751">
        <v>14</v>
      </c>
      <c r="F56" s="537">
        <v>1773946.78</v>
      </c>
      <c r="G56" s="770">
        <v>25</v>
      </c>
      <c r="H56" s="604">
        <v>2028126</v>
      </c>
      <c r="I56" s="773">
        <v>33</v>
      </c>
      <c r="J56" s="633">
        <v>2292428</v>
      </c>
      <c r="K56" s="800">
        <v>26</v>
      </c>
      <c r="L56" s="633">
        <v>2529003</v>
      </c>
      <c r="M56" s="800">
        <v>21</v>
      </c>
      <c r="N56" s="632">
        <v>1350847</v>
      </c>
      <c r="O56" s="800">
        <v>24</v>
      </c>
      <c r="P56" s="632">
        <v>2408959</v>
      </c>
      <c r="Q56" s="773">
        <v>23</v>
      </c>
      <c r="R56" s="1357">
        <v>2179162</v>
      </c>
      <c r="S56" s="773">
        <v>24</v>
      </c>
      <c r="T56" s="632">
        <v>3275769</v>
      </c>
      <c r="U56" s="773">
        <v>17</v>
      </c>
      <c r="V56" s="632">
        <v>1879073</v>
      </c>
      <c r="W56" s="773">
        <v>21</v>
      </c>
      <c r="X56" s="632">
        <v>2701748</v>
      </c>
      <c r="Y56" s="993"/>
      <c r="Z56" s="368"/>
      <c r="AA56" s="657"/>
      <c r="AB56" s="1016">
        <f t="shared" si="8"/>
        <v>21.8</v>
      </c>
      <c r="AC56" s="868">
        <f t="shared" si="8"/>
        <v>2488942.2000000002</v>
      </c>
    </row>
    <row r="57" spans="1:31" ht="12" x14ac:dyDescent="0.2">
      <c r="B57" s="1048" t="s">
        <v>68</v>
      </c>
      <c r="C57" s="185"/>
      <c r="D57" s="193"/>
      <c r="E57" s="94"/>
      <c r="F57" s="293"/>
      <c r="G57" s="297"/>
      <c r="H57" s="439"/>
      <c r="I57" s="424"/>
      <c r="J57" s="476"/>
      <c r="K57" s="297"/>
      <c r="L57" s="476"/>
      <c r="M57" s="297"/>
      <c r="N57" s="439"/>
      <c r="O57" s="424"/>
      <c r="P57" s="439"/>
      <c r="Q57" s="424"/>
      <c r="R57" s="439"/>
      <c r="S57" s="424"/>
      <c r="T57" s="439"/>
      <c r="U57" s="424"/>
      <c r="V57" s="439"/>
      <c r="W57" s="424"/>
      <c r="X57" s="439"/>
      <c r="Y57" s="424"/>
      <c r="Z57" s="238"/>
      <c r="AA57" s="652"/>
      <c r="AB57" s="851"/>
      <c r="AC57" s="750"/>
      <c r="AE57" s="1" t="s">
        <v>23</v>
      </c>
    </row>
    <row r="58" spans="1:31" ht="12" x14ac:dyDescent="0.2">
      <c r="B58" s="1132" t="s">
        <v>69</v>
      </c>
      <c r="C58" s="186"/>
      <c r="D58" s="194"/>
      <c r="E58" s="25"/>
      <c r="F58" s="26"/>
      <c r="G58" s="269"/>
      <c r="H58" s="440"/>
      <c r="I58" s="239"/>
      <c r="J58" s="229"/>
      <c r="K58" s="269"/>
      <c r="L58" s="229"/>
      <c r="M58" s="269"/>
      <c r="N58" s="440"/>
      <c r="O58" s="239"/>
      <c r="P58" s="440"/>
      <c r="Q58" s="239"/>
      <c r="R58" s="440"/>
      <c r="S58" s="239"/>
      <c r="T58" s="440"/>
      <c r="U58" s="239"/>
      <c r="V58" s="440"/>
      <c r="W58" s="239"/>
      <c r="X58" s="440"/>
      <c r="Y58" s="239"/>
      <c r="Z58" s="240"/>
      <c r="AA58" s="657"/>
      <c r="AC58" s="1027"/>
    </row>
    <row r="59" spans="1:31" ht="12" x14ac:dyDescent="0.2">
      <c r="B59" s="1074" t="s">
        <v>70</v>
      </c>
      <c r="C59" s="149"/>
      <c r="D59" s="158">
        <v>118454.33</v>
      </c>
      <c r="E59" s="17"/>
      <c r="F59" s="294">
        <v>228382.49</v>
      </c>
      <c r="G59" s="268"/>
      <c r="H59" s="529">
        <v>306340.03999999998</v>
      </c>
      <c r="I59" s="538"/>
      <c r="J59" s="535">
        <v>577817.67000000004</v>
      </c>
      <c r="K59" s="268"/>
      <c r="L59" s="535">
        <v>368982.32</v>
      </c>
      <c r="M59" s="268"/>
      <c r="N59" s="1024">
        <v>337319</v>
      </c>
      <c r="O59" s="425"/>
      <c r="P59" s="1024">
        <v>205216</v>
      </c>
      <c r="Q59" s="425"/>
      <c r="R59" s="1024">
        <v>189776</v>
      </c>
      <c r="S59" s="425"/>
      <c r="T59" s="1024">
        <v>243418.68</v>
      </c>
      <c r="U59" s="425"/>
      <c r="V59" s="1024">
        <v>559353.02</v>
      </c>
      <c r="W59" s="425"/>
      <c r="X59" s="1024">
        <v>874538.15</v>
      </c>
      <c r="Y59" s="425"/>
      <c r="Z59" s="1332"/>
      <c r="AA59" s="657"/>
      <c r="AB59" s="318"/>
      <c r="AC59" s="750">
        <f t="shared" ref="AC59:AC60" si="9">AVERAGE(X59,V59,T59,R59,P59)</f>
        <v>414460.37</v>
      </c>
    </row>
    <row r="60" spans="1:31" ht="14.25" customHeight="1" thickBot="1" x14ac:dyDescent="0.25">
      <c r="B60" s="1075" t="s">
        <v>71</v>
      </c>
      <c r="C60" s="151"/>
      <c r="D60" s="159">
        <v>0</v>
      </c>
      <c r="E60" s="14"/>
      <c r="F60" s="307">
        <v>0</v>
      </c>
      <c r="G60" s="270"/>
      <c r="H60" s="451">
        <v>0</v>
      </c>
      <c r="I60" s="426"/>
      <c r="J60" s="451">
        <v>0</v>
      </c>
      <c r="K60" s="270"/>
      <c r="L60" s="451">
        <v>0</v>
      </c>
      <c r="M60" s="270"/>
      <c r="N60" s="455">
        <v>0</v>
      </c>
      <c r="O60" s="426"/>
      <c r="P60" s="455">
        <v>0</v>
      </c>
      <c r="Q60" s="426"/>
      <c r="R60" s="455">
        <v>0</v>
      </c>
      <c r="S60" s="426"/>
      <c r="T60" s="455">
        <v>0</v>
      </c>
      <c r="U60" s="426"/>
      <c r="V60" s="455">
        <v>0</v>
      </c>
      <c r="W60" s="426"/>
      <c r="X60" s="455">
        <v>71715.73</v>
      </c>
      <c r="Y60" s="426"/>
      <c r="Z60" s="1326"/>
      <c r="AB60" s="659"/>
      <c r="AC60" s="854">
        <f t="shared" si="9"/>
        <v>14343.145999999999</v>
      </c>
    </row>
    <row r="61" spans="1:31" thickTop="1" x14ac:dyDescent="0.2">
      <c r="C61" s="1"/>
      <c r="D61" s="1"/>
      <c r="E61" s="1"/>
      <c r="F61" s="1"/>
      <c r="G61" s="222"/>
      <c r="H61" s="222"/>
      <c r="I61" s="222"/>
      <c r="J61" s="222"/>
      <c r="K61" s="222"/>
      <c r="L61" s="222"/>
      <c r="M61" s="549"/>
      <c r="N61" s="235"/>
      <c r="O61" s="549"/>
      <c r="P61" s="235"/>
      <c r="Q61" s="549"/>
      <c r="R61" s="235"/>
      <c r="S61" s="549"/>
      <c r="T61" s="235"/>
      <c r="U61" s="549"/>
      <c r="V61" s="235"/>
      <c r="W61" s="549"/>
      <c r="X61" s="235"/>
      <c r="Y61" s="549"/>
      <c r="Z61" s="235"/>
      <c r="AB61" s="66"/>
      <c r="AC61" s="664"/>
    </row>
    <row r="62" spans="1:31" x14ac:dyDescent="0.2">
      <c r="A62" s="3" t="s">
        <v>66</v>
      </c>
      <c r="C62" s="1"/>
      <c r="D62" s="1"/>
      <c r="E62" s="1"/>
      <c r="F62" s="1"/>
      <c r="G62" s="222"/>
      <c r="H62" s="222"/>
      <c r="I62" s="222"/>
      <c r="J62" s="222"/>
      <c r="K62" s="222"/>
      <c r="L62" s="222"/>
      <c r="M62" s="235"/>
      <c r="N62" s="235"/>
      <c r="O62" s="235"/>
      <c r="P62" s="235"/>
      <c r="Q62" s="235"/>
      <c r="R62" s="235"/>
      <c r="S62" s="235"/>
      <c r="T62" s="235"/>
      <c r="U62" s="235"/>
      <c r="V62" s="235"/>
      <c r="W62" s="235"/>
      <c r="X62" s="235"/>
      <c r="Y62" s="235"/>
      <c r="Z62" s="235"/>
    </row>
    <row r="63" spans="1:31" thickBot="1" x14ac:dyDescent="0.25">
      <c r="C63" s="1"/>
      <c r="D63" s="1"/>
      <c r="E63" s="1"/>
      <c r="F63" s="1"/>
      <c r="G63" s="222"/>
      <c r="H63" s="222"/>
      <c r="I63" s="222"/>
      <c r="J63" s="222"/>
      <c r="K63" s="222"/>
      <c r="L63" s="222"/>
      <c r="M63" s="252"/>
      <c r="N63" s="252"/>
      <c r="O63" s="252"/>
      <c r="P63" s="252"/>
      <c r="Q63" s="252"/>
      <c r="R63" s="252"/>
      <c r="S63" s="252"/>
      <c r="T63" s="252"/>
      <c r="U63" s="252"/>
      <c r="V63" s="252"/>
      <c r="W63" s="252"/>
      <c r="X63" s="252"/>
      <c r="Y63" s="252"/>
      <c r="Z63" s="252"/>
      <c r="AA63" s="24"/>
      <c r="AB63" s="71"/>
    </row>
    <row r="64" spans="1:31" ht="13.5" thickTop="1" thickBot="1" x14ac:dyDescent="0.25">
      <c r="B64" s="1055"/>
      <c r="C64" s="1498" t="s">
        <v>33</v>
      </c>
      <c r="D64" s="1499"/>
      <c r="E64" s="1501" t="s">
        <v>34</v>
      </c>
      <c r="F64" s="1501"/>
      <c r="G64" s="1500" t="s">
        <v>106</v>
      </c>
      <c r="H64" s="1495"/>
      <c r="I64" s="1494" t="s">
        <v>118</v>
      </c>
      <c r="J64" s="1494"/>
      <c r="K64" s="1500" t="s">
        <v>121</v>
      </c>
      <c r="L64" s="1494"/>
      <c r="M64" s="1500" t="s">
        <v>127</v>
      </c>
      <c r="N64" s="1495"/>
      <c r="O64" s="1494" t="s">
        <v>174</v>
      </c>
      <c r="P64" s="1495"/>
      <c r="Q64" s="1494" t="s">
        <v>193</v>
      </c>
      <c r="R64" s="1495"/>
      <c r="S64" s="1494" t="s">
        <v>218</v>
      </c>
      <c r="T64" s="1495"/>
      <c r="U64" s="1494" t="s">
        <v>221</v>
      </c>
      <c r="V64" s="1495"/>
      <c r="W64" s="1494" t="s">
        <v>232</v>
      </c>
      <c r="X64" s="1495"/>
      <c r="Y64" s="1494" t="s">
        <v>241</v>
      </c>
      <c r="Z64" s="1508"/>
      <c r="AA64" s="657"/>
      <c r="AB64" s="1521" t="s">
        <v>134</v>
      </c>
      <c r="AC64" s="1531"/>
    </row>
    <row r="65" spans="2:29" ht="12" x14ac:dyDescent="0.2">
      <c r="B65" s="41" t="s">
        <v>37</v>
      </c>
      <c r="C65" s="132"/>
      <c r="D65" s="133"/>
      <c r="E65" s="16"/>
      <c r="F65" s="16"/>
      <c r="G65" s="260"/>
      <c r="H65" s="407"/>
      <c r="I65" s="387"/>
      <c r="J65" s="387"/>
      <c r="K65" s="260"/>
      <c r="L65" s="387"/>
      <c r="M65" s="260"/>
      <c r="N65" s="407"/>
      <c r="O65" s="387"/>
      <c r="P65" s="407"/>
      <c r="Q65" s="387"/>
      <c r="R65" s="407"/>
      <c r="S65" s="387"/>
      <c r="T65" s="407"/>
      <c r="U65" s="387"/>
      <c r="V65" s="407"/>
      <c r="W65" s="387"/>
      <c r="X65" s="407"/>
      <c r="Y65" s="387"/>
      <c r="Z65" s="230"/>
      <c r="AA65" s="657"/>
      <c r="AC65" s="652"/>
    </row>
    <row r="66" spans="2:29" ht="12" x14ac:dyDescent="0.2">
      <c r="B66" s="98" t="s">
        <v>38</v>
      </c>
      <c r="C66" s="134"/>
      <c r="D66" s="168"/>
      <c r="E66" s="7"/>
      <c r="F66" s="99"/>
      <c r="G66" s="261"/>
      <c r="H66" s="408"/>
      <c r="I66" s="231"/>
      <c r="J66" s="244"/>
      <c r="K66" s="261"/>
      <c r="L66" s="244"/>
      <c r="M66" s="261"/>
      <c r="N66" s="408"/>
      <c r="O66" s="231"/>
      <c r="P66" s="408"/>
      <c r="Q66" s="231"/>
      <c r="R66" s="408"/>
      <c r="S66" s="231"/>
      <c r="T66" s="408"/>
      <c r="U66" s="231"/>
      <c r="V66" s="408"/>
      <c r="W66" s="231"/>
      <c r="X66" s="408"/>
      <c r="Y66" s="231"/>
      <c r="Z66" s="221"/>
      <c r="AA66" s="657"/>
      <c r="AC66" s="652"/>
    </row>
    <row r="67" spans="2:29" ht="12" x14ac:dyDescent="0.2">
      <c r="B67" s="42" t="s">
        <v>39</v>
      </c>
      <c r="C67" s="134"/>
      <c r="D67" s="168">
        <v>12</v>
      </c>
      <c r="E67" s="7"/>
      <c r="F67" s="99">
        <v>12</v>
      </c>
      <c r="G67" s="261"/>
      <c r="H67" s="408">
        <v>9</v>
      </c>
      <c r="I67" s="231"/>
      <c r="J67" s="244">
        <v>8</v>
      </c>
      <c r="K67" s="261"/>
      <c r="L67" s="244">
        <v>8</v>
      </c>
      <c r="M67" s="261"/>
      <c r="N67" s="408">
        <v>8</v>
      </c>
      <c r="O67" s="231"/>
      <c r="P67" s="408">
        <v>9</v>
      </c>
      <c r="Q67" s="231"/>
      <c r="R67" s="408">
        <v>8</v>
      </c>
      <c r="S67" s="231"/>
      <c r="T67" s="408">
        <v>6</v>
      </c>
      <c r="U67" s="231"/>
      <c r="V67" s="408">
        <v>7</v>
      </c>
      <c r="W67" s="231"/>
      <c r="X67" s="408">
        <v>5</v>
      </c>
      <c r="Y67" s="231"/>
      <c r="Z67" s="221">
        <v>5</v>
      </c>
      <c r="AA67" s="657"/>
      <c r="AC67" s="658">
        <f>AVERAGE(X67,V67,T67,R67,Z67)</f>
        <v>6.2</v>
      </c>
    </row>
    <row r="68" spans="2:29" ht="12" x14ac:dyDescent="0.2">
      <c r="B68" s="42" t="s">
        <v>161</v>
      </c>
      <c r="C68" s="134"/>
      <c r="D68" s="168">
        <v>0</v>
      </c>
      <c r="E68" s="7"/>
      <c r="F68" s="99">
        <v>0</v>
      </c>
      <c r="G68" s="261"/>
      <c r="H68" s="408">
        <v>0</v>
      </c>
      <c r="I68" s="231"/>
      <c r="J68" s="244">
        <v>1</v>
      </c>
      <c r="K68" s="261"/>
      <c r="L68" s="244">
        <v>2</v>
      </c>
      <c r="M68" s="261"/>
      <c r="N68" s="408">
        <v>1</v>
      </c>
      <c r="O68" s="231"/>
      <c r="P68" s="408">
        <v>0</v>
      </c>
      <c r="Q68" s="231"/>
      <c r="R68" s="408">
        <v>0</v>
      </c>
      <c r="S68" s="231"/>
      <c r="T68" s="408">
        <v>0</v>
      </c>
      <c r="U68" s="231"/>
      <c r="V68" s="408">
        <v>0</v>
      </c>
      <c r="W68" s="231"/>
      <c r="X68" s="408">
        <v>1</v>
      </c>
      <c r="Y68" s="231"/>
      <c r="Z68" s="221">
        <v>3</v>
      </c>
      <c r="AA68" s="657"/>
      <c r="AB68" s="663"/>
      <c r="AC68" s="658">
        <f t="shared" ref="AC68" si="10">AVERAGE(X68,V68,T68,R68,Z68)</f>
        <v>0.8</v>
      </c>
    </row>
    <row r="69" spans="2:29" ht="12" x14ac:dyDescent="0.2">
      <c r="B69" s="98" t="s">
        <v>40</v>
      </c>
      <c r="C69" s="134"/>
      <c r="D69" s="136"/>
      <c r="E69" s="7"/>
      <c r="F69" s="12"/>
      <c r="G69" s="261"/>
      <c r="H69" s="217"/>
      <c r="I69" s="231"/>
      <c r="J69" s="105"/>
      <c r="K69" s="261"/>
      <c r="L69" s="105"/>
      <c r="M69" s="261"/>
      <c r="N69" s="217"/>
      <c r="O69" s="231"/>
      <c r="P69" s="217"/>
      <c r="Q69" s="231"/>
      <c r="R69" s="217"/>
      <c r="S69" s="231"/>
      <c r="T69" s="217"/>
      <c r="U69" s="231"/>
      <c r="V69" s="217"/>
      <c r="W69" s="231"/>
      <c r="X69" s="217"/>
      <c r="Y69" s="231"/>
      <c r="Z69" s="232"/>
      <c r="AA69" s="657"/>
      <c r="AB69" s="663"/>
      <c r="AC69" s="658"/>
    </row>
    <row r="70" spans="2:29" ht="12" x14ac:dyDescent="0.2">
      <c r="B70" s="42" t="s">
        <v>39</v>
      </c>
      <c r="C70" s="134"/>
      <c r="D70" s="136">
        <v>18</v>
      </c>
      <c r="E70" s="7"/>
      <c r="F70" s="12">
        <v>14</v>
      </c>
      <c r="G70" s="261"/>
      <c r="H70" s="217">
        <v>17</v>
      </c>
      <c r="I70" s="231"/>
      <c r="J70" s="105">
        <v>20</v>
      </c>
      <c r="K70" s="261"/>
      <c r="L70" s="105">
        <v>19</v>
      </c>
      <c r="M70" s="261"/>
      <c r="N70" s="217">
        <v>22</v>
      </c>
      <c r="O70" s="231"/>
      <c r="P70" s="217">
        <v>20</v>
      </c>
      <c r="Q70" s="231"/>
      <c r="R70" s="217">
        <v>19</v>
      </c>
      <c r="S70" s="231"/>
      <c r="T70" s="217">
        <v>24</v>
      </c>
      <c r="U70" s="231"/>
      <c r="V70" s="217">
        <v>23</v>
      </c>
      <c r="W70" s="231"/>
      <c r="X70" s="217">
        <v>25</v>
      </c>
      <c r="Y70" s="231"/>
      <c r="Z70" s="232">
        <v>23</v>
      </c>
      <c r="AA70" s="657"/>
      <c r="AB70" s="663"/>
      <c r="AC70" s="658">
        <f t="shared" ref="AC70:AC72" si="11">AVERAGE(X70,V70,T70,R70,Z70)</f>
        <v>22.8</v>
      </c>
    </row>
    <row r="71" spans="2:29" ht="12" x14ac:dyDescent="0.2">
      <c r="B71" s="680" t="s">
        <v>161</v>
      </c>
      <c r="C71" s="134"/>
      <c r="D71" s="136">
        <v>1</v>
      </c>
      <c r="E71" s="7"/>
      <c r="F71" s="12">
        <v>1</v>
      </c>
      <c r="G71" s="261"/>
      <c r="H71" s="217">
        <v>2</v>
      </c>
      <c r="I71" s="231"/>
      <c r="J71" s="105">
        <v>1</v>
      </c>
      <c r="K71" s="261"/>
      <c r="L71" s="105">
        <v>1</v>
      </c>
      <c r="M71" s="261"/>
      <c r="N71" s="217">
        <v>1</v>
      </c>
      <c r="O71" s="231"/>
      <c r="P71" s="217">
        <v>1</v>
      </c>
      <c r="Q71" s="231"/>
      <c r="R71" s="217">
        <v>1</v>
      </c>
      <c r="S71" s="231"/>
      <c r="T71" s="217">
        <v>2</v>
      </c>
      <c r="U71" s="231"/>
      <c r="V71" s="217">
        <v>2</v>
      </c>
      <c r="W71" s="231"/>
      <c r="X71" s="217">
        <v>1</v>
      </c>
      <c r="Y71" s="231"/>
      <c r="Z71" s="232">
        <v>1</v>
      </c>
      <c r="AA71" s="657"/>
      <c r="AB71" s="318"/>
      <c r="AC71" s="658">
        <f t="shared" si="11"/>
        <v>1.4</v>
      </c>
    </row>
    <row r="72" spans="2:29" thickBot="1" x14ac:dyDescent="0.25">
      <c r="B72" s="1056" t="s">
        <v>13</v>
      </c>
      <c r="C72" s="196"/>
      <c r="D72" s="208">
        <f>SUM(D67:D71)</f>
        <v>31</v>
      </c>
      <c r="E72" s="120"/>
      <c r="F72" s="47">
        <f>SUM(F67:F71)</f>
        <v>27</v>
      </c>
      <c r="G72" s="288"/>
      <c r="H72" s="409">
        <v>28</v>
      </c>
      <c r="I72" s="396"/>
      <c r="J72" s="315">
        <f>SUM(J67:J71)</f>
        <v>30</v>
      </c>
      <c r="K72" s="288"/>
      <c r="L72" s="315">
        <f>SUM(L67:L71)</f>
        <v>30</v>
      </c>
      <c r="M72" s="288"/>
      <c r="N72" s="409">
        <f>SUM(N67:N71)</f>
        <v>32</v>
      </c>
      <c r="O72" s="396"/>
      <c r="P72" s="409">
        <f>SUM(P67:P71)</f>
        <v>30</v>
      </c>
      <c r="Q72" s="396"/>
      <c r="R72" s="409">
        <f>SUM(R67:R71)</f>
        <v>28</v>
      </c>
      <c r="S72" s="396"/>
      <c r="T72" s="409">
        <f>SUM(T67:T71)</f>
        <v>32</v>
      </c>
      <c r="U72" s="396"/>
      <c r="V72" s="409">
        <f>SUM(V67:V71)</f>
        <v>32</v>
      </c>
      <c r="W72" s="396"/>
      <c r="X72" s="409">
        <f>SUM(X67:X71)</f>
        <v>32</v>
      </c>
      <c r="Y72" s="396"/>
      <c r="Z72" s="1359">
        <f>SUM(Z67:Z71)</f>
        <v>32</v>
      </c>
      <c r="AB72" s="659"/>
      <c r="AC72" s="1028">
        <f t="shared" si="11"/>
        <v>31.2</v>
      </c>
    </row>
    <row r="73" spans="2:29" thickTop="1" x14ac:dyDescent="0.2">
      <c r="B73" s="710" t="s">
        <v>100</v>
      </c>
      <c r="C73" s="197" t="s">
        <v>97</v>
      </c>
      <c r="D73" s="198" t="s">
        <v>98</v>
      </c>
      <c r="E73" s="128" t="s">
        <v>97</v>
      </c>
      <c r="F73" s="195" t="s">
        <v>98</v>
      </c>
      <c r="G73" s="289" t="s">
        <v>97</v>
      </c>
      <c r="H73" s="441" t="s">
        <v>98</v>
      </c>
      <c r="I73" s="427" t="s">
        <v>97</v>
      </c>
      <c r="J73" s="477" t="s">
        <v>98</v>
      </c>
      <c r="K73" s="289" t="s">
        <v>97</v>
      </c>
      <c r="L73" s="477" t="s">
        <v>98</v>
      </c>
      <c r="M73" s="289" t="s">
        <v>97</v>
      </c>
      <c r="N73" s="441" t="s">
        <v>98</v>
      </c>
      <c r="O73" s="427" t="s">
        <v>97</v>
      </c>
      <c r="P73" s="441" t="s">
        <v>98</v>
      </c>
      <c r="Q73" s="427" t="s">
        <v>97</v>
      </c>
      <c r="R73" s="441" t="s">
        <v>98</v>
      </c>
      <c r="S73" s="427" t="s">
        <v>97</v>
      </c>
      <c r="T73" s="441" t="s">
        <v>98</v>
      </c>
      <c r="U73" s="427" t="s">
        <v>97</v>
      </c>
      <c r="V73" s="441" t="s">
        <v>98</v>
      </c>
      <c r="W73" s="427" t="s">
        <v>97</v>
      </c>
      <c r="X73" s="441" t="s">
        <v>98</v>
      </c>
      <c r="Y73" s="427" t="s">
        <v>97</v>
      </c>
      <c r="Z73" s="243" t="s">
        <v>98</v>
      </c>
      <c r="AB73" s="741" t="s">
        <v>97</v>
      </c>
      <c r="AC73" s="648" t="s">
        <v>98</v>
      </c>
    </row>
    <row r="74" spans="2:29" ht="12" x14ac:dyDescent="0.2">
      <c r="B74" s="42" t="s">
        <v>81</v>
      </c>
      <c r="C74" s="199">
        <v>28</v>
      </c>
      <c r="D74" s="200">
        <f t="shared" ref="D74:D81" si="12">C74/$D$72</f>
        <v>0.90322580645161288</v>
      </c>
      <c r="E74" s="125">
        <v>24</v>
      </c>
      <c r="F74" s="206">
        <f t="shared" ref="F74:F81" si="13">E74/$F$72</f>
        <v>0.88888888888888884</v>
      </c>
      <c r="G74" s="199">
        <v>24</v>
      </c>
      <c r="H74" s="372">
        <f>G74/$H$72</f>
        <v>0.8571428571428571</v>
      </c>
      <c r="I74" s="125">
        <f>18+7</f>
        <v>25</v>
      </c>
      <c r="J74" s="206">
        <f>I74/J$72</f>
        <v>0.83333333333333337</v>
      </c>
      <c r="K74" s="199">
        <v>23</v>
      </c>
      <c r="L74" s="206">
        <f>K74/L$72</f>
        <v>0.76666666666666672</v>
      </c>
      <c r="M74" s="199">
        <f>24+2</f>
        <v>26</v>
      </c>
      <c r="N74" s="372">
        <f t="shared" ref="N74:R81" si="14">M74/N$72</f>
        <v>0.8125</v>
      </c>
      <c r="O74" s="125">
        <v>24</v>
      </c>
      <c r="P74" s="372">
        <f t="shared" si="14"/>
        <v>0.8</v>
      </c>
      <c r="Q74" s="125">
        <v>8</v>
      </c>
      <c r="R74" s="372">
        <f t="shared" si="14"/>
        <v>0.2857142857142857</v>
      </c>
      <c r="S74" s="125">
        <f>22+2</f>
        <v>24</v>
      </c>
      <c r="T74" s="372">
        <f t="shared" ref="T74:T81" si="15">S74/T$72</f>
        <v>0.75</v>
      </c>
      <c r="U74" s="125">
        <v>23</v>
      </c>
      <c r="V74" s="372">
        <f t="shared" ref="V74:V81" si="16">U74/V$72</f>
        <v>0.71875</v>
      </c>
      <c r="W74" s="125">
        <f>2+19</f>
        <v>21</v>
      </c>
      <c r="X74" s="372">
        <f t="shared" ref="X74:X81" si="17">W74/X$72</f>
        <v>0.65625</v>
      </c>
      <c r="Y74" s="125">
        <v>21</v>
      </c>
      <c r="Z74" s="1397">
        <f t="shared" ref="Z74:Z81" si="18">Y74/Z$72</f>
        <v>0.65625</v>
      </c>
      <c r="AB74" s="687">
        <f t="shared" ref="AB74:AB81" si="19">AVERAGE(W74,U74,S74,Q74,Y74)</f>
        <v>19.399999999999999</v>
      </c>
      <c r="AC74" s="685">
        <f>AVERAGE(X74,V74,T74,R74,Z74)</f>
        <v>0.61339285714285707</v>
      </c>
    </row>
    <row r="75" spans="2:29" ht="12" x14ac:dyDescent="0.2">
      <c r="B75" s="1057" t="s">
        <v>82</v>
      </c>
      <c r="C75" s="199">
        <v>0</v>
      </c>
      <c r="D75" s="200">
        <f t="shared" si="12"/>
        <v>0</v>
      </c>
      <c r="E75" s="125">
        <v>0</v>
      </c>
      <c r="F75" s="206">
        <f t="shared" si="13"/>
        <v>0</v>
      </c>
      <c r="G75" s="199">
        <v>0</v>
      </c>
      <c r="H75" s="372">
        <f t="shared" ref="H75:H81" si="20">G75/$H$72</f>
        <v>0</v>
      </c>
      <c r="I75" s="125">
        <v>0</v>
      </c>
      <c r="J75" s="206">
        <f t="shared" ref="J75:L93" si="21">I75/J$72</f>
        <v>0</v>
      </c>
      <c r="K75" s="199">
        <v>0</v>
      </c>
      <c r="L75" s="206">
        <f t="shared" si="21"/>
        <v>0</v>
      </c>
      <c r="M75" s="199">
        <v>1</v>
      </c>
      <c r="N75" s="372">
        <f t="shared" si="14"/>
        <v>3.125E-2</v>
      </c>
      <c r="O75" s="125">
        <v>1</v>
      </c>
      <c r="P75" s="372">
        <f t="shared" si="14"/>
        <v>3.3333333333333333E-2</v>
      </c>
      <c r="Q75" s="125">
        <v>1</v>
      </c>
      <c r="R75" s="372">
        <f t="shared" si="14"/>
        <v>3.5714285714285712E-2</v>
      </c>
      <c r="S75" s="125">
        <f>2</f>
        <v>2</v>
      </c>
      <c r="T75" s="372">
        <f t="shared" si="15"/>
        <v>6.25E-2</v>
      </c>
      <c r="U75" s="125">
        <v>3</v>
      </c>
      <c r="V75" s="372">
        <f t="shared" si="16"/>
        <v>9.375E-2</v>
      </c>
      <c r="W75" s="125">
        <v>3</v>
      </c>
      <c r="X75" s="372">
        <f t="shared" si="17"/>
        <v>9.375E-2</v>
      </c>
      <c r="Y75" s="125">
        <v>3</v>
      </c>
      <c r="Z75" s="1397">
        <f t="shared" si="18"/>
        <v>9.375E-2</v>
      </c>
      <c r="AA75" s="657"/>
      <c r="AB75" s="687">
        <f t="shared" si="19"/>
        <v>2.4</v>
      </c>
      <c r="AC75" s="1104">
        <f t="shared" ref="AC75:AC81" si="22">AVERAGE(X75,V75,T75,R75,Z75)</f>
        <v>7.5892857142857137E-2</v>
      </c>
    </row>
    <row r="76" spans="2:29" ht="12" x14ac:dyDescent="0.2">
      <c r="B76" s="1057" t="s">
        <v>83</v>
      </c>
      <c r="C76" s="199">
        <v>0</v>
      </c>
      <c r="D76" s="200">
        <f t="shared" si="12"/>
        <v>0</v>
      </c>
      <c r="E76" s="125">
        <v>0</v>
      </c>
      <c r="F76" s="206">
        <f t="shared" si="13"/>
        <v>0</v>
      </c>
      <c r="G76" s="199">
        <v>0</v>
      </c>
      <c r="H76" s="372">
        <f t="shared" si="20"/>
        <v>0</v>
      </c>
      <c r="I76" s="125">
        <v>0</v>
      </c>
      <c r="J76" s="206">
        <f t="shared" si="21"/>
        <v>0</v>
      </c>
      <c r="K76" s="199">
        <v>0</v>
      </c>
      <c r="L76" s="206">
        <f t="shared" si="21"/>
        <v>0</v>
      </c>
      <c r="M76" s="199">
        <v>0</v>
      </c>
      <c r="N76" s="372">
        <f t="shared" si="14"/>
        <v>0</v>
      </c>
      <c r="O76" s="125">
        <v>0</v>
      </c>
      <c r="P76" s="372">
        <f t="shared" si="14"/>
        <v>0</v>
      </c>
      <c r="Q76" s="125">
        <v>0</v>
      </c>
      <c r="R76" s="372">
        <f t="shared" si="14"/>
        <v>0</v>
      </c>
      <c r="S76" s="125">
        <f>0</f>
        <v>0</v>
      </c>
      <c r="T76" s="372">
        <f t="shared" si="15"/>
        <v>0</v>
      </c>
      <c r="U76" s="125">
        <v>0</v>
      </c>
      <c r="V76" s="372">
        <f t="shared" si="16"/>
        <v>0</v>
      </c>
      <c r="W76" s="125">
        <v>0</v>
      </c>
      <c r="X76" s="372">
        <f t="shared" si="17"/>
        <v>0</v>
      </c>
      <c r="Y76" s="125">
        <v>0</v>
      </c>
      <c r="Z76" s="1397">
        <f t="shared" si="18"/>
        <v>0</v>
      </c>
      <c r="AA76" s="657"/>
      <c r="AB76" s="687">
        <f t="shared" si="19"/>
        <v>0</v>
      </c>
      <c r="AC76" s="1104">
        <f t="shared" si="22"/>
        <v>0</v>
      </c>
    </row>
    <row r="77" spans="2:29" ht="12" x14ac:dyDescent="0.2">
      <c r="B77" s="1057" t="s">
        <v>84</v>
      </c>
      <c r="C77" s="199">
        <v>1</v>
      </c>
      <c r="D77" s="200">
        <f t="shared" si="12"/>
        <v>3.2258064516129031E-2</v>
      </c>
      <c r="E77" s="125">
        <v>1</v>
      </c>
      <c r="F77" s="206">
        <f t="shared" si="13"/>
        <v>3.7037037037037035E-2</v>
      </c>
      <c r="G77" s="199">
        <v>1</v>
      </c>
      <c r="H77" s="372">
        <f t="shared" si="20"/>
        <v>3.5714285714285712E-2</v>
      </c>
      <c r="I77" s="125">
        <v>1</v>
      </c>
      <c r="J77" s="206">
        <f t="shared" si="21"/>
        <v>3.3333333333333333E-2</v>
      </c>
      <c r="K77" s="199">
        <v>1</v>
      </c>
      <c r="L77" s="206">
        <f t="shared" si="21"/>
        <v>3.3333333333333333E-2</v>
      </c>
      <c r="M77" s="199">
        <v>1</v>
      </c>
      <c r="N77" s="372">
        <f t="shared" si="14"/>
        <v>3.125E-2</v>
      </c>
      <c r="O77" s="125">
        <v>1</v>
      </c>
      <c r="P77" s="372">
        <f t="shared" si="14"/>
        <v>3.3333333333333333E-2</v>
      </c>
      <c r="Q77" s="125">
        <v>1</v>
      </c>
      <c r="R77" s="372">
        <f t="shared" si="14"/>
        <v>3.5714285714285712E-2</v>
      </c>
      <c r="S77" s="125">
        <f>1</f>
        <v>1</v>
      </c>
      <c r="T77" s="372">
        <f t="shared" si="15"/>
        <v>3.125E-2</v>
      </c>
      <c r="U77" s="125">
        <v>1</v>
      </c>
      <c r="V77" s="372">
        <f t="shared" si="16"/>
        <v>3.125E-2</v>
      </c>
      <c r="W77" s="125">
        <v>1</v>
      </c>
      <c r="X77" s="372">
        <f t="shared" si="17"/>
        <v>3.125E-2</v>
      </c>
      <c r="Y77" s="125">
        <v>1</v>
      </c>
      <c r="Z77" s="1397">
        <f t="shared" si="18"/>
        <v>3.125E-2</v>
      </c>
      <c r="AA77" s="657"/>
      <c r="AB77" s="687">
        <f t="shared" si="19"/>
        <v>1</v>
      </c>
      <c r="AC77" s="1104">
        <f t="shared" si="22"/>
        <v>3.214285714285714E-2</v>
      </c>
    </row>
    <row r="78" spans="2:29" ht="12" x14ac:dyDescent="0.2">
      <c r="B78" s="1057" t="s">
        <v>85</v>
      </c>
      <c r="C78" s="199">
        <v>1</v>
      </c>
      <c r="D78" s="200">
        <f t="shared" si="12"/>
        <v>3.2258064516129031E-2</v>
      </c>
      <c r="E78" s="125">
        <v>1</v>
      </c>
      <c r="F78" s="206">
        <f t="shared" si="13"/>
        <v>3.7037037037037035E-2</v>
      </c>
      <c r="G78" s="199">
        <v>1</v>
      </c>
      <c r="H78" s="372">
        <f t="shared" si="20"/>
        <v>3.5714285714285712E-2</v>
      </c>
      <c r="I78" s="125">
        <v>1</v>
      </c>
      <c r="J78" s="206">
        <f t="shared" si="21"/>
        <v>3.3333333333333333E-2</v>
      </c>
      <c r="K78" s="199">
        <v>1</v>
      </c>
      <c r="L78" s="206">
        <f t="shared" si="21"/>
        <v>3.3333333333333333E-2</v>
      </c>
      <c r="M78" s="359">
        <v>1</v>
      </c>
      <c r="N78" s="372">
        <f t="shared" si="14"/>
        <v>3.125E-2</v>
      </c>
      <c r="O78" s="353">
        <v>1</v>
      </c>
      <c r="P78" s="372">
        <f t="shared" si="14"/>
        <v>3.3333333333333333E-2</v>
      </c>
      <c r="Q78" s="353">
        <v>1</v>
      </c>
      <c r="R78" s="372">
        <f t="shared" si="14"/>
        <v>3.5714285714285712E-2</v>
      </c>
      <c r="S78" s="353">
        <f>3</f>
        <v>3</v>
      </c>
      <c r="T78" s="372">
        <f t="shared" si="15"/>
        <v>9.375E-2</v>
      </c>
      <c r="U78" s="353">
        <v>2</v>
      </c>
      <c r="V78" s="372">
        <f t="shared" si="16"/>
        <v>6.25E-2</v>
      </c>
      <c r="W78" s="353">
        <v>3</v>
      </c>
      <c r="X78" s="372">
        <f t="shared" si="17"/>
        <v>9.375E-2</v>
      </c>
      <c r="Y78" s="353">
        <v>3</v>
      </c>
      <c r="Z78" s="1397">
        <f t="shared" si="18"/>
        <v>9.375E-2</v>
      </c>
      <c r="AA78" s="657"/>
      <c r="AB78" s="687">
        <f t="shared" si="19"/>
        <v>2.4</v>
      </c>
      <c r="AC78" s="1104">
        <f t="shared" si="22"/>
        <v>7.5892857142857137E-2</v>
      </c>
    </row>
    <row r="79" spans="2:29" ht="12" x14ac:dyDescent="0.2">
      <c r="B79" s="1057" t="s">
        <v>86</v>
      </c>
      <c r="C79" s="199">
        <v>1</v>
      </c>
      <c r="D79" s="200">
        <f t="shared" si="12"/>
        <v>3.2258064516129031E-2</v>
      </c>
      <c r="E79" s="125">
        <v>1</v>
      </c>
      <c r="F79" s="206">
        <f t="shared" si="13"/>
        <v>3.7037037037037035E-2</v>
      </c>
      <c r="G79" s="199">
        <v>2</v>
      </c>
      <c r="H79" s="372">
        <f t="shared" si="20"/>
        <v>7.1428571428571425E-2</v>
      </c>
      <c r="I79" s="125">
        <v>3</v>
      </c>
      <c r="J79" s="206">
        <f t="shared" si="21"/>
        <v>0.1</v>
      </c>
      <c r="K79" s="199">
        <v>3</v>
      </c>
      <c r="L79" s="206">
        <f t="shared" si="21"/>
        <v>0.1</v>
      </c>
      <c r="M79" s="359">
        <v>3</v>
      </c>
      <c r="N79" s="372">
        <f t="shared" si="14"/>
        <v>9.375E-2</v>
      </c>
      <c r="O79" s="353">
        <v>3</v>
      </c>
      <c r="P79" s="372">
        <f t="shared" si="14"/>
        <v>0.1</v>
      </c>
      <c r="Q79" s="353">
        <v>2</v>
      </c>
      <c r="R79" s="372">
        <f t="shared" si="14"/>
        <v>7.1428571428571425E-2</v>
      </c>
      <c r="S79" s="353">
        <f>1</f>
        <v>1</v>
      </c>
      <c r="T79" s="372">
        <f t="shared" si="15"/>
        <v>3.125E-2</v>
      </c>
      <c r="U79" s="353">
        <v>2</v>
      </c>
      <c r="V79" s="372">
        <f t="shared" si="16"/>
        <v>6.25E-2</v>
      </c>
      <c r="W79" s="353">
        <v>2</v>
      </c>
      <c r="X79" s="372">
        <f t="shared" si="17"/>
        <v>6.25E-2</v>
      </c>
      <c r="Y79" s="353">
        <v>3</v>
      </c>
      <c r="Z79" s="1397">
        <f t="shared" si="18"/>
        <v>9.375E-2</v>
      </c>
      <c r="AA79" s="657"/>
      <c r="AB79" s="687">
        <f t="shared" si="19"/>
        <v>2</v>
      </c>
      <c r="AC79" s="1104">
        <f t="shared" si="22"/>
        <v>6.4285714285714279E-2</v>
      </c>
    </row>
    <row r="80" spans="2:29" ht="12" x14ac:dyDescent="0.2">
      <c r="B80" s="1057" t="s">
        <v>201</v>
      </c>
      <c r="C80" s="201"/>
      <c r="D80" s="200"/>
      <c r="E80" s="126"/>
      <c r="F80" s="206"/>
      <c r="G80" s="1252"/>
      <c r="H80" s="1253"/>
      <c r="I80" s="1254"/>
      <c r="J80" s="1255"/>
      <c r="K80" s="1252"/>
      <c r="L80" s="1255"/>
      <c r="M80" s="1256"/>
      <c r="N80" s="1253"/>
      <c r="O80" s="1257"/>
      <c r="P80" s="1253"/>
      <c r="Q80" s="353">
        <v>13</v>
      </c>
      <c r="R80" s="372">
        <f t="shared" si="14"/>
        <v>0.4642857142857143</v>
      </c>
      <c r="S80" s="353">
        <f>0</f>
        <v>0</v>
      </c>
      <c r="T80" s="372">
        <f t="shared" si="15"/>
        <v>0</v>
      </c>
      <c r="U80" s="353">
        <v>0</v>
      </c>
      <c r="V80" s="372">
        <f t="shared" si="16"/>
        <v>0</v>
      </c>
      <c r="W80" s="353">
        <v>0</v>
      </c>
      <c r="X80" s="372">
        <f t="shared" si="17"/>
        <v>0</v>
      </c>
      <c r="Y80" s="353">
        <v>0</v>
      </c>
      <c r="Z80" s="1397">
        <f t="shared" si="18"/>
        <v>0</v>
      </c>
      <c r="AA80" s="657"/>
      <c r="AB80" s="687">
        <f t="shared" si="19"/>
        <v>2.6</v>
      </c>
      <c r="AC80" s="1104">
        <f t="shared" si="22"/>
        <v>9.285714285714286E-2</v>
      </c>
    </row>
    <row r="81" spans="1:29" ht="12" x14ac:dyDescent="0.2">
      <c r="B81" s="1057" t="s">
        <v>87</v>
      </c>
      <c r="C81" s="201">
        <v>0</v>
      </c>
      <c r="D81" s="200">
        <f t="shared" si="12"/>
        <v>0</v>
      </c>
      <c r="E81" s="126">
        <v>0</v>
      </c>
      <c r="F81" s="206">
        <f t="shared" si="13"/>
        <v>0</v>
      </c>
      <c r="G81" s="201">
        <v>0</v>
      </c>
      <c r="H81" s="372">
        <f t="shared" si="20"/>
        <v>0</v>
      </c>
      <c r="I81" s="126">
        <v>0</v>
      </c>
      <c r="J81" s="206">
        <f t="shared" si="21"/>
        <v>0</v>
      </c>
      <c r="K81" s="201"/>
      <c r="L81" s="206">
        <f t="shared" si="21"/>
        <v>0</v>
      </c>
      <c r="M81" s="359"/>
      <c r="N81" s="372">
        <f t="shared" si="14"/>
        <v>0</v>
      </c>
      <c r="O81" s="353">
        <v>0</v>
      </c>
      <c r="P81" s="372">
        <f t="shared" si="14"/>
        <v>0</v>
      </c>
      <c r="Q81" s="353">
        <v>2</v>
      </c>
      <c r="R81" s="372">
        <f t="shared" si="14"/>
        <v>7.1428571428571425E-2</v>
      </c>
      <c r="S81" s="353">
        <f>1</f>
        <v>1</v>
      </c>
      <c r="T81" s="372">
        <f t="shared" si="15"/>
        <v>3.125E-2</v>
      </c>
      <c r="U81" s="353">
        <v>1</v>
      </c>
      <c r="V81" s="372">
        <f t="shared" si="16"/>
        <v>3.125E-2</v>
      </c>
      <c r="W81" s="353">
        <v>2</v>
      </c>
      <c r="X81" s="372">
        <f t="shared" si="17"/>
        <v>6.25E-2</v>
      </c>
      <c r="Y81" s="353">
        <v>1</v>
      </c>
      <c r="Z81" s="1397">
        <f t="shared" si="18"/>
        <v>3.125E-2</v>
      </c>
      <c r="AA81" s="657"/>
      <c r="AB81" s="687">
        <f t="shared" si="19"/>
        <v>1.4</v>
      </c>
      <c r="AC81" s="1104">
        <f t="shared" si="22"/>
        <v>4.5535714285714284E-2</v>
      </c>
    </row>
    <row r="82" spans="1:29" ht="12" x14ac:dyDescent="0.2">
      <c r="B82" s="1058" t="s">
        <v>101</v>
      </c>
      <c r="C82" s="202"/>
      <c r="D82" s="200"/>
      <c r="E82" s="164"/>
      <c r="F82" s="285"/>
      <c r="G82" s="290"/>
      <c r="H82" s="452"/>
      <c r="I82" s="164"/>
      <c r="J82" s="206"/>
      <c r="K82" s="290"/>
      <c r="L82" s="206"/>
      <c r="M82" s="290"/>
      <c r="N82" s="372"/>
      <c r="O82" s="164"/>
      <c r="P82" s="372"/>
      <c r="Q82" s="164"/>
      <c r="R82" s="372"/>
      <c r="S82" s="164"/>
      <c r="T82" s="372"/>
      <c r="U82" s="164"/>
      <c r="V82" s="372"/>
      <c r="W82" s="164"/>
      <c r="X82" s="372"/>
      <c r="Y82" s="164"/>
      <c r="Z82" s="1397"/>
      <c r="AA82" s="657"/>
      <c r="AB82" s="687"/>
      <c r="AC82" s="1104"/>
    </row>
    <row r="83" spans="1:29" ht="12" x14ac:dyDescent="0.2">
      <c r="B83" s="42" t="s">
        <v>88</v>
      </c>
      <c r="C83" s="210">
        <v>29</v>
      </c>
      <c r="D83" s="200">
        <f>C83/$D$72</f>
        <v>0.93548387096774188</v>
      </c>
      <c r="E83" s="99">
        <v>26</v>
      </c>
      <c r="F83" s="286">
        <f>E83/$F$72</f>
        <v>0.96296296296296291</v>
      </c>
      <c r="G83" s="210">
        <v>27</v>
      </c>
      <c r="H83" s="372">
        <f>G83/$H$72</f>
        <v>0.9642857142857143</v>
      </c>
      <c r="I83" s="244">
        <v>28</v>
      </c>
      <c r="J83" s="206">
        <f>I83/J$72</f>
        <v>0.93333333333333335</v>
      </c>
      <c r="K83" s="370">
        <v>28</v>
      </c>
      <c r="L83" s="206">
        <f>K83/L$72</f>
        <v>0.93333333333333335</v>
      </c>
      <c r="M83" s="210">
        <f>28+2</f>
        <v>30</v>
      </c>
      <c r="N83" s="372">
        <f>M83/N$72</f>
        <v>0.9375</v>
      </c>
      <c r="O83" s="244">
        <v>28</v>
      </c>
      <c r="P83" s="372">
        <f>O83/P$72</f>
        <v>0.93333333333333335</v>
      </c>
      <c r="Q83" s="244">
        <v>27</v>
      </c>
      <c r="R83" s="372">
        <f>Q83/R$72</f>
        <v>0.9642857142857143</v>
      </c>
      <c r="S83" s="244">
        <f>27+2</f>
        <v>29</v>
      </c>
      <c r="T83" s="372">
        <f>S83/T$72</f>
        <v>0.90625</v>
      </c>
      <c r="U83" s="244">
        <v>29</v>
      </c>
      <c r="V83" s="372">
        <f>U83/V$72</f>
        <v>0.90625</v>
      </c>
      <c r="W83" s="244">
        <f>2+27</f>
        <v>29</v>
      </c>
      <c r="X83" s="372">
        <f>W83/X$72</f>
        <v>0.90625</v>
      </c>
      <c r="Y83" s="244">
        <v>29</v>
      </c>
      <c r="Z83" s="1397">
        <f>Y83/Z$72</f>
        <v>0.90625</v>
      </c>
      <c r="AA83" s="657"/>
      <c r="AB83" s="687">
        <f t="shared" ref="AB83:AB84" si="23">AVERAGE(W83,U83,S83,Q83,Y83)</f>
        <v>28.6</v>
      </c>
      <c r="AC83" s="1104">
        <f t="shared" ref="AC83:AC84" si="24">AVERAGE(X83,V83,T83,R83,Z83)</f>
        <v>0.91785714285714293</v>
      </c>
    </row>
    <row r="84" spans="1:29" ht="12" x14ac:dyDescent="0.2">
      <c r="B84" s="42" t="s">
        <v>89</v>
      </c>
      <c r="C84" s="210">
        <v>2</v>
      </c>
      <c r="D84" s="200">
        <f>C84/$D$72</f>
        <v>6.4516129032258063E-2</v>
      </c>
      <c r="E84" s="165">
        <v>1</v>
      </c>
      <c r="F84" s="286">
        <f>E84/$F$72</f>
        <v>3.7037037037037035E-2</v>
      </c>
      <c r="G84" s="370">
        <v>1</v>
      </c>
      <c r="H84" s="372">
        <f>G84/$H$72</f>
        <v>3.5714285714285712E-2</v>
      </c>
      <c r="I84" s="428">
        <v>2</v>
      </c>
      <c r="J84" s="206">
        <f t="shared" si="21"/>
        <v>6.6666666666666666E-2</v>
      </c>
      <c r="K84" s="370">
        <v>2</v>
      </c>
      <c r="L84" s="206">
        <f t="shared" si="21"/>
        <v>6.6666666666666666E-2</v>
      </c>
      <c r="M84" s="370">
        <v>2</v>
      </c>
      <c r="N84" s="372">
        <f>M84/N$72</f>
        <v>6.25E-2</v>
      </c>
      <c r="O84" s="428">
        <v>2</v>
      </c>
      <c r="P84" s="372">
        <f>O84/P$72</f>
        <v>6.6666666666666666E-2</v>
      </c>
      <c r="Q84" s="428">
        <v>1</v>
      </c>
      <c r="R84" s="372">
        <f>Q84/R$72</f>
        <v>3.5714285714285712E-2</v>
      </c>
      <c r="S84" s="428">
        <f>3</f>
        <v>3</v>
      </c>
      <c r="T84" s="372">
        <f>S84/T$72</f>
        <v>9.375E-2</v>
      </c>
      <c r="U84" s="428">
        <v>3</v>
      </c>
      <c r="V84" s="372">
        <f>U84/V$72</f>
        <v>9.375E-2</v>
      </c>
      <c r="W84" s="428">
        <v>3</v>
      </c>
      <c r="X84" s="372">
        <f>W84/X$72</f>
        <v>9.375E-2</v>
      </c>
      <c r="Y84" s="428">
        <v>3</v>
      </c>
      <c r="Z84" s="1397">
        <f>Y84/Z$72</f>
        <v>9.375E-2</v>
      </c>
      <c r="AA84" s="657"/>
      <c r="AB84" s="687">
        <f t="shared" si="23"/>
        <v>2.6</v>
      </c>
      <c r="AC84" s="1104">
        <f t="shared" si="24"/>
        <v>8.2142857142857142E-2</v>
      </c>
    </row>
    <row r="85" spans="1:29" ht="12" x14ac:dyDescent="0.2">
      <c r="B85" s="1058" t="s">
        <v>102</v>
      </c>
      <c r="C85" s="203"/>
      <c r="D85" s="200"/>
      <c r="E85" s="166"/>
      <c r="F85" s="286"/>
      <c r="G85" s="291"/>
      <c r="H85" s="372"/>
      <c r="I85" s="429"/>
      <c r="J85" s="206"/>
      <c r="K85" s="291"/>
      <c r="L85" s="206"/>
      <c r="M85" s="291"/>
      <c r="N85" s="372"/>
      <c r="O85" s="429"/>
      <c r="P85" s="372"/>
      <c r="Q85" s="429"/>
      <c r="R85" s="372"/>
      <c r="S85" s="429"/>
      <c r="T85" s="372"/>
      <c r="U85" s="429"/>
      <c r="V85" s="372"/>
      <c r="W85" s="429"/>
      <c r="X85" s="372"/>
      <c r="Y85" s="429"/>
      <c r="Z85" s="1397"/>
      <c r="AA85" s="657"/>
      <c r="AB85" s="687"/>
      <c r="AC85" s="1104"/>
    </row>
    <row r="86" spans="1:29" ht="12" x14ac:dyDescent="0.2">
      <c r="B86" s="42" t="s">
        <v>90</v>
      </c>
      <c r="C86" s="209">
        <v>24</v>
      </c>
      <c r="D86" s="200">
        <f>C86/$D$72</f>
        <v>0.77419354838709675</v>
      </c>
      <c r="E86" s="165">
        <v>22</v>
      </c>
      <c r="F86" s="286">
        <f>E86/$F$72</f>
        <v>0.81481481481481477</v>
      </c>
      <c r="G86" s="370">
        <v>21</v>
      </c>
      <c r="H86" s="372">
        <f>G86/$H$72</f>
        <v>0.75</v>
      </c>
      <c r="I86" s="428">
        <v>23</v>
      </c>
      <c r="J86" s="206">
        <f t="shared" si="21"/>
        <v>0.76666666666666672</v>
      </c>
      <c r="K86" s="370">
        <v>23</v>
      </c>
      <c r="L86" s="206">
        <f t="shared" si="21"/>
        <v>0.76666666666666672</v>
      </c>
      <c r="M86" s="370">
        <f>21+2</f>
        <v>23</v>
      </c>
      <c r="N86" s="372">
        <f>M86/N$72</f>
        <v>0.71875</v>
      </c>
      <c r="O86" s="428">
        <v>20</v>
      </c>
      <c r="P86" s="372">
        <f>O86/P$72</f>
        <v>0.66666666666666663</v>
      </c>
      <c r="Q86" s="428">
        <v>20</v>
      </c>
      <c r="R86" s="372">
        <f>Q86/R$72</f>
        <v>0.7142857142857143</v>
      </c>
      <c r="S86" s="428">
        <f>21+1</f>
        <v>22</v>
      </c>
      <c r="T86" s="372">
        <f>S86/T$72</f>
        <v>0.6875</v>
      </c>
      <c r="U86" s="428">
        <v>23</v>
      </c>
      <c r="V86" s="372">
        <f>U86/V$72</f>
        <v>0.71875</v>
      </c>
      <c r="W86" s="428">
        <f>1+21</f>
        <v>22</v>
      </c>
      <c r="X86" s="372">
        <f>W86/X$72</f>
        <v>0.6875</v>
      </c>
      <c r="Y86" s="428">
        <v>20</v>
      </c>
      <c r="Z86" s="1397">
        <f>Y86/Z$72</f>
        <v>0.625</v>
      </c>
      <c r="AA86" s="657"/>
      <c r="AB86" s="687">
        <f t="shared" ref="AB86:AB88" si="25">AVERAGE(W86,U86,S86,Q86,Y86)</f>
        <v>21.4</v>
      </c>
      <c r="AC86" s="1104">
        <f t="shared" ref="AC86:AC88" si="26">AVERAGE(X86,V86,T86,R86,Z86)</f>
        <v>0.68660714285714286</v>
      </c>
    </row>
    <row r="87" spans="1:29" ht="12" x14ac:dyDescent="0.2">
      <c r="B87" s="42" t="s">
        <v>91</v>
      </c>
      <c r="C87" s="209">
        <v>3</v>
      </c>
      <c r="D87" s="200">
        <f>C87/$D$72</f>
        <v>9.6774193548387094E-2</v>
      </c>
      <c r="E87" s="165">
        <v>3</v>
      </c>
      <c r="F87" s="286">
        <f>E87/$F$72</f>
        <v>0.1111111111111111</v>
      </c>
      <c r="G87" s="370">
        <v>4</v>
      </c>
      <c r="H87" s="372">
        <f>G87/$H$72</f>
        <v>0.14285714285714285</v>
      </c>
      <c r="I87" s="428">
        <v>2</v>
      </c>
      <c r="J87" s="206">
        <f t="shared" si="21"/>
        <v>6.6666666666666666E-2</v>
      </c>
      <c r="K87" s="370">
        <v>3</v>
      </c>
      <c r="L87" s="206">
        <f t="shared" si="21"/>
        <v>0.1</v>
      </c>
      <c r="M87" s="370">
        <v>4</v>
      </c>
      <c r="N87" s="372">
        <f>M87/N$72</f>
        <v>0.125</v>
      </c>
      <c r="O87" s="428">
        <v>4</v>
      </c>
      <c r="P87" s="372">
        <f>O87/P$72</f>
        <v>0.13333333333333333</v>
      </c>
      <c r="Q87" s="428">
        <v>3</v>
      </c>
      <c r="R87" s="372">
        <f>Q87/R$72</f>
        <v>0.10714285714285714</v>
      </c>
      <c r="S87" s="428">
        <f>4</f>
        <v>4</v>
      </c>
      <c r="T87" s="372">
        <f>S87/T$72</f>
        <v>0.125</v>
      </c>
      <c r="U87" s="428">
        <v>3</v>
      </c>
      <c r="V87" s="372">
        <f>U87/V$72</f>
        <v>9.375E-2</v>
      </c>
      <c r="W87" s="428">
        <v>4</v>
      </c>
      <c r="X87" s="372">
        <f>W87/X$72</f>
        <v>0.125</v>
      </c>
      <c r="Y87" s="428">
        <v>5</v>
      </c>
      <c r="Z87" s="1397">
        <f>Y87/Z$72</f>
        <v>0.15625</v>
      </c>
      <c r="AA87" s="657"/>
      <c r="AB87" s="687">
        <f t="shared" si="25"/>
        <v>3.8</v>
      </c>
      <c r="AC87" s="1104">
        <f t="shared" si="26"/>
        <v>0.12142857142857144</v>
      </c>
    </row>
    <row r="88" spans="1:29" ht="12" x14ac:dyDescent="0.2">
      <c r="B88" s="42" t="s">
        <v>92</v>
      </c>
      <c r="C88" s="209">
        <v>4</v>
      </c>
      <c r="D88" s="200">
        <f>C88/$D$72</f>
        <v>0.12903225806451613</v>
      </c>
      <c r="E88" s="165">
        <v>2</v>
      </c>
      <c r="F88" s="286">
        <f>E88/$F$72</f>
        <v>7.407407407407407E-2</v>
      </c>
      <c r="G88" s="370">
        <v>3</v>
      </c>
      <c r="H88" s="372">
        <f>G88/$H$72</f>
        <v>0.10714285714285714</v>
      </c>
      <c r="I88" s="428">
        <v>5</v>
      </c>
      <c r="J88" s="206">
        <f t="shared" si="21"/>
        <v>0.16666666666666666</v>
      </c>
      <c r="K88" s="370">
        <v>4</v>
      </c>
      <c r="L88" s="206">
        <f t="shared" si="21"/>
        <v>0.13333333333333333</v>
      </c>
      <c r="M88" s="370">
        <v>5</v>
      </c>
      <c r="N88" s="372">
        <f>M88/N$72</f>
        <v>0.15625</v>
      </c>
      <c r="O88" s="428">
        <v>6</v>
      </c>
      <c r="P88" s="372">
        <f>O88/P$72</f>
        <v>0.2</v>
      </c>
      <c r="Q88" s="428">
        <v>5</v>
      </c>
      <c r="R88" s="372">
        <f>Q88/R$72</f>
        <v>0.17857142857142858</v>
      </c>
      <c r="S88" s="428">
        <f>5+1</f>
        <v>6</v>
      </c>
      <c r="T88" s="372">
        <f>S88/T$72</f>
        <v>0.1875</v>
      </c>
      <c r="U88" s="428">
        <v>6</v>
      </c>
      <c r="V88" s="372">
        <f>U88/V$72</f>
        <v>0.1875</v>
      </c>
      <c r="W88" s="428">
        <f>1+5</f>
        <v>6</v>
      </c>
      <c r="X88" s="372">
        <f>W88/X$72</f>
        <v>0.1875</v>
      </c>
      <c r="Y88" s="428">
        <v>7</v>
      </c>
      <c r="Z88" s="1397">
        <f>Y88/Z$72</f>
        <v>0.21875</v>
      </c>
      <c r="AA88" s="657"/>
      <c r="AB88" s="687">
        <f t="shared" si="25"/>
        <v>6</v>
      </c>
      <c r="AC88" s="1104">
        <f t="shared" si="26"/>
        <v>0.19196428571428573</v>
      </c>
    </row>
    <row r="89" spans="1:29" ht="12" x14ac:dyDescent="0.2">
      <c r="B89" s="1058" t="s">
        <v>103</v>
      </c>
      <c r="C89" s="203"/>
      <c r="D89" s="200"/>
      <c r="E89" s="166"/>
      <c r="F89" s="286"/>
      <c r="G89" s="291"/>
      <c r="H89" s="372"/>
      <c r="I89" s="429"/>
      <c r="J89" s="206"/>
      <c r="K89" s="291"/>
      <c r="L89" s="206"/>
      <c r="M89" s="291"/>
      <c r="N89" s="372"/>
      <c r="O89" s="429"/>
      <c r="P89" s="372"/>
      <c r="Q89" s="429"/>
      <c r="R89" s="372"/>
      <c r="S89" s="429"/>
      <c r="T89" s="372"/>
      <c r="U89" s="429"/>
      <c r="V89" s="372"/>
      <c r="W89" s="429"/>
      <c r="X89" s="372"/>
      <c r="Y89" s="429"/>
      <c r="Z89" s="1397"/>
      <c r="AA89" s="657"/>
      <c r="AB89" s="687"/>
      <c r="AC89" s="1104"/>
    </row>
    <row r="90" spans="1:29" ht="12" x14ac:dyDescent="0.2">
      <c r="B90" s="42" t="s">
        <v>93</v>
      </c>
      <c r="C90" s="209">
        <v>30</v>
      </c>
      <c r="D90" s="200">
        <f>C90/$D$72</f>
        <v>0.967741935483871</v>
      </c>
      <c r="E90" s="165">
        <v>27</v>
      </c>
      <c r="F90" s="286">
        <f>E90/$F$72</f>
        <v>1</v>
      </c>
      <c r="G90" s="370">
        <v>28</v>
      </c>
      <c r="H90" s="372">
        <f>G90/$H$72</f>
        <v>1</v>
      </c>
      <c r="I90" s="428">
        <v>30</v>
      </c>
      <c r="J90" s="206">
        <f t="shared" si="21"/>
        <v>1</v>
      </c>
      <c r="K90" s="370">
        <v>30</v>
      </c>
      <c r="L90" s="206">
        <f t="shared" si="21"/>
        <v>1</v>
      </c>
      <c r="M90" s="370">
        <f>30+2</f>
        <v>32</v>
      </c>
      <c r="N90" s="372">
        <f>M90/N$72</f>
        <v>1</v>
      </c>
      <c r="O90" s="428">
        <v>30</v>
      </c>
      <c r="P90" s="372">
        <f>O90/P$72</f>
        <v>1</v>
      </c>
      <c r="Q90" s="428">
        <v>28</v>
      </c>
      <c r="R90" s="372">
        <f>Q90/R$72</f>
        <v>1</v>
      </c>
      <c r="S90" s="428">
        <f>30+2</f>
        <v>32</v>
      </c>
      <c r="T90" s="372">
        <f>S90/T$72</f>
        <v>1</v>
      </c>
      <c r="U90" s="428">
        <v>32</v>
      </c>
      <c r="V90" s="372">
        <f>U90/V$72</f>
        <v>1</v>
      </c>
      <c r="W90" s="428">
        <f>2+30</f>
        <v>32</v>
      </c>
      <c r="X90" s="372">
        <f>W90/X$72</f>
        <v>1</v>
      </c>
      <c r="Y90" s="428">
        <v>31</v>
      </c>
      <c r="Z90" s="1397">
        <f>Y90/Z$72</f>
        <v>0.96875</v>
      </c>
      <c r="AA90" s="657"/>
      <c r="AB90" s="687">
        <f t="shared" ref="AB90:AB93" si="27">AVERAGE(W90,U90,S90,Q90,Y90)</f>
        <v>31</v>
      </c>
      <c r="AC90" s="1104">
        <f t="shared" ref="AC90:AC93" si="28">AVERAGE(X90,V90,T90,R90,Z90)</f>
        <v>0.99375000000000002</v>
      </c>
    </row>
    <row r="91" spans="1:29" ht="12" x14ac:dyDescent="0.2">
      <c r="B91" s="42" t="s">
        <v>94</v>
      </c>
      <c r="C91" s="209">
        <v>1</v>
      </c>
      <c r="D91" s="200">
        <f>C91/$D$72</f>
        <v>3.2258064516129031E-2</v>
      </c>
      <c r="E91" s="165">
        <v>0</v>
      </c>
      <c r="F91" s="286">
        <f>E91/$F$72</f>
        <v>0</v>
      </c>
      <c r="G91" s="370">
        <v>0</v>
      </c>
      <c r="H91" s="372">
        <f>G91/$H$72</f>
        <v>0</v>
      </c>
      <c r="I91" s="428">
        <v>0</v>
      </c>
      <c r="J91" s="206">
        <f t="shared" si="21"/>
        <v>0</v>
      </c>
      <c r="K91" s="370">
        <v>0</v>
      </c>
      <c r="L91" s="206">
        <f t="shared" si="21"/>
        <v>0</v>
      </c>
      <c r="M91" s="370">
        <v>0</v>
      </c>
      <c r="N91" s="372">
        <f>M91/N$72</f>
        <v>0</v>
      </c>
      <c r="O91" s="428">
        <v>0</v>
      </c>
      <c r="P91" s="372">
        <f>O91/P$72</f>
        <v>0</v>
      </c>
      <c r="Q91" s="428">
        <v>0</v>
      </c>
      <c r="R91" s="372">
        <f>Q91/R$72</f>
        <v>0</v>
      </c>
      <c r="S91" s="428">
        <f>0</f>
        <v>0</v>
      </c>
      <c r="T91" s="372">
        <f>S91/T$72</f>
        <v>0</v>
      </c>
      <c r="U91" s="428">
        <v>0</v>
      </c>
      <c r="V91" s="372">
        <f>U91/V$72</f>
        <v>0</v>
      </c>
      <c r="W91" s="428">
        <v>0</v>
      </c>
      <c r="X91" s="372">
        <f>W91/X$72</f>
        <v>0</v>
      </c>
      <c r="Y91" s="428">
        <v>1</v>
      </c>
      <c r="Z91" s="1397">
        <f>Y91/Z$72</f>
        <v>3.125E-2</v>
      </c>
      <c r="AA91" s="657"/>
      <c r="AB91" s="687">
        <f t="shared" si="27"/>
        <v>0.2</v>
      </c>
      <c r="AC91" s="1104">
        <f t="shared" si="28"/>
        <v>6.2500000000000003E-3</v>
      </c>
    </row>
    <row r="92" spans="1:29" ht="12" x14ac:dyDescent="0.2">
      <c r="B92" s="42" t="s">
        <v>95</v>
      </c>
      <c r="C92" s="209">
        <v>0</v>
      </c>
      <c r="D92" s="200">
        <f>C92/$D$72</f>
        <v>0</v>
      </c>
      <c r="E92" s="165">
        <v>0</v>
      </c>
      <c r="F92" s="286">
        <f>E92/$F$72</f>
        <v>0</v>
      </c>
      <c r="G92" s="370">
        <v>0</v>
      </c>
      <c r="H92" s="372">
        <f>G92/$H$72</f>
        <v>0</v>
      </c>
      <c r="I92" s="428">
        <v>0</v>
      </c>
      <c r="J92" s="206">
        <f t="shared" si="21"/>
        <v>0</v>
      </c>
      <c r="K92" s="370">
        <v>0</v>
      </c>
      <c r="L92" s="206">
        <f t="shared" si="21"/>
        <v>0</v>
      </c>
      <c r="M92" s="370">
        <v>0</v>
      </c>
      <c r="N92" s="372">
        <f>M92/N$72</f>
        <v>0</v>
      </c>
      <c r="O92" s="428">
        <v>0</v>
      </c>
      <c r="P92" s="372">
        <f>O92/P$72</f>
        <v>0</v>
      </c>
      <c r="Q92" s="428">
        <v>0</v>
      </c>
      <c r="R92" s="372">
        <f>Q92/R$72</f>
        <v>0</v>
      </c>
      <c r="S92" s="428">
        <f>0</f>
        <v>0</v>
      </c>
      <c r="T92" s="372">
        <f>S92/T$72</f>
        <v>0</v>
      </c>
      <c r="U92" s="428">
        <v>0</v>
      </c>
      <c r="V92" s="372">
        <f>U92/V$72</f>
        <v>0</v>
      </c>
      <c r="W92" s="428">
        <v>0</v>
      </c>
      <c r="X92" s="372">
        <f>W92/X$72</f>
        <v>0</v>
      </c>
      <c r="Y92" s="428">
        <v>0</v>
      </c>
      <c r="Z92" s="1397">
        <f>Y92/Z$72</f>
        <v>0</v>
      </c>
      <c r="AA92" s="657"/>
      <c r="AB92" s="687">
        <f t="shared" si="27"/>
        <v>0</v>
      </c>
      <c r="AC92" s="1104">
        <f t="shared" si="28"/>
        <v>0</v>
      </c>
    </row>
    <row r="93" spans="1:29" thickBot="1" x14ac:dyDescent="0.25">
      <c r="B93" s="682" t="s">
        <v>96</v>
      </c>
      <c r="C93" s="204">
        <v>0</v>
      </c>
      <c r="D93" s="205">
        <f>C93/$D$72</f>
        <v>0</v>
      </c>
      <c r="E93" s="167">
        <v>0</v>
      </c>
      <c r="F93" s="287">
        <f>E93/$F$72</f>
        <v>0</v>
      </c>
      <c r="G93" s="371">
        <v>0</v>
      </c>
      <c r="H93" s="453">
        <f>G93/$H$72</f>
        <v>0</v>
      </c>
      <c r="I93" s="430">
        <v>0</v>
      </c>
      <c r="J93" s="207">
        <f t="shared" si="21"/>
        <v>0</v>
      </c>
      <c r="K93" s="371">
        <v>0</v>
      </c>
      <c r="L93" s="207">
        <f t="shared" si="21"/>
        <v>0</v>
      </c>
      <c r="M93" s="371">
        <v>0</v>
      </c>
      <c r="N93" s="453">
        <f>M93/N$72</f>
        <v>0</v>
      </c>
      <c r="O93" s="430">
        <v>0</v>
      </c>
      <c r="P93" s="453">
        <f>O93/P$72</f>
        <v>0</v>
      </c>
      <c r="Q93" s="430">
        <v>0</v>
      </c>
      <c r="R93" s="453">
        <f>Q93/R$72</f>
        <v>0</v>
      </c>
      <c r="S93" s="430">
        <f>0</f>
        <v>0</v>
      </c>
      <c r="T93" s="453">
        <f>S93/T$72</f>
        <v>0</v>
      </c>
      <c r="U93" s="430">
        <v>0</v>
      </c>
      <c r="V93" s="453">
        <f>U93/V$72</f>
        <v>0</v>
      </c>
      <c r="W93" s="430">
        <v>0</v>
      </c>
      <c r="X93" s="453">
        <f>W93/X$72</f>
        <v>0</v>
      </c>
      <c r="Y93" s="430">
        <v>0</v>
      </c>
      <c r="Z93" s="1398">
        <f>Y93/Z$72</f>
        <v>0</v>
      </c>
      <c r="AA93" s="657"/>
      <c r="AB93" s="761">
        <f t="shared" si="27"/>
        <v>0</v>
      </c>
      <c r="AC93" s="686">
        <f t="shared" si="28"/>
        <v>0</v>
      </c>
    </row>
    <row r="94" spans="1:29" thickTop="1" x14ac:dyDescent="0.2">
      <c r="A94" s="652"/>
      <c r="B94" s="669" t="s">
        <v>131</v>
      </c>
      <c r="C94" s="52"/>
      <c r="D94" s="671"/>
      <c r="E94" s="672"/>
      <c r="F94" s="670"/>
      <c r="G94" s="672"/>
      <c r="H94" s="670"/>
      <c r="I94" s="672"/>
      <c r="J94" s="670"/>
      <c r="K94" s="672"/>
      <c r="L94" s="670"/>
      <c r="M94" s="705"/>
      <c r="N94" s="1025"/>
      <c r="O94" s="705"/>
      <c r="P94" s="1025"/>
      <c r="Q94" s="705"/>
      <c r="R94" s="1333"/>
      <c r="S94" s="705"/>
      <c r="T94" s="1333"/>
      <c r="U94" s="705"/>
      <c r="V94" s="1333"/>
      <c r="W94" s="705"/>
      <c r="X94" s="1333"/>
      <c r="Y94" s="705"/>
      <c r="Z94" s="1251"/>
      <c r="AA94" s="652"/>
      <c r="AC94" s="652"/>
    </row>
    <row r="95" spans="1:29" ht="12" x14ac:dyDescent="0.2">
      <c r="A95" s="652"/>
      <c r="B95" s="676"/>
      <c r="C95" s="101" t="s">
        <v>97</v>
      </c>
      <c r="D95" s="677" t="s">
        <v>17</v>
      </c>
      <c r="E95" s="101" t="s">
        <v>97</v>
      </c>
      <c r="F95" s="677" t="s">
        <v>17</v>
      </c>
      <c r="G95" s="101" t="s">
        <v>97</v>
      </c>
      <c r="H95" s="677" t="s">
        <v>17</v>
      </c>
      <c r="I95" s="101" t="s">
        <v>97</v>
      </c>
      <c r="J95" s="677" t="s">
        <v>17</v>
      </c>
      <c r="K95" s="101" t="s">
        <v>97</v>
      </c>
      <c r="L95" s="677" t="s">
        <v>17</v>
      </c>
      <c r="M95" s="101" t="s">
        <v>97</v>
      </c>
      <c r="N95" s="677" t="s">
        <v>17</v>
      </c>
      <c r="O95" s="101" t="s">
        <v>97</v>
      </c>
      <c r="P95" s="677" t="s">
        <v>17</v>
      </c>
      <c r="Q95" s="253" t="s">
        <v>97</v>
      </c>
      <c r="R95" s="677" t="s">
        <v>17</v>
      </c>
      <c r="S95" s="253" t="s">
        <v>97</v>
      </c>
      <c r="T95" s="677" t="s">
        <v>17</v>
      </c>
      <c r="U95" s="253" t="s">
        <v>97</v>
      </c>
      <c r="V95" s="677" t="s">
        <v>17</v>
      </c>
      <c r="W95" s="253" t="s">
        <v>97</v>
      </c>
      <c r="X95" s="677" t="s">
        <v>17</v>
      </c>
      <c r="Y95" s="253" t="s">
        <v>97</v>
      </c>
      <c r="Z95" s="684" t="s">
        <v>17</v>
      </c>
      <c r="AA95" s="657"/>
      <c r="AB95" s="101" t="s">
        <v>97</v>
      </c>
      <c r="AC95" s="678" t="s">
        <v>17</v>
      </c>
    </row>
    <row r="96" spans="1:29" ht="12" x14ac:dyDescent="0.2">
      <c r="A96" s="652"/>
      <c r="B96" s="680" t="s">
        <v>132</v>
      </c>
      <c r="C96" s="101">
        <v>43</v>
      </c>
      <c r="D96" s="899">
        <v>20.6</v>
      </c>
      <c r="E96" s="253">
        <v>32</v>
      </c>
      <c r="F96" s="706">
        <v>15.4</v>
      </c>
      <c r="G96" s="253">
        <v>35</v>
      </c>
      <c r="H96" s="706">
        <v>15.4</v>
      </c>
      <c r="I96" s="253">
        <v>31</v>
      </c>
      <c r="J96" s="841">
        <v>13.75</v>
      </c>
      <c r="K96" s="101">
        <v>32</v>
      </c>
      <c r="L96" s="841">
        <v>14.5</v>
      </c>
      <c r="M96" s="840">
        <v>26</v>
      </c>
      <c r="N96" s="1360">
        <v>11.5</v>
      </c>
      <c r="O96" s="840">
        <v>35</v>
      </c>
      <c r="P96" s="1360">
        <v>17</v>
      </c>
      <c r="Q96" s="840">
        <v>32</v>
      </c>
      <c r="R96" s="1362">
        <v>15.5</v>
      </c>
      <c r="S96" s="840">
        <v>26</v>
      </c>
      <c r="T96" s="1362">
        <v>12.5</v>
      </c>
      <c r="U96" s="840">
        <v>24</v>
      </c>
      <c r="V96" s="1362">
        <v>11</v>
      </c>
      <c r="W96" s="840">
        <v>30</v>
      </c>
      <c r="X96" s="1362">
        <v>13.25</v>
      </c>
      <c r="Y96" s="840">
        <v>31</v>
      </c>
      <c r="Z96" s="1405">
        <v>13.5</v>
      </c>
      <c r="AA96" s="901"/>
      <c r="AB96" s="877">
        <f t="shared" ref="AB96:AB98" si="29">AVERAGE(W96,U96,S96,Q96,Y96)</f>
        <v>28.6</v>
      </c>
      <c r="AC96" s="903">
        <f t="shared" ref="AC96:AC98" si="30">AVERAGE(X96,V96,T96,R96,Z96)</f>
        <v>13.15</v>
      </c>
    </row>
    <row r="97" spans="1:30" ht="12" x14ac:dyDescent="0.2">
      <c r="A97" s="652"/>
      <c r="B97" s="680" t="s">
        <v>133</v>
      </c>
      <c r="C97" s="101">
        <v>5</v>
      </c>
      <c r="D97" s="899">
        <v>1.3</v>
      </c>
      <c r="E97" s="253">
        <v>4</v>
      </c>
      <c r="F97" s="706">
        <v>1.5</v>
      </c>
      <c r="G97" s="253">
        <v>7</v>
      </c>
      <c r="H97" s="706">
        <v>2</v>
      </c>
      <c r="I97" s="253">
        <v>6</v>
      </c>
      <c r="J97" s="841">
        <v>1.5</v>
      </c>
      <c r="K97" s="101">
        <v>6</v>
      </c>
      <c r="L97" s="841">
        <v>1.5</v>
      </c>
      <c r="M97" s="840">
        <v>6</v>
      </c>
      <c r="N97" s="1360">
        <v>1.5</v>
      </c>
      <c r="O97" s="840">
        <v>5</v>
      </c>
      <c r="P97" s="1360">
        <v>2</v>
      </c>
      <c r="Q97" s="840">
        <v>3</v>
      </c>
      <c r="R97" s="1362">
        <v>1</v>
      </c>
      <c r="S97" s="840">
        <v>4</v>
      </c>
      <c r="T97" s="1362">
        <v>1.5</v>
      </c>
      <c r="U97" s="840">
        <v>6</v>
      </c>
      <c r="V97" s="1362">
        <v>2</v>
      </c>
      <c r="W97" s="840">
        <v>8</v>
      </c>
      <c r="X97" s="1362">
        <v>2.25</v>
      </c>
      <c r="Y97" s="840">
        <v>9</v>
      </c>
      <c r="Z97" s="1405">
        <v>2.8</v>
      </c>
      <c r="AA97" s="901"/>
      <c r="AB97" s="877">
        <f t="shared" si="29"/>
        <v>6</v>
      </c>
      <c r="AC97" s="903">
        <f t="shared" si="30"/>
        <v>1.9100000000000001</v>
      </c>
    </row>
    <row r="98" spans="1:30" thickBot="1" x14ac:dyDescent="0.25">
      <c r="A98" s="652"/>
      <c r="B98" s="682" t="s">
        <v>158</v>
      </c>
      <c r="C98" s="683">
        <v>0</v>
      </c>
      <c r="D98" s="902">
        <v>0</v>
      </c>
      <c r="E98" s="878">
        <v>0</v>
      </c>
      <c r="F98" s="707">
        <v>0</v>
      </c>
      <c r="G98" s="878">
        <v>0</v>
      </c>
      <c r="H98" s="707">
        <v>0</v>
      </c>
      <c r="I98" s="878">
        <v>0</v>
      </c>
      <c r="J98" s="842">
        <v>0</v>
      </c>
      <c r="K98" s="683">
        <v>0</v>
      </c>
      <c r="L98" s="842">
        <v>0</v>
      </c>
      <c r="M98" s="843">
        <v>0</v>
      </c>
      <c r="N98" s="1361">
        <v>0</v>
      </c>
      <c r="O98" s="843">
        <v>0</v>
      </c>
      <c r="P98" s="1361">
        <v>0</v>
      </c>
      <c r="Q98" s="840">
        <v>0</v>
      </c>
      <c r="R98" s="1362">
        <v>0</v>
      </c>
      <c r="S98" s="840">
        <v>0</v>
      </c>
      <c r="T98" s="1362">
        <v>0</v>
      </c>
      <c r="U98" s="840">
        <v>0</v>
      </c>
      <c r="V98" s="1362">
        <v>0</v>
      </c>
      <c r="W98" s="840">
        <v>0</v>
      </c>
      <c r="X98" s="1448">
        <v>0</v>
      </c>
      <c r="Y98" s="840">
        <v>0</v>
      </c>
      <c r="Z98" s="1405">
        <v>0</v>
      </c>
      <c r="AA98" s="901"/>
      <c r="AB98" s="877">
        <f t="shared" si="29"/>
        <v>0</v>
      </c>
      <c r="AC98" s="903">
        <f t="shared" si="30"/>
        <v>0</v>
      </c>
      <c r="AD98" s="24"/>
    </row>
    <row r="99" spans="1:30" ht="17.25" thickTop="1" thickBot="1" x14ac:dyDescent="0.3">
      <c r="A99" s="708"/>
      <c r="B99" s="709"/>
      <c r="C99" s="1477" t="s">
        <v>35</v>
      </c>
      <c r="D99" s="1482"/>
      <c r="E99" s="1477" t="s">
        <v>36</v>
      </c>
      <c r="F99" s="1482"/>
      <c r="G99" s="1479" t="s">
        <v>122</v>
      </c>
      <c r="H99" s="1487"/>
      <c r="I99" s="1479" t="s">
        <v>123</v>
      </c>
      <c r="J99" s="1487"/>
      <c r="K99" s="1479" t="s">
        <v>148</v>
      </c>
      <c r="L99" s="1487"/>
      <c r="M99" s="1488" t="s">
        <v>149</v>
      </c>
      <c r="N99" s="1484"/>
      <c r="O99" s="1483" t="s">
        <v>175</v>
      </c>
      <c r="P99" s="1484"/>
      <c r="Q99" s="1488" t="s">
        <v>194</v>
      </c>
      <c r="R99" s="1484"/>
      <c r="S99" s="1483" t="s">
        <v>219</v>
      </c>
      <c r="T99" s="1484"/>
      <c r="U99" s="1483" t="s">
        <v>222</v>
      </c>
      <c r="V99" s="1484"/>
      <c r="W99" s="1483" t="s">
        <v>233</v>
      </c>
      <c r="X99" s="1484"/>
      <c r="Y99" s="1483" t="s">
        <v>242</v>
      </c>
      <c r="Z99" s="1489"/>
      <c r="AA99" s="663"/>
      <c r="AB99" s="1485"/>
      <c r="AC99" s="1486"/>
      <c r="AD99" s="15"/>
    </row>
    <row r="100" spans="1:30" x14ac:dyDescent="0.2">
      <c r="B100" s="710" t="s">
        <v>157</v>
      </c>
      <c r="C100" s="1"/>
      <c r="D100" s="711"/>
      <c r="E100" s="712"/>
      <c r="F100" s="713"/>
      <c r="G100" s="714"/>
      <c r="H100" s="715"/>
      <c r="I100" s="716"/>
      <c r="J100" s="717"/>
      <c r="K100" s="655"/>
      <c r="L100" s="718"/>
      <c r="M100" s="655"/>
      <c r="N100" s="722"/>
      <c r="O100" s="222"/>
      <c r="P100" s="1187"/>
      <c r="Q100" s="655"/>
      <c r="R100" s="722"/>
      <c r="S100" s="655"/>
      <c r="T100" s="722"/>
      <c r="U100" s="222"/>
      <c r="V100" s="1425"/>
      <c r="W100" s="655"/>
      <c r="X100" s="722"/>
      <c r="Y100" s="655"/>
      <c r="Z100" s="1184"/>
      <c r="AA100" s="24"/>
      <c r="AB100" s="24"/>
      <c r="AC100" s="24"/>
      <c r="AD100" s="15"/>
    </row>
    <row r="101" spans="1:30" ht="12" x14ac:dyDescent="0.2">
      <c r="A101" s="652"/>
      <c r="B101" s="1059" t="s">
        <v>138</v>
      </c>
      <c r="C101" s="1461">
        <v>9.3699999999999992</v>
      </c>
      <c r="D101" s="1462"/>
      <c r="E101" s="720"/>
      <c r="F101" s="721"/>
      <c r="G101" s="655"/>
      <c r="H101" s="722"/>
      <c r="I101" s="1461">
        <v>8.42</v>
      </c>
      <c r="J101" s="1462"/>
      <c r="K101" s="723"/>
      <c r="L101" s="724"/>
      <c r="M101" s="723"/>
      <c r="N101" s="722"/>
      <c r="O101" s="235"/>
      <c r="P101" s="1233">
        <v>8.57</v>
      </c>
      <c r="Q101" s="723"/>
      <c r="R101" s="722"/>
      <c r="S101" s="723"/>
      <c r="T101" s="722"/>
      <c r="U101" s="235"/>
      <c r="V101" s="1233">
        <v>7.33</v>
      </c>
      <c r="W101" s="723"/>
      <c r="X101" s="722"/>
      <c r="Y101" s="723"/>
      <c r="Z101" s="1184"/>
      <c r="AA101" s="24"/>
      <c r="AB101" s="24"/>
      <c r="AC101" s="1215"/>
      <c r="AD101" s="15"/>
    </row>
    <row r="102" spans="1:30" ht="12" x14ac:dyDescent="0.2">
      <c r="A102" s="652"/>
      <c r="B102" s="1060" t="s">
        <v>139</v>
      </c>
      <c r="C102" s="1461">
        <v>0</v>
      </c>
      <c r="D102" s="1462"/>
      <c r="E102" s="720"/>
      <c r="F102" s="721"/>
      <c r="G102" s="655"/>
      <c r="H102" s="722"/>
      <c r="I102" s="1461">
        <v>0.25</v>
      </c>
      <c r="J102" s="1462"/>
      <c r="K102" s="723"/>
      <c r="L102" s="724"/>
      <c r="M102" s="723"/>
      <c r="N102" s="722"/>
      <c r="O102" s="235"/>
      <c r="P102" s="1233"/>
      <c r="Q102" s="723"/>
      <c r="R102" s="722"/>
      <c r="S102" s="723"/>
      <c r="T102" s="722"/>
      <c r="U102" s="235"/>
      <c r="V102" s="1233"/>
      <c r="W102" s="723"/>
      <c r="X102" s="722"/>
      <c r="Y102" s="723"/>
      <c r="Z102" s="1184"/>
      <c r="AA102" s="24"/>
      <c r="AB102" s="24"/>
      <c r="AC102" s="1215"/>
      <c r="AD102" s="15"/>
    </row>
    <row r="103" spans="1:30" ht="12" x14ac:dyDescent="0.2">
      <c r="A103" s="652"/>
      <c r="B103" s="1060" t="s">
        <v>140</v>
      </c>
      <c r="C103" s="1461"/>
      <c r="D103" s="1462"/>
      <c r="E103" s="720"/>
      <c r="F103" s="721"/>
      <c r="G103" s="655"/>
      <c r="H103" s="722"/>
      <c r="I103" s="1461"/>
      <c r="J103" s="1462"/>
      <c r="K103" s="723"/>
      <c r="L103" s="724"/>
      <c r="M103" s="723"/>
      <c r="N103" s="722"/>
      <c r="O103" s="235"/>
      <c r="P103" s="1233">
        <v>0</v>
      </c>
      <c r="Q103" s="723"/>
      <c r="R103" s="722"/>
      <c r="S103" s="723"/>
      <c r="T103" s="722"/>
      <c r="U103" s="235"/>
      <c r="V103" s="1233">
        <v>0.5</v>
      </c>
      <c r="W103" s="723"/>
      <c r="X103" s="722"/>
      <c r="Y103" s="723"/>
      <c r="Z103" s="1184"/>
      <c r="AA103" s="24"/>
      <c r="AB103" s="24"/>
      <c r="AC103" s="1215"/>
      <c r="AD103" s="15" t="s">
        <v>23</v>
      </c>
    </row>
    <row r="104" spans="1:30" ht="12" x14ac:dyDescent="0.2">
      <c r="A104" s="652"/>
      <c r="B104" s="1059" t="s">
        <v>141</v>
      </c>
      <c r="C104" s="1461">
        <v>1.3</v>
      </c>
      <c r="D104" s="1462"/>
      <c r="E104" s="720"/>
      <c r="F104" s="721"/>
      <c r="G104" s="655"/>
      <c r="H104" s="722"/>
      <c r="I104" s="1461">
        <v>1.25</v>
      </c>
      <c r="J104" s="1462"/>
      <c r="K104" s="723"/>
      <c r="L104" s="724"/>
      <c r="M104" s="723"/>
      <c r="N104" s="722"/>
      <c r="O104" s="235"/>
      <c r="P104" s="1233">
        <v>2</v>
      </c>
      <c r="Q104" s="723"/>
      <c r="R104" s="722"/>
      <c r="S104" s="723"/>
      <c r="T104" s="722"/>
      <c r="U104" s="235"/>
      <c r="V104" s="1233">
        <v>1</v>
      </c>
      <c r="W104" s="723"/>
      <c r="X104" s="722"/>
      <c r="Y104" s="723"/>
      <c r="Z104" s="1184"/>
      <c r="AA104" s="24"/>
      <c r="AB104" s="24"/>
      <c r="AC104" s="1215"/>
      <c r="AD104" s="15"/>
    </row>
    <row r="105" spans="1:30" ht="12" x14ac:dyDescent="0.2">
      <c r="A105" s="652"/>
      <c r="B105" s="1061" t="s">
        <v>142</v>
      </c>
      <c r="C105" s="1461">
        <v>1</v>
      </c>
      <c r="D105" s="1462"/>
      <c r="E105" s="720"/>
      <c r="F105" s="721"/>
      <c r="G105" s="655"/>
      <c r="H105" s="722"/>
      <c r="I105" s="1461">
        <v>1.5</v>
      </c>
      <c r="J105" s="1462"/>
      <c r="K105" s="723"/>
      <c r="L105" s="724"/>
      <c r="M105" s="723"/>
      <c r="N105" s="722"/>
      <c r="O105" s="235"/>
      <c r="P105" s="1233">
        <v>1.3</v>
      </c>
      <c r="Q105" s="723"/>
      <c r="R105" s="722"/>
      <c r="S105" s="723"/>
      <c r="T105" s="722"/>
      <c r="U105" s="235"/>
      <c r="V105" s="1233">
        <f>2+0.3</f>
        <v>2.2999999999999998</v>
      </c>
      <c r="W105" s="723"/>
      <c r="X105" s="722"/>
      <c r="Y105" s="723"/>
      <c r="Z105" s="1184"/>
      <c r="AA105" s="24"/>
      <c r="AB105" s="24"/>
      <c r="AC105" s="1215"/>
      <c r="AD105" s="15"/>
    </row>
    <row r="106" spans="1:30" ht="12" x14ac:dyDescent="0.2">
      <c r="A106" s="652"/>
      <c r="B106" s="1061" t="s">
        <v>143</v>
      </c>
      <c r="C106" s="1461">
        <f>SUM(C101:D105)</f>
        <v>11.67</v>
      </c>
      <c r="D106" s="1462"/>
      <c r="E106" s="720"/>
      <c r="F106" s="721"/>
      <c r="G106" s="655"/>
      <c r="H106" s="722"/>
      <c r="I106" s="1461">
        <f>SUM(I101:J105)</f>
        <v>11.42</v>
      </c>
      <c r="J106" s="1462"/>
      <c r="K106" s="723"/>
      <c r="L106" s="724"/>
      <c r="M106" s="723"/>
      <c r="N106" s="722"/>
      <c r="O106" s="235"/>
      <c r="P106" s="1187">
        <f>SUM(P101:P105)</f>
        <v>11.870000000000001</v>
      </c>
      <c r="Q106" s="723"/>
      <c r="R106" s="722"/>
      <c r="S106" s="723"/>
      <c r="T106" s="722"/>
      <c r="U106" s="235"/>
      <c r="V106" s="1187">
        <f>SUM(V101:V105)</f>
        <v>11.129999999999999</v>
      </c>
      <c r="W106" s="723"/>
      <c r="X106" s="722"/>
      <c r="Y106" s="723"/>
      <c r="Z106" s="1184"/>
      <c r="AA106" s="24"/>
      <c r="AB106" s="24"/>
      <c r="AC106" s="1215"/>
      <c r="AD106" s="15"/>
    </row>
    <row r="107" spans="1:30" thickBot="1" x14ac:dyDescent="0.25">
      <c r="A107" s="652"/>
      <c r="B107" s="1062" t="s">
        <v>151</v>
      </c>
      <c r="C107" s="1526"/>
      <c r="D107" s="1527"/>
      <c r="E107" s="720"/>
      <c r="F107" s="721"/>
      <c r="G107" s="655"/>
      <c r="H107" s="722"/>
      <c r="I107" s="1526"/>
      <c r="J107" s="1527"/>
      <c r="K107" s="723"/>
      <c r="L107" s="724"/>
      <c r="M107" s="723"/>
      <c r="N107" s="722"/>
      <c r="O107" s="235"/>
      <c r="P107" s="1187"/>
      <c r="Q107" s="723"/>
      <c r="R107" s="722"/>
      <c r="S107" s="723"/>
      <c r="T107" s="722"/>
      <c r="U107" s="235"/>
      <c r="V107" s="1187"/>
      <c r="W107" s="723"/>
      <c r="X107" s="722"/>
      <c r="Y107" s="723"/>
      <c r="Z107" s="1184"/>
      <c r="AA107" s="24"/>
      <c r="AB107" s="24"/>
      <c r="AC107" s="1215"/>
      <c r="AD107" s="15"/>
    </row>
    <row r="108" spans="1:30" ht="12" x14ac:dyDescent="0.2">
      <c r="A108" s="652"/>
      <c r="B108" s="1059" t="s">
        <v>144</v>
      </c>
      <c r="C108" s="1524">
        <v>2451</v>
      </c>
      <c r="D108" s="1525"/>
      <c r="E108" s="720"/>
      <c r="F108" s="721"/>
      <c r="G108" s="655"/>
      <c r="H108" s="722"/>
      <c r="I108" s="1524">
        <v>2607</v>
      </c>
      <c r="J108" s="1525"/>
      <c r="K108" s="723"/>
      <c r="L108" s="724"/>
      <c r="M108" s="723"/>
      <c r="N108" s="722"/>
      <c r="O108" s="235"/>
      <c r="P108" s="1231">
        <v>2911</v>
      </c>
      <c r="Q108" s="723"/>
      <c r="R108" s="722"/>
      <c r="S108" s="723"/>
      <c r="T108" s="722"/>
      <c r="U108" s="235"/>
      <c r="V108" s="1231">
        <v>3102</v>
      </c>
      <c r="W108" s="723"/>
      <c r="X108" s="722"/>
      <c r="Y108" s="723"/>
      <c r="Z108" s="1184"/>
      <c r="AA108" s="24"/>
      <c r="AB108" s="24"/>
      <c r="AC108" s="550"/>
      <c r="AD108" s="15"/>
    </row>
    <row r="109" spans="1:30" ht="12" x14ac:dyDescent="0.2">
      <c r="A109" s="652"/>
      <c r="B109" s="1061" t="s">
        <v>145</v>
      </c>
      <c r="C109" s="1524">
        <v>0</v>
      </c>
      <c r="D109" s="1525"/>
      <c r="E109" s="720"/>
      <c r="F109" s="721"/>
      <c r="G109" s="655"/>
      <c r="H109" s="722"/>
      <c r="I109" s="1524">
        <v>106</v>
      </c>
      <c r="J109" s="1525"/>
      <c r="K109" s="723"/>
      <c r="L109" s="724"/>
      <c r="M109" s="723"/>
      <c r="N109" s="722"/>
      <c r="O109" s="235"/>
      <c r="P109" s="1231">
        <v>0</v>
      </c>
      <c r="Q109" s="723"/>
      <c r="R109" s="722"/>
      <c r="S109" s="723"/>
      <c r="T109" s="722"/>
      <c r="U109" s="235"/>
      <c r="V109" s="1231">
        <f>261</f>
        <v>261</v>
      </c>
      <c r="W109" s="723"/>
      <c r="X109" s="722"/>
      <c r="Y109" s="723"/>
      <c r="Z109" s="1184"/>
      <c r="AA109" s="24"/>
      <c r="AB109" s="24"/>
      <c r="AC109" s="550"/>
      <c r="AD109" s="15"/>
    </row>
    <row r="110" spans="1:30" ht="12" x14ac:dyDescent="0.2">
      <c r="A110" s="652"/>
      <c r="B110" s="1061" t="s">
        <v>146</v>
      </c>
      <c r="C110" s="1524">
        <v>864</v>
      </c>
      <c r="D110" s="1525"/>
      <c r="E110" s="720"/>
      <c r="F110" s="721"/>
      <c r="G110" s="655"/>
      <c r="H110" s="722"/>
      <c r="I110" s="1524">
        <v>886</v>
      </c>
      <c r="J110" s="1525"/>
      <c r="K110" s="723"/>
      <c r="L110" s="724"/>
      <c r="M110" s="723"/>
      <c r="N110" s="722"/>
      <c r="O110" s="235"/>
      <c r="P110" s="1231">
        <f>498+380</f>
        <v>878</v>
      </c>
      <c r="Q110" s="723"/>
      <c r="R110" s="722"/>
      <c r="S110" s="723"/>
      <c r="T110" s="722"/>
      <c r="U110" s="235"/>
      <c r="V110" s="1231">
        <f>827+404</f>
        <v>1231</v>
      </c>
      <c r="W110" s="723"/>
      <c r="X110" s="722"/>
      <c r="Y110" s="723"/>
      <c r="Z110" s="1184"/>
      <c r="AA110" s="24"/>
      <c r="AB110" s="24"/>
      <c r="AC110" s="550"/>
      <c r="AD110" s="15"/>
    </row>
    <row r="111" spans="1:30" ht="12" x14ac:dyDescent="0.2">
      <c r="A111" s="652"/>
      <c r="B111" s="1061" t="s">
        <v>156</v>
      </c>
      <c r="C111" s="1524">
        <f>SUM(C108:D110)</f>
        <v>3315</v>
      </c>
      <c r="D111" s="1525"/>
      <c r="E111" s="720"/>
      <c r="F111" s="721"/>
      <c r="G111" s="655"/>
      <c r="H111" s="722"/>
      <c r="I111" s="1524">
        <f>SUM(I108:J110)</f>
        <v>3599</v>
      </c>
      <c r="J111" s="1525"/>
      <c r="K111" s="723"/>
      <c r="L111" s="724"/>
      <c r="M111" s="723"/>
      <c r="N111" s="722"/>
      <c r="O111" s="235"/>
      <c r="P111" s="1231">
        <f>SUM(P108:P110)</f>
        <v>3789</v>
      </c>
      <c r="Q111" s="723"/>
      <c r="R111" s="722"/>
      <c r="S111" s="723"/>
      <c r="T111" s="722"/>
      <c r="U111" s="235"/>
      <c r="V111" s="1231">
        <f>SUM(V108:V110)</f>
        <v>4594</v>
      </c>
      <c r="W111" s="723"/>
      <c r="X111" s="722"/>
      <c r="Y111" s="723"/>
      <c r="Z111" s="1184"/>
      <c r="AA111" s="24"/>
      <c r="AB111" s="24"/>
      <c r="AC111" s="550"/>
      <c r="AD111" s="15"/>
    </row>
    <row r="112" spans="1:30" thickBot="1" x14ac:dyDescent="0.25">
      <c r="A112" s="652"/>
      <c r="B112" s="1062" t="s">
        <v>152</v>
      </c>
      <c r="C112" s="1461"/>
      <c r="D112" s="1462"/>
      <c r="E112" s="720"/>
      <c r="F112" s="721"/>
      <c r="G112" s="655"/>
      <c r="H112" s="722"/>
      <c r="I112" s="1461"/>
      <c r="J112" s="1462"/>
      <c r="K112" s="723"/>
      <c r="L112" s="724"/>
      <c r="M112" s="723"/>
      <c r="N112" s="722"/>
      <c r="O112" s="235"/>
      <c r="P112" s="1187"/>
      <c r="Q112" s="723"/>
      <c r="R112" s="722"/>
      <c r="S112" s="723"/>
      <c r="T112" s="722"/>
      <c r="U112" s="235"/>
      <c r="V112" s="1187"/>
      <c r="W112" s="723"/>
      <c r="X112" s="722"/>
      <c r="Y112" s="723"/>
      <c r="Z112" s="1184"/>
      <c r="AA112" s="24"/>
      <c r="AB112" s="24"/>
      <c r="AC112" s="550"/>
      <c r="AD112" s="15"/>
    </row>
    <row r="113" spans="1:30" ht="12" x14ac:dyDescent="0.2">
      <c r="A113" s="652"/>
      <c r="B113" s="1059" t="s">
        <v>153</v>
      </c>
      <c r="C113" s="1461">
        <f>C108/C101</f>
        <v>261.57950907150484</v>
      </c>
      <c r="D113" s="1462"/>
      <c r="E113" s="728"/>
      <c r="F113" s="729"/>
      <c r="G113" s="730"/>
      <c r="H113" s="731"/>
      <c r="I113" s="1475">
        <f>I108/I101</f>
        <v>309.61995249406175</v>
      </c>
      <c r="J113" s="1476"/>
      <c r="K113" s="723"/>
      <c r="L113" s="732"/>
      <c r="M113" s="723"/>
      <c r="N113" s="722"/>
      <c r="O113" s="235"/>
      <c r="P113" s="1199">
        <f>P108/P101</f>
        <v>339.67327887981327</v>
      </c>
      <c r="Q113" s="723"/>
      <c r="R113" s="722"/>
      <c r="S113" s="723"/>
      <c r="T113" s="722"/>
      <c r="U113" s="235"/>
      <c r="V113" s="1199">
        <f>V108/V101</f>
        <v>423.19236016371076</v>
      </c>
      <c r="W113" s="723"/>
      <c r="X113" s="722"/>
      <c r="Y113" s="723"/>
      <c r="Z113" s="1184"/>
      <c r="AB113" s="24"/>
      <c r="AC113" s="550"/>
      <c r="AD113" s="15"/>
    </row>
    <row r="114" spans="1:30" ht="12" x14ac:dyDescent="0.2">
      <c r="A114" s="652"/>
      <c r="B114" s="1061" t="s">
        <v>154</v>
      </c>
      <c r="C114" s="1461">
        <f>C109/SUM(C102:D104)</f>
        <v>0</v>
      </c>
      <c r="D114" s="1462"/>
      <c r="E114" s="728"/>
      <c r="F114" s="729"/>
      <c r="G114" s="730"/>
      <c r="H114" s="731"/>
      <c r="I114" s="1475">
        <f>I109/SUM(I102:J104)</f>
        <v>70.666666666666671</v>
      </c>
      <c r="J114" s="1476"/>
      <c r="K114" s="723"/>
      <c r="L114" s="732"/>
      <c r="M114" s="723"/>
      <c r="N114" s="722"/>
      <c r="O114" s="235"/>
      <c r="P114" s="1199">
        <f>P109/SUM(P102:Q104)</f>
        <v>0</v>
      </c>
      <c r="Q114" s="723"/>
      <c r="R114" s="722"/>
      <c r="S114" s="723"/>
      <c r="T114" s="722"/>
      <c r="U114" s="235"/>
      <c r="V114" s="1199">
        <f>V109/(V103+V104)</f>
        <v>174</v>
      </c>
      <c r="W114" s="723"/>
      <c r="X114" s="722"/>
      <c r="Y114" s="723"/>
      <c r="Z114" s="1184"/>
      <c r="AB114" s="24"/>
      <c r="AC114" s="550"/>
      <c r="AD114" s="15"/>
    </row>
    <row r="115" spans="1:30" ht="12" x14ac:dyDescent="0.2">
      <c r="A115" s="652"/>
      <c r="B115" s="1061" t="s">
        <v>155</v>
      </c>
      <c r="C115" s="1461">
        <f>C110/C105</f>
        <v>864</v>
      </c>
      <c r="D115" s="1462"/>
      <c r="E115" s="728"/>
      <c r="F115" s="729"/>
      <c r="G115" s="730"/>
      <c r="H115" s="731"/>
      <c r="I115" s="1475">
        <f>I110/I105</f>
        <v>590.66666666666663</v>
      </c>
      <c r="J115" s="1476"/>
      <c r="K115" s="723"/>
      <c r="L115" s="732"/>
      <c r="M115" s="723"/>
      <c r="N115" s="722"/>
      <c r="O115" s="235"/>
      <c r="P115" s="1199">
        <f>P110/P105</f>
        <v>675.38461538461536</v>
      </c>
      <c r="Q115" s="723"/>
      <c r="R115" s="722"/>
      <c r="S115" s="723"/>
      <c r="T115" s="722"/>
      <c r="U115" s="235"/>
      <c r="V115" s="1199">
        <f>V110/V105</f>
        <v>535.21739130434787</v>
      </c>
      <c r="W115" s="723"/>
      <c r="X115" s="722"/>
      <c r="Y115" s="723"/>
      <c r="Z115" s="1184"/>
      <c r="AB115" s="24"/>
      <c r="AC115" s="550"/>
    </row>
    <row r="116" spans="1:30" thickBot="1" x14ac:dyDescent="0.25">
      <c r="A116" s="652"/>
      <c r="B116" s="1063" t="s">
        <v>147</v>
      </c>
      <c r="C116" s="1459">
        <f>C111/C106</f>
        <v>284.06169665809767</v>
      </c>
      <c r="D116" s="1460"/>
      <c r="E116" s="734"/>
      <c r="F116" s="735"/>
      <c r="G116" s="736"/>
      <c r="H116" s="737"/>
      <c r="I116" s="1522">
        <f>I111/I106</f>
        <v>315.14886164623465</v>
      </c>
      <c r="J116" s="1523"/>
      <c r="K116" s="738"/>
      <c r="L116" s="739"/>
      <c r="M116" s="738"/>
      <c r="N116" s="739"/>
      <c r="O116" s="252"/>
      <c r="P116" s="1200">
        <f>P111/P106</f>
        <v>319.20808761583822</v>
      </c>
      <c r="Q116" s="738"/>
      <c r="R116" s="739"/>
      <c r="S116" s="738"/>
      <c r="T116" s="739"/>
      <c r="U116" s="252"/>
      <c r="V116" s="1200">
        <f>V111/V106</f>
        <v>412.75831087151846</v>
      </c>
      <c r="W116" s="738"/>
      <c r="X116" s="739"/>
      <c r="Y116" s="738"/>
      <c r="Z116" s="1185"/>
      <c r="AB116" s="24"/>
      <c r="AC116" s="550"/>
    </row>
    <row r="117" spans="1:30" ht="13.5" thickTop="1" x14ac:dyDescent="0.2">
      <c r="B117" s="1" t="str">
        <f>'ag sum'!B126</f>
        <v>*Note: For the 2009 collection cycle and later, Instructional FTE was defined according to the national Delaware Study of Instructional Costs and Productivity</v>
      </c>
    </row>
  </sheetData>
  <mergeCells count="112">
    <mergeCell ref="Y37:Z37"/>
    <mergeCell ref="Y64:Z64"/>
    <mergeCell ref="Y99:Z99"/>
    <mergeCell ref="M7:N7"/>
    <mergeCell ref="M22:N22"/>
    <mergeCell ref="O22:P22"/>
    <mergeCell ref="O30:P30"/>
    <mergeCell ref="I22:J22"/>
    <mergeCell ref="O64:P64"/>
    <mergeCell ref="Q37:R37"/>
    <mergeCell ref="Q64:R64"/>
    <mergeCell ref="K7:L7"/>
    <mergeCell ref="Q7:R7"/>
    <mergeCell ref="Q22:R22"/>
    <mergeCell ref="Q30:R30"/>
    <mergeCell ref="K99:L99"/>
    <mergeCell ref="M99:N99"/>
    <mergeCell ref="M37:N37"/>
    <mergeCell ref="M64:N64"/>
    <mergeCell ref="M30:N30"/>
    <mergeCell ref="K64:L64"/>
    <mergeCell ref="I64:J64"/>
    <mergeCell ref="K22:L22"/>
    <mergeCell ref="K30:L30"/>
    <mergeCell ref="C22:D22"/>
    <mergeCell ref="G31:H31"/>
    <mergeCell ref="G32:H32"/>
    <mergeCell ref="E22:F22"/>
    <mergeCell ref="C37:D37"/>
    <mergeCell ref="C30:D30"/>
    <mergeCell ref="E30:F30"/>
    <mergeCell ref="C33:D33"/>
    <mergeCell ref="G22:H22"/>
    <mergeCell ref="K37:L37"/>
    <mergeCell ref="E37:F37"/>
    <mergeCell ref="C64:D64"/>
    <mergeCell ref="E64:F64"/>
    <mergeCell ref="G37:H37"/>
    <mergeCell ref="I37:J37"/>
    <mergeCell ref="G30:H30"/>
    <mergeCell ref="I30:J30"/>
    <mergeCell ref="G33:H33"/>
    <mergeCell ref="E33:F33"/>
    <mergeCell ref="G64:H64"/>
    <mergeCell ref="C31:D31"/>
    <mergeCell ref="E31:F31"/>
    <mergeCell ref="C32:D32"/>
    <mergeCell ref="E32:F32"/>
    <mergeCell ref="AB99:AC99"/>
    <mergeCell ref="AB7:AC7"/>
    <mergeCell ref="AB22:AC22"/>
    <mergeCell ref="AB37:AC37"/>
    <mergeCell ref="AB64:AC64"/>
    <mergeCell ref="O37:P37"/>
    <mergeCell ref="O7:P7"/>
    <mergeCell ref="S99:T99"/>
    <mergeCell ref="S7:T7"/>
    <mergeCell ref="S22:T22"/>
    <mergeCell ref="S30:T30"/>
    <mergeCell ref="S37:T37"/>
    <mergeCell ref="S64:T64"/>
    <mergeCell ref="O99:P99"/>
    <mergeCell ref="U7:V7"/>
    <mergeCell ref="U22:V22"/>
    <mergeCell ref="U30:V30"/>
    <mergeCell ref="U37:V37"/>
    <mergeCell ref="U64:V64"/>
    <mergeCell ref="U99:V99"/>
    <mergeCell ref="Q99:R99"/>
    <mergeCell ref="Y7:Z7"/>
    <mergeCell ref="Y22:Z22"/>
    <mergeCell ref="Y30:Z30"/>
    <mergeCell ref="C111:D111"/>
    <mergeCell ref="I111:J111"/>
    <mergeCell ref="C104:D104"/>
    <mergeCell ref="C101:D101"/>
    <mergeCell ref="I101:J101"/>
    <mergeCell ref="C99:D99"/>
    <mergeCell ref="E99:F99"/>
    <mergeCell ref="G99:H99"/>
    <mergeCell ref="I99:J99"/>
    <mergeCell ref="I108:J108"/>
    <mergeCell ref="C109:D109"/>
    <mergeCell ref="C102:D103"/>
    <mergeCell ref="I102:J103"/>
    <mergeCell ref="I104:J104"/>
    <mergeCell ref="C105:D105"/>
    <mergeCell ref="I105:J105"/>
    <mergeCell ref="C116:D116"/>
    <mergeCell ref="I116:J116"/>
    <mergeCell ref="C113:D113"/>
    <mergeCell ref="I113:J113"/>
    <mergeCell ref="C114:D114"/>
    <mergeCell ref="I114:J114"/>
    <mergeCell ref="C112:D112"/>
    <mergeCell ref="I112:J112"/>
    <mergeCell ref="W7:X7"/>
    <mergeCell ref="W22:X22"/>
    <mergeCell ref="W30:X30"/>
    <mergeCell ref="W37:X37"/>
    <mergeCell ref="W64:X64"/>
    <mergeCell ref="W99:X99"/>
    <mergeCell ref="C115:D115"/>
    <mergeCell ref="I115:J115"/>
    <mergeCell ref="C106:D106"/>
    <mergeCell ref="I106:J106"/>
    <mergeCell ref="I109:J109"/>
    <mergeCell ref="C110:D110"/>
    <mergeCell ref="I110:J110"/>
    <mergeCell ref="C107:D107"/>
    <mergeCell ref="I107:J107"/>
    <mergeCell ref="C108:D108"/>
  </mergeCells>
  <phoneticPr fontId="0" type="noConversion"/>
  <printOptions horizontalCentered="1"/>
  <pageMargins left="0.25" right="0.25" top="0.25" bottom="0.25" header="0.5" footer="0.5"/>
  <pageSetup scale="69" orientation="landscape" horizontalDpi="4294967292" verticalDpi="4294967292" r:id="rId1"/>
  <headerFooter alignWithMargins="0">
    <oddFooter>&amp;R&amp;P of &amp;N
&amp;D</oddFooter>
  </headerFooter>
  <rowBreaks count="1" manualBreakCount="1">
    <brk id="61" max="17" man="1"/>
  </rowBreaks>
  <ignoredErrors>
    <ignoredError sqref="S74:S93 W74:W9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7"/>
  <sheetViews>
    <sheetView zoomScale="110" zoomScaleNormal="110" zoomScaleSheetLayoutView="70" workbookViewId="0">
      <pane xSplit="2" ySplit="1" topLeftCell="O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2.75" x14ac:dyDescent="0.2"/>
  <cols>
    <col min="1" max="1" width="3.7109375" style="1" customWidth="1"/>
    <col min="2" max="2" width="30.28515625" style="1" customWidth="1"/>
    <col min="3" max="3" width="7.7109375" hidden="1" customWidth="1"/>
    <col min="4" max="4" width="10.28515625" hidden="1" customWidth="1"/>
    <col min="5" max="5" width="7.7109375" hidden="1" customWidth="1"/>
    <col min="6" max="6" width="10.28515625" hidden="1" customWidth="1"/>
    <col min="7" max="7" width="7.7109375" style="223" hidden="1" customWidth="1"/>
    <col min="8" max="8" width="10.42578125" style="223" hidden="1" customWidth="1"/>
    <col min="9" max="9" width="7.7109375" style="223" hidden="1" customWidth="1"/>
    <col min="10" max="10" width="10.28515625" style="223" hidden="1" customWidth="1"/>
    <col min="11" max="11" width="7.7109375" style="1" hidden="1" customWidth="1"/>
    <col min="12" max="12" width="10.85546875" style="1" hidden="1" customWidth="1"/>
    <col min="13" max="13" width="7.7109375" style="1" hidden="1" customWidth="1"/>
    <col min="14" max="14" width="10.7109375" style="222" hidden="1" customWidth="1"/>
    <col min="15" max="15" width="7.7109375" style="1" customWidth="1"/>
    <col min="16" max="16" width="10.5703125" style="222" customWidth="1"/>
    <col min="17" max="17" width="7.7109375" style="1" customWidth="1"/>
    <col min="18" max="18" width="11.5703125" style="222" customWidth="1"/>
    <col min="19" max="19" width="7.7109375" style="1" customWidth="1"/>
    <col min="20" max="20" width="10.28515625" style="222" customWidth="1"/>
    <col min="21" max="21" width="7.7109375" style="1" customWidth="1"/>
    <col min="22" max="22" width="10.28515625" style="222" customWidth="1"/>
    <col min="23" max="23" width="7.7109375" style="1" customWidth="1"/>
    <col min="24" max="24" width="10.28515625" style="222" customWidth="1"/>
    <col min="25" max="25" width="7.7109375" style="1" customWidth="1"/>
    <col min="26" max="26" width="10.28515625" style="222" customWidth="1"/>
    <col min="27" max="27" width="2.5703125" style="1" customWidth="1"/>
    <col min="28" max="29" width="10.28515625" style="1" customWidth="1"/>
    <col min="30" max="30" width="4" style="1" customWidth="1"/>
    <col min="31" max="16384" width="10.28515625" style="1"/>
  </cols>
  <sheetData>
    <row r="1" spans="1:29" ht="18" x14ac:dyDescent="0.25">
      <c r="A1" s="1100" t="str">
        <f>Dean_Ag!A1</f>
        <v>Department Profile Report - FY 2015</v>
      </c>
      <c r="B1" s="1100"/>
      <c r="C1" s="1100"/>
      <c r="D1" s="1100"/>
      <c r="E1" s="1100"/>
      <c r="F1" s="1100"/>
      <c r="G1" s="1100"/>
      <c r="H1" s="1100"/>
      <c r="I1" s="1101"/>
      <c r="J1" s="1101"/>
      <c r="K1" s="1102"/>
      <c r="L1" s="1102"/>
      <c r="M1" s="1102"/>
      <c r="N1" s="1103"/>
      <c r="O1" s="1102"/>
      <c r="P1" s="1103"/>
      <c r="Q1" s="1102"/>
      <c r="R1" s="1103"/>
      <c r="S1" s="1102"/>
      <c r="T1" s="1103"/>
      <c r="U1" s="1102"/>
      <c r="V1" s="1103"/>
      <c r="W1" s="1102"/>
      <c r="X1" s="1103"/>
      <c r="Y1" s="1102"/>
      <c r="Z1" s="1103"/>
      <c r="AA1" s="1102"/>
      <c r="AB1" s="1102"/>
      <c r="AC1" s="1102"/>
    </row>
    <row r="2" spans="1:29" ht="12" x14ac:dyDescent="0.2">
      <c r="C2" s="1"/>
      <c r="D2" s="1"/>
      <c r="E2" s="1"/>
      <c r="F2" s="1"/>
      <c r="G2" s="222"/>
      <c r="H2" s="222"/>
      <c r="I2" s="222"/>
      <c r="J2" s="222"/>
    </row>
    <row r="3" spans="1:29" x14ac:dyDescent="0.2">
      <c r="A3" s="3" t="s">
        <v>18</v>
      </c>
      <c r="B3" s="222"/>
      <c r="C3" s="1"/>
      <c r="D3" s="1"/>
      <c r="E3" s="1"/>
      <c r="F3" s="1"/>
      <c r="G3" s="222"/>
      <c r="H3" s="222"/>
      <c r="I3" s="222"/>
      <c r="J3" s="222"/>
    </row>
    <row r="4" spans="1:29" ht="12" x14ac:dyDescent="0.2">
      <c r="C4" s="1"/>
      <c r="D4" s="1"/>
      <c r="E4" s="1"/>
      <c r="F4" s="1"/>
      <c r="G4" s="222"/>
      <c r="H4" s="222"/>
      <c r="I4" s="222"/>
      <c r="J4" s="222"/>
    </row>
    <row r="5" spans="1:29" x14ac:dyDescent="0.2">
      <c r="A5" s="3" t="s">
        <v>55</v>
      </c>
      <c r="C5" s="1"/>
      <c r="D5" s="1"/>
      <c r="E5" s="1"/>
      <c r="F5" s="1"/>
      <c r="G5" s="222"/>
      <c r="H5" s="222"/>
      <c r="I5" s="222"/>
      <c r="J5" s="222"/>
    </row>
    <row r="6" spans="1:29" ht="6.75" customHeight="1" thickBot="1" x14ac:dyDescent="0.25">
      <c r="A6" s="2"/>
      <c r="C6" s="1"/>
      <c r="D6" s="1"/>
      <c r="E6" s="1"/>
      <c r="F6" s="1"/>
      <c r="G6" s="222"/>
      <c r="H6" s="222"/>
      <c r="I6" s="222"/>
      <c r="J6" s="222"/>
      <c r="AB6" s="71"/>
      <c r="AC6" s="71"/>
    </row>
    <row r="7" spans="1:29" ht="13.5" customHeight="1" thickTop="1" x14ac:dyDescent="0.2">
      <c r="B7" s="38"/>
      <c r="C7" s="8" t="s">
        <v>33</v>
      </c>
      <c r="D7" s="29"/>
      <c r="E7" s="8" t="s">
        <v>34</v>
      </c>
      <c r="F7" s="5"/>
      <c r="G7" s="256" t="s">
        <v>106</v>
      </c>
      <c r="H7" s="418"/>
      <c r="I7" s="405" t="s">
        <v>118</v>
      </c>
      <c r="J7" s="469"/>
      <c r="K7" s="1512" t="s">
        <v>121</v>
      </c>
      <c r="L7" s="1513"/>
      <c r="M7" s="1512" t="s">
        <v>127</v>
      </c>
      <c r="N7" s="1513"/>
      <c r="O7" s="1509" t="s">
        <v>174</v>
      </c>
      <c r="P7" s="1513"/>
      <c r="Q7" s="1509" t="s">
        <v>193</v>
      </c>
      <c r="R7" s="1513"/>
      <c r="S7" s="1509" t="s">
        <v>218</v>
      </c>
      <c r="T7" s="1513"/>
      <c r="U7" s="1509" t="s">
        <v>221</v>
      </c>
      <c r="V7" s="1513"/>
      <c r="W7" s="1509" t="s">
        <v>232</v>
      </c>
      <c r="X7" s="1513"/>
      <c r="Y7" s="1509" t="s">
        <v>241</v>
      </c>
      <c r="Z7" s="1510"/>
      <c r="AB7" s="1517" t="s">
        <v>134</v>
      </c>
      <c r="AC7" s="1528"/>
    </row>
    <row r="8" spans="1:29" ht="12" x14ac:dyDescent="0.2">
      <c r="B8" s="39"/>
      <c r="C8" s="9" t="s">
        <v>1</v>
      </c>
      <c r="D8" s="31" t="s">
        <v>2</v>
      </c>
      <c r="E8" s="9" t="s">
        <v>1</v>
      </c>
      <c r="F8" s="6" t="s">
        <v>2</v>
      </c>
      <c r="G8" s="257" t="s">
        <v>1</v>
      </c>
      <c r="H8" s="415" t="s">
        <v>2</v>
      </c>
      <c r="I8" s="402" t="s">
        <v>1</v>
      </c>
      <c r="J8" s="470" t="s">
        <v>2</v>
      </c>
      <c r="K8" s="257" t="s">
        <v>1</v>
      </c>
      <c r="L8" s="415" t="s">
        <v>2</v>
      </c>
      <c r="M8" s="257" t="s">
        <v>1</v>
      </c>
      <c r="N8" s="415" t="s">
        <v>2</v>
      </c>
      <c r="O8" s="402" t="s">
        <v>1</v>
      </c>
      <c r="P8" s="415" t="s">
        <v>2</v>
      </c>
      <c r="Q8" s="402" t="s">
        <v>1</v>
      </c>
      <c r="R8" s="415" t="s">
        <v>2</v>
      </c>
      <c r="S8" s="402" t="s">
        <v>1</v>
      </c>
      <c r="T8" s="415" t="s">
        <v>2</v>
      </c>
      <c r="U8" s="402" t="s">
        <v>1</v>
      </c>
      <c r="V8" s="415" t="s">
        <v>2</v>
      </c>
      <c r="W8" s="402" t="s">
        <v>1</v>
      </c>
      <c r="X8" s="415" t="s">
        <v>2</v>
      </c>
      <c r="Y8" s="402" t="s">
        <v>1</v>
      </c>
      <c r="Z8" s="224" t="s">
        <v>2</v>
      </c>
      <c r="AB8" s="755" t="s">
        <v>1</v>
      </c>
      <c r="AC8" s="756" t="s">
        <v>2</v>
      </c>
    </row>
    <row r="9" spans="1:29" thickBot="1" x14ac:dyDescent="0.25">
      <c r="B9" s="40"/>
      <c r="C9" s="55" t="s">
        <v>3</v>
      </c>
      <c r="D9" s="56" t="s">
        <v>4</v>
      </c>
      <c r="E9" s="55" t="s">
        <v>3</v>
      </c>
      <c r="F9" s="282" t="s">
        <v>4</v>
      </c>
      <c r="G9" s="283" t="s">
        <v>3</v>
      </c>
      <c r="H9" s="431" t="s">
        <v>4</v>
      </c>
      <c r="I9" s="419" t="s">
        <v>3</v>
      </c>
      <c r="J9" s="471" t="s">
        <v>4</v>
      </c>
      <c r="K9" s="283" t="s">
        <v>3</v>
      </c>
      <c r="L9" s="431" t="s">
        <v>4</v>
      </c>
      <c r="M9" s="283" t="s">
        <v>3</v>
      </c>
      <c r="N9" s="431" t="s">
        <v>4</v>
      </c>
      <c r="O9" s="419" t="s">
        <v>3</v>
      </c>
      <c r="P9" s="431" t="s">
        <v>4</v>
      </c>
      <c r="Q9" s="419" t="s">
        <v>3</v>
      </c>
      <c r="R9" s="431" t="s">
        <v>4</v>
      </c>
      <c r="S9" s="419" t="s">
        <v>3</v>
      </c>
      <c r="T9" s="431" t="s">
        <v>4</v>
      </c>
      <c r="U9" s="419" t="s">
        <v>3</v>
      </c>
      <c r="V9" s="431" t="s">
        <v>4</v>
      </c>
      <c r="W9" s="419" t="s">
        <v>3</v>
      </c>
      <c r="X9" s="431" t="s">
        <v>4</v>
      </c>
      <c r="Y9" s="419" t="s">
        <v>3</v>
      </c>
      <c r="Z9" s="225" t="s">
        <v>4</v>
      </c>
      <c r="AB9" s="757" t="s">
        <v>3</v>
      </c>
      <c r="AC9" s="758" t="s">
        <v>4</v>
      </c>
    </row>
    <row r="10" spans="1:29" ht="12" x14ac:dyDescent="0.2">
      <c r="B10" s="41" t="s">
        <v>5</v>
      </c>
      <c r="C10" s="57"/>
      <c r="D10" s="58"/>
      <c r="E10" s="57"/>
      <c r="F10" s="27"/>
      <c r="G10" s="284"/>
      <c r="H10" s="393"/>
      <c r="I10" s="324"/>
      <c r="J10" s="472"/>
      <c r="K10" s="284"/>
      <c r="L10" s="393"/>
      <c r="M10" s="284"/>
      <c r="N10" s="393"/>
      <c r="O10" s="324"/>
      <c r="P10" s="393"/>
      <c r="Q10" s="324"/>
      <c r="R10" s="393"/>
      <c r="S10" s="324"/>
      <c r="T10" s="393"/>
      <c r="U10" s="324"/>
      <c r="V10" s="393"/>
      <c r="W10" s="324"/>
      <c r="X10" s="393"/>
      <c r="Y10" s="324"/>
      <c r="Z10" s="226"/>
      <c r="AB10" s="299"/>
      <c r="AC10" s="652"/>
    </row>
    <row r="11" spans="1:29" ht="12" x14ac:dyDescent="0.2">
      <c r="B11" s="593" t="s">
        <v>45</v>
      </c>
      <c r="C11" s="338"/>
      <c r="D11" s="339"/>
      <c r="E11" s="129"/>
      <c r="F11" s="340"/>
      <c r="G11" s="259"/>
      <c r="H11" s="339"/>
      <c r="I11" s="338"/>
      <c r="J11" s="340"/>
      <c r="K11" s="259"/>
      <c r="L11" s="339"/>
      <c r="M11" s="259"/>
      <c r="N11" s="339"/>
      <c r="O11" s="338"/>
      <c r="P11" s="339"/>
      <c r="Q11" s="338"/>
      <c r="R11" s="339"/>
      <c r="S11" s="338"/>
      <c r="T11" s="339"/>
      <c r="U11" s="338"/>
      <c r="V11" s="339"/>
      <c r="W11" s="338"/>
      <c r="X11" s="339"/>
      <c r="Y11" s="338"/>
      <c r="Z11" s="130"/>
      <c r="AB11" s="299"/>
      <c r="AC11" s="652"/>
    </row>
    <row r="12" spans="1:29" ht="12" x14ac:dyDescent="0.2">
      <c r="B12" s="594" t="s">
        <v>164</v>
      </c>
      <c r="C12" s="338">
        <v>116</v>
      </c>
      <c r="D12" s="339">
        <v>32</v>
      </c>
      <c r="E12" s="259">
        <f>108+1</f>
        <v>109</v>
      </c>
      <c r="F12" s="340">
        <v>26</v>
      </c>
      <c r="G12" s="259">
        <v>104</v>
      </c>
      <c r="H12" s="339">
        <v>18</v>
      </c>
      <c r="I12" s="338">
        <v>105</v>
      </c>
      <c r="J12" s="340">
        <v>24</v>
      </c>
      <c r="K12" s="259">
        <v>87</v>
      </c>
      <c r="L12" s="457">
        <v>29</v>
      </c>
      <c r="M12" s="259">
        <f>99+4</f>
        <v>103</v>
      </c>
      <c r="N12" s="457">
        <v>25</v>
      </c>
      <c r="O12" s="338">
        <f>124+1</f>
        <v>125</v>
      </c>
      <c r="P12" s="457">
        <f>23</f>
        <v>23</v>
      </c>
      <c r="Q12" s="338">
        <v>144</v>
      </c>
      <c r="R12" s="457">
        <v>30</v>
      </c>
      <c r="S12" s="338">
        <v>165</v>
      </c>
      <c r="T12" s="457">
        <v>41</v>
      </c>
      <c r="U12" s="338">
        <v>171</v>
      </c>
      <c r="V12" s="457">
        <v>35</v>
      </c>
      <c r="W12" s="338">
        <v>185</v>
      </c>
      <c r="X12" s="457">
        <v>39</v>
      </c>
      <c r="Y12" s="338">
        <v>192</v>
      </c>
      <c r="Z12" s="1406"/>
      <c r="AB12" s="742">
        <f>AVERAGE(W12,U12,S12,Q12,Y12)</f>
        <v>171.4</v>
      </c>
      <c r="AC12" s="759">
        <f t="shared" ref="AC12:AC15" si="0">AVERAGE(X12,V12,T12,R12,Z12)</f>
        <v>36.25</v>
      </c>
    </row>
    <row r="13" spans="1:29" ht="12" x14ac:dyDescent="0.2">
      <c r="B13" s="594" t="s">
        <v>51</v>
      </c>
      <c r="C13" s="338">
        <v>29</v>
      </c>
      <c r="D13" s="339">
        <v>6</v>
      </c>
      <c r="E13" s="259">
        <v>22</v>
      </c>
      <c r="F13" s="340">
        <f>1</f>
        <v>1</v>
      </c>
      <c r="G13" s="259">
        <v>22</v>
      </c>
      <c r="H13" s="339"/>
      <c r="I13" s="338">
        <v>29</v>
      </c>
      <c r="J13" s="340">
        <v>0</v>
      </c>
      <c r="K13" s="259">
        <v>26</v>
      </c>
      <c r="L13" s="457">
        <v>0</v>
      </c>
      <c r="M13" s="259">
        <v>22</v>
      </c>
      <c r="N13" s="457">
        <v>9</v>
      </c>
      <c r="O13" s="338">
        <v>20</v>
      </c>
      <c r="P13" s="457">
        <v>9</v>
      </c>
      <c r="Q13" s="338">
        <v>26</v>
      </c>
      <c r="R13" s="457">
        <v>13</v>
      </c>
      <c r="S13" s="338">
        <v>28</v>
      </c>
      <c r="T13" s="457">
        <v>15</v>
      </c>
      <c r="U13" s="338">
        <v>32</v>
      </c>
      <c r="V13" s="457">
        <v>16</v>
      </c>
      <c r="W13" s="338">
        <v>32</v>
      </c>
      <c r="X13" s="457">
        <v>19</v>
      </c>
      <c r="Y13" s="338">
        <v>48</v>
      </c>
      <c r="Z13" s="1406"/>
      <c r="AA13" s="657"/>
      <c r="AB13" s="742">
        <f t="shared" ref="AB13:AB15" si="1">AVERAGE(W13,U13,S13,Q13,Y13)</f>
        <v>33.200000000000003</v>
      </c>
      <c r="AC13" s="759">
        <f t="shared" si="0"/>
        <v>15.75</v>
      </c>
    </row>
    <row r="14" spans="1:29" ht="12" x14ac:dyDescent="0.2">
      <c r="B14" s="594" t="s">
        <v>167</v>
      </c>
      <c r="C14" s="353">
        <v>35</v>
      </c>
      <c r="D14" s="342">
        <v>12</v>
      </c>
      <c r="E14" s="359">
        <v>30</v>
      </c>
      <c r="F14" s="343">
        <v>10</v>
      </c>
      <c r="G14" s="359">
        <v>26</v>
      </c>
      <c r="H14" s="342">
        <f>5+1</f>
        <v>6</v>
      </c>
      <c r="I14" s="353">
        <v>36</v>
      </c>
      <c r="J14" s="343">
        <v>7</v>
      </c>
      <c r="K14" s="359">
        <v>35</v>
      </c>
      <c r="L14" s="342">
        <v>7</v>
      </c>
      <c r="M14" s="359">
        <v>42</v>
      </c>
      <c r="N14" s="342">
        <v>13</v>
      </c>
      <c r="O14" s="353">
        <v>42</v>
      </c>
      <c r="P14" s="342">
        <v>17</v>
      </c>
      <c r="Q14" s="353">
        <v>36</v>
      </c>
      <c r="R14" s="342">
        <v>8</v>
      </c>
      <c r="S14" s="353">
        <v>32</v>
      </c>
      <c r="T14" s="342">
        <v>15</v>
      </c>
      <c r="U14" s="353">
        <v>36</v>
      </c>
      <c r="V14" s="342">
        <v>8</v>
      </c>
      <c r="W14" s="353">
        <v>35</v>
      </c>
      <c r="X14" s="342">
        <v>9</v>
      </c>
      <c r="Y14" s="353">
        <v>41</v>
      </c>
      <c r="Z14" s="1402"/>
      <c r="AA14" s="657"/>
      <c r="AB14" s="742">
        <f t="shared" si="1"/>
        <v>36</v>
      </c>
      <c r="AC14" s="759">
        <f t="shared" si="0"/>
        <v>10</v>
      </c>
    </row>
    <row r="15" spans="1:29" ht="12" x14ac:dyDescent="0.2">
      <c r="B15" s="594" t="s">
        <v>6</v>
      </c>
      <c r="C15" s="353">
        <v>22</v>
      </c>
      <c r="D15" s="342">
        <v>6</v>
      </c>
      <c r="E15" s="359">
        <v>19</v>
      </c>
      <c r="F15" s="343">
        <v>2</v>
      </c>
      <c r="G15" s="359">
        <v>23</v>
      </c>
      <c r="H15" s="342">
        <v>4</v>
      </c>
      <c r="I15" s="353">
        <v>19</v>
      </c>
      <c r="J15" s="343">
        <v>7</v>
      </c>
      <c r="K15" s="359">
        <v>19</v>
      </c>
      <c r="L15" s="342">
        <v>3</v>
      </c>
      <c r="M15" s="359">
        <v>20</v>
      </c>
      <c r="N15" s="342">
        <v>5</v>
      </c>
      <c r="O15" s="353">
        <v>24</v>
      </c>
      <c r="P15" s="342">
        <v>4</v>
      </c>
      <c r="Q15" s="353">
        <v>30</v>
      </c>
      <c r="R15" s="342">
        <v>4</v>
      </c>
      <c r="S15" s="353">
        <v>40</v>
      </c>
      <c r="T15" s="342">
        <v>1</v>
      </c>
      <c r="U15" s="353">
        <v>43</v>
      </c>
      <c r="V15" s="342">
        <v>10</v>
      </c>
      <c r="W15" s="353">
        <v>43</v>
      </c>
      <c r="X15" s="342">
        <v>9</v>
      </c>
      <c r="Y15" s="353">
        <v>43</v>
      </c>
      <c r="Z15" s="1402"/>
      <c r="AA15" s="657"/>
      <c r="AB15" s="1384">
        <f t="shared" si="1"/>
        <v>39.799999999999997</v>
      </c>
      <c r="AC15" s="759">
        <f t="shared" si="0"/>
        <v>6</v>
      </c>
    </row>
    <row r="16" spans="1:29" ht="12" x14ac:dyDescent="0.2">
      <c r="B16" s="593" t="s">
        <v>220</v>
      </c>
      <c r="C16" s="360"/>
      <c r="D16" s="348"/>
      <c r="E16" s="361"/>
      <c r="F16" s="347"/>
      <c r="G16" s="361"/>
      <c r="H16" s="348"/>
      <c r="I16" s="360"/>
      <c r="J16" s="347"/>
      <c r="K16" s="361"/>
      <c r="L16" s="348"/>
      <c r="M16" s="361"/>
      <c r="N16" s="348"/>
      <c r="O16" s="360"/>
      <c r="P16" s="348"/>
      <c r="Q16" s="360"/>
      <c r="R16" s="348"/>
      <c r="S16" s="360"/>
      <c r="T16" s="348"/>
      <c r="U16" s="360"/>
      <c r="V16" s="348"/>
      <c r="W16" s="360"/>
      <c r="X16" s="348"/>
      <c r="Y16" s="360"/>
      <c r="Z16" s="1403"/>
      <c r="AA16" s="657"/>
      <c r="AB16" s="688"/>
      <c r="AC16" s="653"/>
    </row>
    <row r="17" spans="1:32" thickBot="1" x14ac:dyDescent="0.25">
      <c r="B17" s="595" t="s">
        <v>226</v>
      </c>
      <c r="C17" s="247"/>
      <c r="D17" s="362"/>
      <c r="E17" s="356"/>
      <c r="F17" s="363"/>
      <c r="G17" s="356"/>
      <c r="H17" s="362"/>
      <c r="I17" s="1385"/>
      <c r="J17" s="1386"/>
      <c r="K17" s="1387"/>
      <c r="L17" s="1388"/>
      <c r="M17" s="1387"/>
      <c r="N17" s="1388"/>
      <c r="O17" s="1385"/>
      <c r="P17" s="1388"/>
      <c r="Q17" s="1385"/>
      <c r="R17" s="1388"/>
      <c r="S17" s="1385"/>
      <c r="T17" s="466"/>
      <c r="U17" s="247">
        <v>0</v>
      </c>
      <c r="V17" s="364">
        <v>0</v>
      </c>
      <c r="W17" s="247">
        <v>2</v>
      </c>
      <c r="X17" s="364">
        <v>1</v>
      </c>
      <c r="Y17" s="247">
        <v>1</v>
      </c>
      <c r="Z17" s="1404"/>
      <c r="AA17" s="657"/>
      <c r="AB17" s="688"/>
      <c r="AC17" s="759"/>
    </row>
    <row r="18" spans="1:32" thickTop="1" x14ac:dyDescent="0.2">
      <c r="B18" s="119" t="s">
        <v>160</v>
      </c>
      <c r="C18" s="51"/>
      <c r="D18" s="26"/>
      <c r="E18" s="51"/>
      <c r="F18" s="26"/>
      <c r="G18" s="228"/>
      <c r="H18" s="229"/>
      <c r="I18" s="228"/>
      <c r="J18" s="229"/>
      <c r="K18" s="228"/>
      <c r="L18" s="229"/>
      <c r="M18" s="228"/>
      <c r="N18" s="229"/>
      <c r="O18" s="228"/>
      <c r="P18" s="229"/>
      <c r="Q18" s="228"/>
      <c r="R18" s="229"/>
      <c r="S18" s="228"/>
      <c r="T18" s="229"/>
      <c r="U18" s="228"/>
      <c r="V18" s="229"/>
      <c r="W18" s="228"/>
      <c r="X18" s="229"/>
      <c r="Y18" s="228"/>
      <c r="Z18" s="229"/>
      <c r="AB18" s="1381"/>
      <c r="AC18" s="1381"/>
    </row>
    <row r="19" spans="1:32" ht="12" x14ac:dyDescent="0.2">
      <c r="B19" s="50" t="s">
        <v>168</v>
      </c>
      <c r="C19" s="51"/>
      <c r="D19" s="26"/>
      <c r="E19" s="51"/>
      <c r="F19" s="26"/>
      <c r="G19" s="228"/>
      <c r="H19" s="229"/>
      <c r="I19" s="228"/>
      <c r="J19" s="229"/>
      <c r="K19" s="228"/>
      <c r="L19" s="229"/>
      <c r="M19" s="228"/>
      <c r="N19" s="229"/>
      <c r="O19" s="228"/>
      <c r="P19" s="229"/>
      <c r="Q19" s="228"/>
      <c r="R19" s="229"/>
      <c r="S19" s="228"/>
      <c r="T19" s="229"/>
      <c r="U19" s="228"/>
      <c r="V19" s="229"/>
      <c r="W19" s="228"/>
      <c r="X19" s="229"/>
      <c r="Y19" s="228"/>
      <c r="Z19" s="229"/>
      <c r="AB19" s="24"/>
      <c r="AC19" s="24"/>
    </row>
    <row r="20" spans="1:32" ht="6" customHeight="1" thickBot="1" x14ac:dyDescent="0.25">
      <c r="C20" s="51"/>
      <c r="D20" s="26"/>
      <c r="E20" s="51"/>
      <c r="F20" s="26"/>
      <c r="G20" s="228"/>
      <c r="H20" s="229"/>
      <c r="I20" s="228"/>
      <c r="J20" s="229"/>
      <c r="K20" s="228"/>
      <c r="L20" s="229"/>
      <c r="M20" s="628"/>
      <c r="N20" s="229"/>
      <c r="O20" s="628"/>
      <c r="P20" s="229"/>
      <c r="Q20" s="628"/>
      <c r="R20" s="229"/>
      <c r="S20" s="628"/>
      <c r="T20" s="229"/>
      <c r="U20" s="628"/>
      <c r="V20" s="229"/>
      <c r="W20" s="628"/>
      <c r="X20" s="229"/>
      <c r="Y20" s="628"/>
      <c r="Z20" s="229"/>
      <c r="AB20" s="71"/>
      <c r="AC20" s="71"/>
    </row>
    <row r="21" spans="1:32" ht="14.25" customHeight="1" thickTop="1" thickBot="1" x14ac:dyDescent="0.25">
      <c r="B21" s="1055"/>
      <c r="C21" s="1498" t="s">
        <v>33</v>
      </c>
      <c r="D21" s="1499"/>
      <c r="E21" s="1498" t="s">
        <v>34</v>
      </c>
      <c r="F21" s="1501"/>
      <c r="G21" s="1500" t="s">
        <v>106</v>
      </c>
      <c r="H21" s="1495"/>
      <c r="I21" s="1494" t="s">
        <v>118</v>
      </c>
      <c r="J21" s="1494"/>
      <c r="K21" s="1500" t="s">
        <v>121</v>
      </c>
      <c r="L21" s="1494"/>
      <c r="M21" s="1500" t="s">
        <v>127</v>
      </c>
      <c r="N21" s="1495"/>
      <c r="O21" s="1494" t="s">
        <v>174</v>
      </c>
      <c r="P21" s="1495"/>
      <c r="Q21" s="1494" t="s">
        <v>193</v>
      </c>
      <c r="R21" s="1495"/>
      <c r="S21" s="1494" t="s">
        <v>218</v>
      </c>
      <c r="T21" s="1495"/>
      <c r="U21" s="1494" t="s">
        <v>221</v>
      </c>
      <c r="V21" s="1495"/>
      <c r="W21" s="1494" t="s">
        <v>232</v>
      </c>
      <c r="X21" s="1495"/>
      <c r="Y21" s="1494" t="s">
        <v>241</v>
      </c>
      <c r="Z21" s="1508"/>
      <c r="AB21" s="1529" t="s">
        <v>134</v>
      </c>
      <c r="AC21" s="1530"/>
      <c r="AE21" s="1" t="s">
        <v>23</v>
      </c>
    </row>
    <row r="22" spans="1:32" ht="12" x14ac:dyDescent="0.2">
      <c r="B22" s="41" t="s">
        <v>7</v>
      </c>
      <c r="C22" s="132"/>
      <c r="D22" s="133"/>
      <c r="E22" s="16"/>
      <c r="F22" s="16"/>
      <c r="G22" s="260"/>
      <c r="H22" s="407"/>
      <c r="I22" s="387"/>
      <c r="J22" s="387"/>
      <c r="K22" s="260"/>
      <c r="L22" s="387"/>
      <c r="M22" s="265"/>
      <c r="N22" s="435"/>
      <c r="O22" s="265"/>
      <c r="P22" s="435"/>
      <c r="Q22" s="138"/>
      <c r="R22" s="435"/>
      <c r="S22" s="138"/>
      <c r="T22" s="435"/>
      <c r="U22" s="138"/>
      <c r="V22" s="435"/>
      <c r="W22" s="138"/>
      <c r="X22" s="435"/>
      <c r="Y22" s="138"/>
      <c r="Z22" s="236"/>
      <c r="AA22" s="657"/>
      <c r="AB22" s="660"/>
      <c r="AC22" s="656"/>
    </row>
    <row r="23" spans="1:32" ht="12" x14ac:dyDescent="0.2">
      <c r="B23" s="45" t="s">
        <v>8</v>
      </c>
      <c r="C23" s="134"/>
      <c r="D23" s="135"/>
      <c r="E23" s="7"/>
      <c r="F23" s="7"/>
      <c r="G23" s="261"/>
      <c r="H23" s="389"/>
      <c r="I23" s="231"/>
      <c r="J23" s="231"/>
      <c r="K23" s="261"/>
      <c r="L23" s="231"/>
      <c r="M23" s="261"/>
      <c r="N23" s="389"/>
      <c r="O23" s="261"/>
      <c r="P23" s="389"/>
      <c r="Q23" s="231"/>
      <c r="R23" s="389"/>
      <c r="S23" s="231"/>
      <c r="T23" s="389"/>
      <c r="U23" s="231"/>
      <c r="V23" s="389"/>
      <c r="W23" s="231"/>
      <c r="X23" s="389"/>
      <c r="Y23" s="231"/>
      <c r="Z23" s="104"/>
      <c r="AA23" s="657"/>
      <c r="AC23" s="652"/>
    </row>
    <row r="24" spans="1:32" ht="12" x14ac:dyDescent="0.2">
      <c r="B24" s="45" t="s">
        <v>9</v>
      </c>
      <c r="C24" s="134"/>
      <c r="D24" s="168">
        <v>500</v>
      </c>
      <c r="E24" s="7"/>
      <c r="F24" s="99">
        <v>472</v>
      </c>
      <c r="G24" s="261"/>
      <c r="H24" s="1002">
        <v>480</v>
      </c>
      <c r="I24" s="261"/>
      <c r="J24" s="1005">
        <v>476</v>
      </c>
      <c r="K24" s="261"/>
      <c r="L24" s="1005">
        <v>424</v>
      </c>
      <c r="M24" s="261"/>
      <c r="N24" s="408">
        <v>572</v>
      </c>
      <c r="O24" s="261"/>
      <c r="P24" s="408">
        <v>620</v>
      </c>
      <c r="Q24" s="231"/>
      <c r="R24" s="408">
        <v>636</v>
      </c>
      <c r="S24" s="231"/>
      <c r="T24" s="408">
        <v>760</v>
      </c>
      <c r="U24" s="231"/>
      <c r="V24" s="408">
        <v>760</v>
      </c>
      <c r="W24" s="231"/>
      <c r="X24" s="408">
        <v>764</v>
      </c>
      <c r="Y24" s="231"/>
      <c r="Z24" s="1432"/>
      <c r="AA24" s="657"/>
      <c r="AB24" s="16"/>
      <c r="AC24" s="752">
        <f t="shared" ref="AC24:AC28" si="2">AVERAGE(X24,V24,T24,R24,Z24)</f>
        <v>730</v>
      </c>
    </row>
    <row r="25" spans="1:32" ht="12" x14ac:dyDescent="0.2">
      <c r="B25" s="45" t="s">
        <v>10</v>
      </c>
      <c r="C25" s="134"/>
      <c r="D25" s="168">
        <v>2417</v>
      </c>
      <c r="E25" s="7"/>
      <c r="F25" s="99">
        <v>2262</v>
      </c>
      <c r="G25" s="261"/>
      <c r="H25" s="1002">
        <v>2128</v>
      </c>
      <c r="I25" s="261"/>
      <c r="J25" s="1005">
        <v>2155</v>
      </c>
      <c r="K25" s="261"/>
      <c r="L25" s="1005">
        <v>1816</v>
      </c>
      <c r="M25" s="261"/>
      <c r="N25" s="408">
        <v>1875</v>
      </c>
      <c r="O25" s="261"/>
      <c r="P25" s="408">
        <v>2347</v>
      </c>
      <c r="Q25" s="231"/>
      <c r="R25" s="408">
        <v>2434</v>
      </c>
      <c r="S25" s="231"/>
      <c r="T25" s="408">
        <v>2627</v>
      </c>
      <c r="U25" s="231"/>
      <c r="V25" s="408">
        <v>2899</v>
      </c>
      <c r="W25" s="231"/>
      <c r="X25" s="408">
        <v>3043</v>
      </c>
      <c r="Y25" s="231"/>
      <c r="Z25" s="1432"/>
      <c r="AA25" s="657"/>
      <c r="AB25" s="7"/>
      <c r="AC25" s="752">
        <f t="shared" si="2"/>
        <v>2750.75</v>
      </c>
    </row>
    <row r="26" spans="1:32" ht="12" x14ac:dyDescent="0.2">
      <c r="B26" s="45" t="s">
        <v>11</v>
      </c>
      <c r="C26" s="134"/>
      <c r="D26" s="168">
        <v>363</v>
      </c>
      <c r="E26" s="7"/>
      <c r="F26" s="99">
        <v>268</v>
      </c>
      <c r="G26" s="261"/>
      <c r="H26" s="1002">
        <v>365</v>
      </c>
      <c r="I26" s="261"/>
      <c r="J26" s="1005">
        <v>352</v>
      </c>
      <c r="K26" s="261"/>
      <c r="L26" s="1005">
        <v>280</v>
      </c>
      <c r="M26" s="261"/>
      <c r="N26" s="408">
        <v>343</v>
      </c>
      <c r="O26" s="261"/>
      <c r="P26" s="408">
        <v>384</v>
      </c>
      <c r="Q26" s="231"/>
      <c r="R26" s="408">
        <v>505</v>
      </c>
      <c r="S26" s="231"/>
      <c r="T26" s="408">
        <v>460</v>
      </c>
      <c r="U26" s="231"/>
      <c r="V26" s="408">
        <v>453</v>
      </c>
      <c r="W26" s="231"/>
      <c r="X26" s="408">
        <v>500</v>
      </c>
      <c r="Y26" s="231"/>
      <c r="Z26" s="1432"/>
      <c r="AB26" s="748"/>
      <c r="AC26" s="752">
        <f t="shared" si="2"/>
        <v>479.5</v>
      </c>
    </row>
    <row r="27" spans="1:32" ht="12" x14ac:dyDescent="0.2">
      <c r="B27" s="45" t="s">
        <v>12</v>
      </c>
      <c r="C27" s="134"/>
      <c r="D27" s="136">
        <v>269</v>
      </c>
      <c r="E27" s="7"/>
      <c r="F27" s="12">
        <v>251</v>
      </c>
      <c r="G27" s="261"/>
      <c r="H27" s="1003">
        <v>236</v>
      </c>
      <c r="I27" s="261"/>
      <c r="J27" s="1006">
        <v>217</v>
      </c>
      <c r="K27" s="261"/>
      <c r="L27" s="1006">
        <v>272</v>
      </c>
      <c r="M27" s="261"/>
      <c r="N27" s="217">
        <v>201</v>
      </c>
      <c r="O27" s="261"/>
      <c r="P27" s="217">
        <v>286</v>
      </c>
      <c r="Q27" s="231"/>
      <c r="R27" s="217">
        <v>262</v>
      </c>
      <c r="S27" s="231"/>
      <c r="T27" s="217">
        <v>400</v>
      </c>
      <c r="U27" s="231"/>
      <c r="V27" s="217">
        <v>475</v>
      </c>
      <c r="W27" s="231"/>
      <c r="X27" s="217">
        <v>510</v>
      </c>
      <c r="Y27" s="231"/>
      <c r="Z27" s="1433"/>
      <c r="AB27" s="748"/>
      <c r="AC27" s="752">
        <f t="shared" si="2"/>
        <v>411.75</v>
      </c>
      <c r="AF27" s="24"/>
    </row>
    <row r="28" spans="1:32" thickBot="1" x14ac:dyDescent="0.25">
      <c r="B28" s="46" t="s">
        <v>13</v>
      </c>
      <c r="C28" s="137"/>
      <c r="D28" s="178">
        <f>SUM(D24:D27)</f>
        <v>3549</v>
      </c>
      <c r="E28" s="74"/>
      <c r="F28" s="73">
        <f>SUM(F24:F27)</f>
        <v>3253</v>
      </c>
      <c r="G28" s="262"/>
      <c r="H28" s="1004">
        <f>SUM(H24:H27)</f>
        <v>3209</v>
      </c>
      <c r="I28" s="262"/>
      <c r="J28" s="1007">
        <f>SUM(J24:J27)</f>
        <v>3200</v>
      </c>
      <c r="K28" s="262"/>
      <c r="L28" s="1007">
        <f>SUM(L24:L27)</f>
        <v>2792</v>
      </c>
      <c r="M28" s="262"/>
      <c r="N28" s="432">
        <v>2991</v>
      </c>
      <c r="O28" s="262"/>
      <c r="P28" s="432">
        <f>SUM(P24:P27)</f>
        <v>3637</v>
      </c>
      <c r="Q28" s="404"/>
      <c r="R28" s="432">
        <f>SUM(R24:R27)</f>
        <v>3837</v>
      </c>
      <c r="S28" s="404"/>
      <c r="T28" s="432">
        <f>SUM(T24:T27)</f>
        <v>4247</v>
      </c>
      <c r="U28" s="404"/>
      <c r="V28" s="432">
        <f>SUM(V24:V27)</f>
        <v>4587</v>
      </c>
      <c r="W28" s="404"/>
      <c r="X28" s="432">
        <f>SUM(X24:X27)</f>
        <v>4817</v>
      </c>
      <c r="Y28" s="404"/>
      <c r="Z28" s="1434">
        <f>SUM(Z24:Z27)</f>
        <v>0</v>
      </c>
      <c r="AB28" s="659"/>
      <c r="AC28" s="859">
        <f t="shared" si="2"/>
        <v>3497.6</v>
      </c>
      <c r="AF28" s="24"/>
    </row>
    <row r="29" spans="1:32" ht="14.25" thickTop="1" thickBot="1" x14ac:dyDescent="0.25">
      <c r="A29" s="652"/>
      <c r="B29" s="691" t="s">
        <v>150</v>
      </c>
      <c r="C29" s="1477" t="s">
        <v>35</v>
      </c>
      <c r="D29" s="1478"/>
      <c r="E29" s="1477" t="s">
        <v>36</v>
      </c>
      <c r="F29" s="1478"/>
      <c r="G29" s="1479" t="s">
        <v>122</v>
      </c>
      <c r="H29" s="1480"/>
      <c r="I29" s="1479" t="s">
        <v>123</v>
      </c>
      <c r="J29" s="1481"/>
      <c r="K29" s="1479" t="s">
        <v>148</v>
      </c>
      <c r="L29" s="1481"/>
      <c r="M29" s="1488" t="s">
        <v>149</v>
      </c>
      <c r="N29" s="1480"/>
      <c r="O29" s="1479" t="s">
        <v>175</v>
      </c>
      <c r="P29" s="1481"/>
      <c r="Q29" s="1534" t="s">
        <v>194</v>
      </c>
      <c r="R29" s="1481"/>
      <c r="S29" s="1534" t="s">
        <v>219</v>
      </c>
      <c r="T29" s="1481"/>
      <c r="U29" s="1534" t="s">
        <v>222</v>
      </c>
      <c r="V29" s="1481"/>
      <c r="W29" s="1534" t="s">
        <v>233</v>
      </c>
      <c r="X29" s="1481"/>
      <c r="Y29" s="1534" t="s">
        <v>242</v>
      </c>
      <c r="Z29" s="1481"/>
      <c r="AA29" s="692"/>
      <c r="AB29" s="693"/>
      <c r="AC29" s="694"/>
      <c r="AD29" s="489"/>
      <c r="AE29" s="489"/>
      <c r="AF29" s="15"/>
    </row>
    <row r="30" spans="1:32" x14ac:dyDescent="0.2">
      <c r="A30" s="652"/>
      <c r="B30" s="695" t="s">
        <v>135</v>
      </c>
      <c r="C30" s="1463">
        <v>0.29599999999999999</v>
      </c>
      <c r="D30" s="1464"/>
      <c r="E30" s="1465">
        <v>0.32300000000000001</v>
      </c>
      <c r="F30" s="1466"/>
      <c r="G30" s="1465">
        <v>0.31</v>
      </c>
      <c r="H30" s="1466"/>
      <c r="I30" s="1465">
        <v>0.318</v>
      </c>
      <c r="J30" s="1467"/>
      <c r="K30" s="696"/>
      <c r="L30" s="697">
        <v>0.28599999999999998</v>
      </c>
      <c r="M30" s="698"/>
      <c r="N30" s="997">
        <v>0.31</v>
      </c>
      <c r="O30" s="1019"/>
      <c r="P30" s="997">
        <v>0.34599999999999997</v>
      </c>
      <c r="Q30" s="1019"/>
      <c r="R30" s="997">
        <v>0.35899999999999999</v>
      </c>
      <c r="S30" s="1019"/>
      <c r="T30" s="997">
        <v>0.35199999999999998</v>
      </c>
      <c r="U30" s="1019"/>
      <c r="V30" s="997">
        <v>0.36699999999999999</v>
      </c>
      <c r="W30" s="1019"/>
      <c r="X30" s="997">
        <v>0.36499999999999999</v>
      </c>
      <c r="Y30" s="1019"/>
      <c r="Z30" s="1241">
        <v>0.36599999999999999</v>
      </c>
      <c r="AA30" s="699"/>
      <c r="AB30" s="848"/>
      <c r="AC30" s="743">
        <f t="shared" ref="AC30:AC31" si="3">AVERAGE(X30,V30,T30,R30,Z30)</f>
        <v>0.36180000000000001</v>
      </c>
      <c r="AD30" s="489"/>
      <c r="AE30" s="489"/>
      <c r="AF30" s="15"/>
    </row>
    <row r="31" spans="1:32" x14ac:dyDescent="0.2">
      <c r="A31" s="652"/>
      <c r="B31" s="700" t="s">
        <v>136</v>
      </c>
      <c r="C31" s="1470">
        <v>9.9000000000000005E-2</v>
      </c>
      <c r="D31" s="1471"/>
      <c r="E31" s="1472">
        <v>9.4E-2</v>
      </c>
      <c r="F31" s="1473"/>
      <c r="G31" s="1472">
        <v>0.124</v>
      </c>
      <c r="H31" s="1473"/>
      <c r="I31" s="1472">
        <v>0.125</v>
      </c>
      <c r="J31" s="1474"/>
      <c r="K31" s="701"/>
      <c r="L31" s="702">
        <v>0.13800000000000001</v>
      </c>
      <c r="M31" s="701"/>
      <c r="N31" s="998">
        <v>0.151</v>
      </c>
      <c r="O31" s="1020"/>
      <c r="P31" s="998">
        <v>0.13900000000000001</v>
      </c>
      <c r="Q31" s="1020"/>
      <c r="R31" s="998">
        <v>0.14099999999999999</v>
      </c>
      <c r="S31" s="1020"/>
      <c r="T31" s="998">
        <v>0.155</v>
      </c>
      <c r="U31" s="1020"/>
      <c r="V31" s="998">
        <v>0.13700000000000001</v>
      </c>
      <c r="W31" s="1020"/>
      <c r="X31" s="998">
        <v>0.13700000000000001</v>
      </c>
      <c r="Y31" s="1020"/>
      <c r="Z31" s="1242">
        <v>0.121</v>
      </c>
      <c r="AA31" s="699"/>
      <c r="AB31" s="848"/>
      <c r="AC31" s="743">
        <f t="shared" si="3"/>
        <v>0.13820000000000002</v>
      </c>
      <c r="AD31" s="704"/>
      <c r="AE31" s="489" t="s">
        <v>23</v>
      </c>
      <c r="AF31" s="15"/>
    </row>
    <row r="32" spans="1:32" ht="13.5" customHeight="1" thickBot="1" x14ac:dyDescent="0.25">
      <c r="B32" s="703" t="s">
        <v>137</v>
      </c>
      <c r="C32" s="1468">
        <f>1-SUM(C30:D31)</f>
        <v>0.60499999999999998</v>
      </c>
      <c r="D32" s="1469"/>
      <c r="E32" s="1468">
        <f>1-SUM(E30:F31)</f>
        <v>0.58299999999999996</v>
      </c>
      <c r="F32" s="1469"/>
      <c r="G32" s="1468">
        <f>1-SUM(G30:H31)</f>
        <v>0.56600000000000006</v>
      </c>
      <c r="H32" s="1469"/>
      <c r="I32" s="1468">
        <f>1-SUM(I30:J31)</f>
        <v>0.55699999999999994</v>
      </c>
      <c r="J32" s="1469"/>
      <c r="K32" s="1468">
        <f>1-SUM(K30:L31)</f>
        <v>0.57600000000000007</v>
      </c>
      <c r="L32" s="1469"/>
      <c r="M32" s="1468">
        <f>1-SUM(M30:N31)</f>
        <v>0.53900000000000003</v>
      </c>
      <c r="N32" s="1469"/>
      <c r="O32" s="1540">
        <f>1-P30-P31</f>
        <v>0.51500000000000001</v>
      </c>
      <c r="P32" s="1491"/>
      <c r="Q32" s="1490">
        <f>1-R30-R31</f>
        <v>0.5</v>
      </c>
      <c r="R32" s="1491"/>
      <c r="S32" s="1490">
        <f>1-T30-T31</f>
        <v>0.49299999999999999</v>
      </c>
      <c r="T32" s="1491"/>
      <c r="U32" s="1490">
        <f>1-V30-V31</f>
        <v>0.496</v>
      </c>
      <c r="V32" s="1491"/>
      <c r="W32" s="1490">
        <f>1-X30-X31</f>
        <v>0.498</v>
      </c>
      <c r="X32" s="1491"/>
      <c r="Y32" s="1490">
        <f>1-Z30-Z31</f>
        <v>0.51300000000000001</v>
      </c>
      <c r="Z32" s="1491"/>
      <c r="AA32" s="699"/>
      <c r="AB32" s="1515">
        <v>0.36075000000000002</v>
      </c>
      <c r="AC32" s="1516"/>
      <c r="AD32" s="704"/>
      <c r="AE32" s="1246"/>
      <c r="AF32" s="15"/>
    </row>
    <row r="33" spans="1:32" ht="12.75" customHeight="1" thickTop="1" x14ac:dyDescent="0.2">
      <c r="B33" s="65"/>
      <c r="C33" s="68"/>
      <c r="D33" s="67"/>
      <c r="E33" s="68"/>
      <c r="F33" s="67"/>
      <c r="G33" s="233"/>
      <c r="H33" s="234"/>
      <c r="I33" s="233"/>
      <c r="J33" s="234"/>
      <c r="K33" s="233"/>
      <c r="L33" s="234"/>
      <c r="M33" s="233"/>
      <c r="N33" s="234"/>
      <c r="O33" s="233"/>
      <c r="P33" s="234"/>
      <c r="Q33" s="233"/>
      <c r="R33" s="234"/>
      <c r="S33" s="233"/>
      <c r="T33" s="234"/>
      <c r="U33" s="233"/>
      <c r="V33" s="234"/>
      <c r="W33" s="233"/>
      <c r="X33" s="234"/>
      <c r="Y33" s="233"/>
      <c r="Z33" s="234"/>
      <c r="AF33" s="24"/>
    </row>
    <row r="34" spans="1:32" x14ac:dyDescent="0.2">
      <c r="A34" s="75" t="s">
        <v>65</v>
      </c>
      <c r="B34" s="61"/>
      <c r="C34" s="24"/>
      <c r="D34" s="24"/>
      <c r="E34" s="24"/>
      <c r="F34" s="24"/>
      <c r="G34" s="235"/>
      <c r="H34" s="235"/>
      <c r="I34" s="235"/>
      <c r="J34" s="235"/>
      <c r="K34" s="235"/>
      <c r="L34" s="235"/>
      <c r="M34" s="235"/>
      <c r="N34" s="235"/>
      <c r="O34" s="235"/>
      <c r="P34" s="235"/>
      <c r="Q34" s="235"/>
      <c r="R34" s="235"/>
      <c r="S34" s="235"/>
      <c r="T34" s="235"/>
      <c r="U34" s="235"/>
      <c r="V34" s="235"/>
      <c r="W34" s="235"/>
      <c r="X34" s="235"/>
      <c r="Y34" s="235"/>
      <c r="Z34" s="235"/>
      <c r="AF34" s="24"/>
    </row>
    <row r="35" spans="1:32" ht="12.75" customHeight="1" thickBot="1" x14ac:dyDescent="0.25">
      <c r="A35" s="75"/>
      <c r="B35" s="61"/>
      <c r="C35" s="24"/>
      <c r="D35" s="24"/>
      <c r="E35" s="24"/>
      <c r="F35" s="24"/>
      <c r="G35" s="235"/>
      <c r="H35" s="235"/>
      <c r="I35" s="235"/>
      <c r="J35" s="235"/>
      <c r="K35" s="235"/>
      <c r="L35" s="235"/>
      <c r="M35" s="252"/>
      <c r="N35" s="235"/>
      <c r="O35" s="252"/>
      <c r="P35" s="235"/>
      <c r="Q35" s="252"/>
      <c r="R35" s="235"/>
      <c r="S35" s="252"/>
      <c r="T35" s="235"/>
      <c r="U35" s="252"/>
      <c r="V35" s="235"/>
      <c r="W35" s="252"/>
      <c r="X35" s="235"/>
      <c r="Y35" s="252"/>
      <c r="Z35" s="235"/>
      <c r="AB35" s="71"/>
      <c r="AC35" s="71"/>
      <c r="AF35" s="24"/>
    </row>
    <row r="36" spans="1:32" ht="14.25" thickTop="1" thickBot="1" x14ac:dyDescent="0.25">
      <c r="A36" s="3"/>
      <c r="B36" s="1127" t="s">
        <v>57</v>
      </c>
      <c r="C36" s="1501" t="s">
        <v>33</v>
      </c>
      <c r="D36" s="1499"/>
      <c r="E36" s="1498" t="s">
        <v>34</v>
      </c>
      <c r="F36" s="1501"/>
      <c r="G36" s="1500" t="s">
        <v>106</v>
      </c>
      <c r="H36" s="1495"/>
      <c r="I36" s="1494" t="s">
        <v>118</v>
      </c>
      <c r="J36" s="1494"/>
      <c r="K36" s="1500" t="s">
        <v>121</v>
      </c>
      <c r="L36" s="1494"/>
      <c r="M36" s="1500" t="s">
        <v>127</v>
      </c>
      <c r="N36" s="1495"/>
      <c r="O36" s="1500" t="s">
        <v>174</v>
      </c>
      <c r="P36" s="1541"/>
      <c r="Q36" s="1500" t="s">
        <v>193</v>
      </c>
      <c r="R36" s="1495"/>
      <c r="S36" s="1494" t="s">
        <v>218</v>
      </c>
      <c r="T36" s="1495"/>
      <c r="U36" s="1494" t="s">
        <v>221</v>
      </c>
      <c r="V36" s="1495"/>
      <c r="W36" s="1494" t="s">
        <v>232</v>
      </c>
      <c r="X36" s="1495"/>
      <c r="Y36" s="1494" t="s">
        <v>241</v>
      </c>
      <c r="Z36" s="1508"/>
      <c r="AB36" s="1529" t="s">
        <v>134</v>
      </c>
      <c r="AC36" s="1530"/>
    </row>
    <row r="37" spans="1:32" x14ac:dyDescent="0.2">
      <c r="A37" s="3"/>
      <c r="B37" s="1128" t="s">
        <v>58</v>
      </c>
      <c r="C37" s="12"/>
      <c r="D37" s="12"/>
      <c r="E37" s="1143"/>
      <c r="F37" s="12"/>
      <c r="G37" s="308"/>
      <c r="H37" s="217"/>
      <c r="I37" s="105"/>
      <c r="J37" s="105"/>
      <c r="K37" s="308"/>
      <c r="L37" s="105"/>
      <c r="M37" s="295"/>
      <c r="N37" s="1000"/>
      <c r="O37" s="420"/>
      <c r="P37" s="1186"/>
      <c r="Q37" s="420"/>
      <c r="R37" s="1000"/>
      <c r="S37" s="420"/>
      <c r="T37" s="1000"/>
      <c r="U37" s="420"/>
      <c r="V37" s="1000"/>
      <c r="W37" s="420"/>
      <c r="X37" s="1000"/>
      <c r="Y37" s="420"/>
      <c r="Z37" s="626"/>
      <c r="AB37" s="744"/>
      <c r="AC37" s="745"/>
    </row>
    <row r="38" spans="1:32" x14ac:dyDescent="0.2">
      <c r="A38" s="3"/>
      <c r="B38" s="1044" t="s">
        <v>59</v>
      </c>
      <c r="C38" s="179"/>
      <c r="D38" s="214">
        <v>810136</v>
      </c>
      <c r="E38" s="189"/>
      <c r="F38" s="214">
        <v>843642</v>
      </c>
      <c r="G38" s="295"/>
      <c r="H38" s="447">
        <v>846168</v>
      </c>
      <c r="I38" s="420"/>
      <c r="J38" s="487">
        <v>959967</v>
      </c>
      <c r="K38" s="295"/>
      <c r="L38" s="487">
        <v>983220</v>
      </c>
      <c r="M38" s="295"/>
      <c r="N38" s="447">
        <v>1056894</v>
      </c>
      <c r="O38" s="420"/>
      <c r="P38" s="447">
        <v>1067039</v>
      </c>
      <c r="Q38" s="420"/>
      <c r="R38" s="447">
        <v>1332091</v>
      </c>
      <c r="S38" s="420"/>
      <c r="T38" s="447">
        <v>1130918</v>
      </c>
      <c r="U38" s="420"/>
      <c r="V38" s="447">
        <v>1152814</v>
      </c>
      <c r="W38" s="420"/>
      <c r="X38" s="447">
        <v>5212183</v>
      </c>
      <c r="Y38" s="420"/>
      <c r="Z38" s="1352">
        <v>5401483</v>
      </c>
      <c r="AA38" s="657"/>
      <c r="AB38" s="7"/>
      <c r="AC38" s="746">
        <f>AVERAGE(X38,V38,T38,R38,Z38)</f>
        <v>2845897.8</v>
      </c>
    </row>
    <row r="39" spans="1:32" x14ac:dyDescent="0.2">
      <c r="A39" s="3"/>
      <c r="B39" s="1044" t="s">
        <v>196</v>
      </c>
      <c r="C39" s="179"/>
      <c r="D39" s="214"/>
      <c r="E39" s="189"/>
      <c r="F39" s="214"/>
      <c r="G39" s="295"/>
      <c r="H39" s="447"/>
      <c r="I39" s="420"/>
      <c r="J39" s="487"/>
      <c r="K39" s="295"/>
      <c r="L39" s="487"/>
      <c r="M39" s="295"/>
      <c r="N39" s="447"/>
      <c r="O39" s="420"/>
      <c r="P39" s="447"/>
      <c r="Q39" s="420"/>
      <c r="R39" s="447"/>
      <c r="S39" s="420"/>
      <c r="T39" s="447"/>
      <c r="U39" s="420"/>
      <c r="V39" s="447"/>
      <c r="W39" s="420"/>
      <c r="X39" s="447"/>
      <c r="Y39" s="420"/>
      <c r="Z39" s="1352"/>
      <c r="AA39" s="657"/>
      <c r="AB39" s="1076"/>
      <c r="AC39" s="746"/>
    </row>
    <row r="40" spans="1:32" ht="36" x14ac:dyDescent="0.2">
      <c r="A40" s="3"/>
      <c r="B40" s="1045" t="s">
        <v>198</v>
      </c>
      <c r="C40" s="12"/>
      <c r="D40" s="215">
        <v>12000</v>
      </c>
      <c r="E40" s="161"/>
      <c r="F40" s="215">
        <v>12000</v>
      </c>
      <c r="G40" s="308"/>
      <c r="H40" s="448">
        <v>12000</v>
      </c>
      <c r="I40" s="105"/>
      <c r="J40" s="482">
        <v>12000</v>
      </c>
      <c r="K40" s="308"/>
      <c r="L40" s="482">
        <v>12000</v>
      </c>
      <c r="M40" s="308"/>
      <c r="N40" s="448">
        <v>12000</v>
      </c>
      <c r="O40" s="105"/>
      <c r="P40" s="448">
        <v>12000</v>
      </c>
      <c r="Q40" s="105"/>
      <c r="R40" s="448">
        <v>12000</v>
      </c>
      <c r="S40" s="105"/>
      <c r="T40" s="448">
        <v>12000</v>
      </c>
      <c r="U40" s="105"/>
      <c r="V40" s="448">
        <v>12000</v>
      </c>
      <c r="W40" s="105"/>
      <c r="X40" s="448">
        <v>62742</v>
      </c>
      <c r="Y40" s="105"/>
      <c r="Z40" s="1349">
        <v>12000</v>
      </c>
      <c r="AA40" s="657"/>
      <c r="AB40" s="748"/>
      <c r="AC40" s="746">
        <f t="shared" ref="AC40:AC41" si="4">AVERAGE(X40,V40,T40,R40,Z40)</f>
        <v>22148.400000000001</v>
      </c>
    </row>
    <row r="41" spans="1:32" x14ac:dyDescent="0.2">
      <c r="A41" s="3"/>
      <c r="B41" s="1046" t="s">
        <v>60</v>
      </c>
      <c r="C41" s="60"/>
      <c r="D41" s="216">
        <f>SUM(D38:D40)</f>
        <v>822136</v>
      </c>
      <c r="E41" s="212"/>
      <c r="F41" s="216">
        <f>SUM(F38:F40)</f>
        <v>855642</v>
      </c>
      <c r="G41" s="309"/>
      <c r="H41" s="449">
        <f>SUM(H38:H40)</f>
        <v>858168</v>
      </c>
      <c r="I41" s="445"/>
      <c r="J41" s="483">
        <f>SUM(J38:J40)</f>
        <v>971967</v>
      </c>
      <c r="K41" s="309"/>
      <c r="L41" s="483">
        <f>SUM(L38:L40)</f>
        <v>995220</v>
      </c>
      <c r="M41" s="309"/>
      <c r="N41" s="449">
        <f>SUM(N38:N40)</f>
        <v>1068894</v>
      </c>
      <c r="O41" s="445"/>
      <c r="P41" s="449">
        <f>SUM(P38:P40)</f>
        <v>1079039</v>
      </c>
      <c r="Q41" s="445"/>
      <c r="R41" s="449">
        <f>SUM(R38:R40)</f>
        <v>1344091</v>
      </c>
      <c r="S41" s="445"/>
      <c r="T41" s="449">
        <f>SUM(T38:T40)</f>
        <v>1142918</v>
      </c>
      <c r="U41" s="445"/>
      <c r="V41" s="449">
        <f>SUM(V38:V40)</f>
        <v>1164814</v>
      </c>
      <c r="W41" s="445"/>
      <c r="X41" s="449">
        <f>SUM(X38:X40)</f>
        <v>5274925</v>
      </c>
      <c r="Y41" s="445"/>
      <c r="Z41" s="449">
        <f>SUM(Z38:Z40)</f>
        <v>5413483</v>
      </c>
      <c r="AA41" s="657"/>
      <c r="AB41" s="748"/>
      <c r="AC41" s="804">
        <f t="shared" si="4"/>
        <v>2868046.2</v>
      </c>
    </row>
    <row r="42" spans="1:32" x14ac:dyDescent="0.2">
      <c r="A42" s="3"/>
      <c r="B42" s="1043" t="s">
        <v>61</v>
      </c>
      <c r="C42" s="12"/>
      <c r="D42" s="215"/>
      <c r="E42" s="161"/>
      <c r="F42" s="215"/>
      <c r="G42" s="308"/>
      <c r="H42" s="448"/>
      <c r="I42" s="105"/>
      <c r="J42" s="482"/>
      <c r="K42" s="308"/>
      <c r="L42" s="482"/>
      <c r="M42" s="308"/>
      <c r="N42" s="448"/>
      <c r="O42" s="105"/>
      <c r="P42" s="448"/>
      <c r="Q42" s="105"/>
      <c r="R42" s="448"/>
      <c r="S42" s="105"/>
      <c r="T42" s="448"/>
      <c r="U42" s="105"/>
      <c r="V42" s="448"/>
      <c r="W42" s="105"/>
      <c r="X42" s="448"/>
      <c r="Y42" s="105"/>
      <c r="Z42" s="1349"/>
      <c r="AA42" s="657"/>
      <c r="AB42" s="7"/>
      <c r="AC42" s="746"/>
    </row>
    <row r="43" spans="1:32" x14ac:dyDescent="0.2">
      <c r="A43" s="3"/>
      <c r="B43" s="1044" t="s">
        <v>59</v>
      </c>
      <c r="C43" s="12"/>
      <c r="D43" s="215">
        <v>4706761</v>
      </c>
      <c r="E43" s="161"/>
      <c r="F43" s="215">
        <v>4942935</v>
      </c>
      <c r="G43" s="308"/>
      <c r="H43" s="448">
        <v>4919903</v>
      </c>
      <c r="I43" s="105"/>
      <c r="J43" s="482">
        <v>5468159</v>
      </c>
      <c r="K43" s="308"/>
      <c r="L43" s="482">
        <v>5625505</v>
      </c>
      <c r="M43" s="308"/>
      <c r="N43" s="448">
        <v>5790104</v>
      </c>
      <c r="O43" s="105"/>
      <c r="P43" s="448">
        <v>5350681</v>
      </c>
      <c r="Q43" s="105"/>
      <c r="R43" s="448">
        <v>5226995</v>
      </c>
      <c r="S43" s="105"/>
      <c r="T43" s="448">
        <v>5491204</v>
      </c>
      <c r="U43" s="105"/>
      <c r="V43" s="448">
        <v>5860023</v>
      </c>
      <c r="W43" s="105"/>
      <c r="X43" s="448">
        <v>1867314</v>
      </c>
      <c r="Y43" s="105"/>
      <c r="Z43" s="1349">
        <v>1771041</v>
      </c>
      <c r="AA43" s="657"/>
      <c r="AB43" s="748"/>
      <c r="AC43" s="746">
        <f t="shared" ref="AC43:AC47" si="5">AVERAGE(X43,V43,T43,R43,Z43)</f>
        <v>4043315.4</v>
      </c>
    </row>
    <row r="44" spans="1:32" x14ac:dyDescent="0.2">
      <c r="A44" s="3"/>
      <c r="B44" s="1044" t="s">
        <v>196</v>
      </c>
      <c r="C44" s="12"/>
      <c r="D44" s="215"/>
      <c r="E44" s="161"/>
      <c r="F44" s="215"/>
      <c r="G44" s="308"/>
      <c r="H44" s="448"/>
      <c r="I44" s="105"/>
      <c r="J44" s="482">
        <v>12000</v>
      </c>
      <c r="K44" s="308"/>
      <c r="L44" s="482">
        <v>12000</v>
      </c>
      <c r="M44" s="308"/>
      <c r="N44" s="448">
        <v>12000</v>
      </c>
      <c r="O44" s="105"/>
      <c r="P44" s="448">
        <v>12000</v>
      </c>
      <c r="Q44" s="105"/>
      <c r="R44" s="448">
        <v>12000</v>
      </c>
      <c r="S44" s="105"/>
      <c r="T44" s="448">
        <v>12000</v>
      </c>
      <c r="U44" s="105"/>
      <c r="V44" s="448">
        <v>12000</v>
      </c>
      <c r="W44" s="105"/>
      <c r="X44" s="448">
        <v>12000</v>
      </c>
      <c r="Y44" s="105"/>
      <c r="Z44" s="1349">
        <v>12000</v>
      </c>
      <c r="AA44" s="657"/>
      <c r="AB44" s="748"/>
      <c r="AC44" s="746">
        <f t="shared" si="5"/>
        <v>12000</v>
      </c>
    </row>
    <row r="45" spans="1:32" ht="36" x14ac:dyDescent="0.2">
      <c r="A45" s="3"/>
      <c r="B45" s="1045" t="s">
        <v>198</v>
      </c>
      <c r="C45" s="12"/>
      <c r="D45" s="215">
        <v>3252835</v>
      </c>
      <c r="E45" s="161"/>
      <c r="F45" s="215">
        <v>4848697</v>
      </c>
      <c r="G45" s="308"/>
      <c r="H45" s="448">
        <v>4807792</v>
      </c>
      <c r="I45" s="105"/>
      <c r="J45" s="482">
        <v>2379447</v>
      </c>
      <c r="K45" s="308"/>
      <c r="L45" s="482">
        <v>2674058</v>
      </c>
      <c r="M45" s="308"/>
      <c r="N45" s="448">
        <v>1563460</v>
      </c>
      <c r="O45" s="105"/>
      <c r="P45" s="448">
        <v>1581342</v>
      </c>
      <c r="Q45" s="105"/>
      <c r="R45" s="448">
        <v>1644798</v>
      </c>
      <c r="S45" s="105"/>
      <c r="T45" s="448">
        <v>1620878</v>
      </c>
      <c r="U45" s="105"/>
      <c r="V45" s="448">
        <v>1620379</v>
      </c>
      <c r="W45" s="105"/>
      <c r="X45" s="448">
        <v>1786976</v>
      </c>
      <c r="Y45" s="105"/>
      <c r="Z45" s="1349">
        <v>1757561</v>
      </c>
      <c r="AA45" s="657"/>
      <c r="AB45" s="748"/>
      <c r="AC45" s="746">
        <f t="shared" si="5"/>
        <v>1686118.3999999999</v>
      </c>
    </row>
    <row r="46" spans="1:32" x14ac:dyDescent="0.2">
      <c r="A46" s="3"/>
      <c r="B46" s="1046" t="s">
        <v>62</v>
      </c>
      <c r="C46" s="60"/>
      <c r="D46" s="216">
        <f>SUM(D43:D45)</f>
        <v>7959596</v>
      </c>
      <c r="E46" s="212"/>
      <c r="F46" s="216">
        <f>SUM(F43:F45)</f>
        <v>9791632</v>
      </c>
      <c r="G46" s="309"/>
      <c r="H46" s="449">
        <f>SUM(H43:H45)</f>
        <v>9727695</v>
      </c>
      <c r="I46" s="445"/>
      <c r="J46" s="483">
        <f>SUM(J43:J45)</f>
        <v>7859606</v>
      </c>
      <c r="K46" s="309"/>
      <c r="L46" s="483">
        <f>SUM(L43:L45)</f>
        <v>8311563</v>
      </c>
      <c r="M46" s="309"/>
      <c r="N46" s="449">
        <f>SUM(N43:N45)</f>
        <v>7365564</v>
      </c>
      <c r="O46" s="445"/>
      <c r="P46" s="449">
        <f>SUM(P43:P45)</f>
        <v>6944023</v>
      </c>
      <c r="Q46" s="445"/>
      <c r="R46" s="449">
        <f>SUM(R43:R45)</f>
        <v>6883793</v>
      </c>
      <c r="S46" s="445"/>
      <c r="T46" s="449">
        <f>SUM(T43:T45)</f>
        <v>7124082</v>
      </c>
      <c r="U46" s="445"/>
      <c r="V46" s="449">
        <f>SUM(V43:V45)</f>
        <v>7492402</v>
      </c>
      <c r="W46" s="445"/>
      <c r="X46" s="449">
        <f>SUM(X43:X45)</f>
        <v>3666290</v>
      </c>
      <c r="Y46" s="445"/>
      <c r="Z46" s="449">
        <f>SUM(Z43:Z45)</f>
        <v>3540602</v>
      </c>
      <c r="AA46" s="657"/>
      <c r="AB46" s="318"/>
      <c r="AC46" s="804">
        <f t="shared" si="5"/>
        <v>5741433.7999999998</v>
      </c>
    </row>
    <row r="47" spans="1:32" ht="13.5" thickBot="1" x14ac:dyDescent="0.25">
      <c r="A47" s="3"/>
      <c r="B47" s="1047" t="s">
        <v>63</v>
      </c>
      <c r="C47" s="12"/>
      <c r="D47" s="216">
        <f>SUM(D41,D46)</f>
        <v>8781732</v>
      </c>
      <c r="E47" s="161"/>
      <c r="F47" s="216">
        <f>SUM(F41,F46)</f>
        <v>10647274</v>
      </c>
      <c r="G47" s="308"/>
      <c r="H47" s="449">
        <f>SUM(H41,H46)</f>
        <v>10585863</v>
      </c>
      <c r="I47" s="105"/>
      <c r="J47" s="483">
        <f>SUM(J41,J46)</f>
        <v>8831573</v>
      </c>
      <c r="K47" s="308"/>
      <c r="L47" s="483">
        <f>SUM(L41,L46)</f>
        <v>9306783</v>
      </c>
      <c r="M47" s="625"/>
      <c r="N47" s="449">
        <f>SUM(N41,N46)</f>
        <v>8434458</v>
      </c>
      <c r="O47" s="999"/>
      <c r="P47" s="449">
        <f>SUM(P41,P46)</f>
        <v>8023062</v>
      </c>
      <c r="Q47" s="999"/>
      <c r="R47" s="449">
        <f>SUM(R41,R46)</f>
        <v>8227884</v>
      </c>
      <c r="S47" s="999"/>
      <c r="T47" s="449">
        <f>SUM(T41,T46)</f>
        <v>8267000</v>
      </c>
      <c r="U47" s="999"/>
      <c r="V47" s="449">
        <f>SUM(V41,V46)</f>
        <v>8657216</v>
      </c>
      <c r="W47" s="999"/>
      <c r="X47" s="1449">
        <f>SUM(X41,X46)</f>
        <v>8941215</v>
      </c>
      <c r="Y47" s="999"/>
      <c r="Z47" s="449">
        <f>SUM(Z41,Z46)</f>
        <v>8954085</v>
      </c>
      <c r="AA47" s="657"/>
      <c r="AB47" s="665"/>
      <c r="AC47" s="804">
        <f t="shared" si="5"/>
        <v>8609480</v>
      </c>
    </row>
    <row r="48" spans="1:32" ht="12" x14ac:dyDescent="0.2">
      <c r="B48" s="1048" t="s">
        <v>205</v>
      </c>
      <c r="C48" s="54"/>
      <c r="D48" s="54"/>
      <c r="E48" s="142"/>
      <c r="F48" s="54"/>
      <c r="G48" s="265"/>
      <c r="H48" s="435"/>
      <c r="I48" s="138"/>
      <c r="J48" s="138"/>
      <c r="K48" s="265"/>
      <c r="L48" s="138"/>
      <c r="M48" s="265"/>
      <c r="N48" s="435"/>
      <c r="O48" s="138"/>
      <c r="P48" s="435"/>
      <c r="Q48" s="138"/>
      <c r="R48" s="435"/>
      <c r="S48" s="138"/>
      <c r="T48" s="435"/>
      <c r="U48" s="138"/>
      <c r="V48" s="435"/>
      <c r="W48" s="138"/>
      <c r="X48" s="435"/>
      <c r="Y48" s="138"/>
      <c r="Z48" s="236"/>
      <c r="AA48" s="657"/>
      <c r="AB48" s="16"/>
      <c r="AC48" s="1011"/>
    </row>
    <row r="49" spans="1:29" x14ac:dyDescent="0.2">
      <c r="B49" s="45" t="s">
        <v>14</v>
      </c>
      <c r="C49" s="17"/>
      <c r="D49" s="49">
        <f>799548+32240</f>
        <v>831788</v>
      </c>
      <c r="E49" s="134"/>
      <c r="F49" s="328">
        <v>882409</v>
      </c>
      <c r="G49" s="261"/>
      <c r="H49" s="182">
        <v>950849</v>
      </c>
      <c r="I49" s="231"/>
      <c r="J49" s="501">
        <v>982613.99</v>
      </c>
      <c r="K49" s="261"/>
      <c r="L49" s="690">
        <v>1027120</v>
      </c>
      <c r="M49" s="261"/>
      <c r="N49" s="1010">
        <v>1043370</v>
      </c>
      <c r="O49" s="231"/>
      <c r="P49" s="1248">
        <v>1162259</v>
      </c>
      <c r="Q49" s="327"/>
      <c r="R49" s="1248">
        <v>1082631</v>
      </c>
      <c r="S49" s="327"/>
      <c r="T49" s="1248">
        <v>1149590</v>
      </c>
      <c r="U49" s="327"/>
      <c r="V49" s="1248">
        <v>1129175</v>
      </c>
      <c r="W49" s="327"/>
      <c r="X49" s="1248">
        <v>1325253.48</v>
      </c>
      <c r="Y49" s="327"/>
      <c r="Z49" s="1330"/>
      <c r="AB49" s="748"/>
      <c r="AC49" s="854">
        <f>AVERAGE(X49,V49,T49,R49,P49)</f>
        <v>1169781.696</v>
      </c>
    </row>
    <row r="50" spans="1:29" ht="12" x14ac:dyDescent="0.2">
      <c r="B50" s="1129" t="s">
        <v>15</v>
      </c>
      <c r="C50" s="1313"/>
      <c r="D50" s="1139">
        <f>3576334+384581+904080+154659</f>
        <v>5019654</v>
      </c>
      <c r="E50" s="184"/>
      <c r="F50" s="329">
        <f>4043174+1056316</f>
        <v>5099490</v>
      </c>
      <c r="G50" s="296"/>
      <c r="H50" s="182">
        <v>5439967</v>
      </c>
      <c r="I50" s="421"/>
      <c r="J50" s="502">
        <f>4316964+1067969</f>
        <v>5384933</v>
      </c>
      <c r="K50" s="296"/>
      <c r="L50" s="555">
        <f>88481+101597+428654+4129556+1075201+93774</f>
        <v>5917263</v>
      </c>
      <c r="M50" s="296"/>
      <c r="N50" s="1117">
        <v>5809090</v>
      </c>
      <c r="O50" s="421"/>
      <c r="P50" s="503">
        <f>1103936+4279698+121097+108398+49724+1000</f>
        <v>5663853</v>
      </c>
      <c r="Q50" s="327"/>
      <c r="R50" s="503">
        <f>189246.02+4261701.5+1022558.87+90719.59+54416.95+63.51</f>
        <v>5618706.4399999995</v>
      </c>
      <c r="S50" s="327"/>
      <c r="T50" s="503">
        <f>329626.67+4355862.95+1073152.29+92523.56+74241.96-63.51</f>
        <v>5925343.9199999999</v>
      </c>
      <c r="U50" s="327"/>
      <c r="V50" s="503">
        <v>7363166</v>
      </c>
      <c r="W50" s="327"/>
      <c r="X50" s="503">
        <v>6841077.3099999996</v>
      </c>
      <c r="Y50" s="327"/>
      <c r="Z50" s="1331"/>
      <c r="AB50" s="318"/>
      <c r="AC50" s="854">
        <f>AVERAGE(X50,V50,T50,R50,P50)</f>
        <v>6282429.3339999989</v>
      </c>
    </row>
    <row r="51" spans="1:29" thickBot="1" x14ac:dyDescent="0.25">
      <c r="B51" s="1130" t="s">
        <v>32</v>
      </c>
      <c r="C51" s="19"/>
      <c r="D51" s="1140"/>
      <c r="E51" s="144"/>
      <c r="F51" s="306"/>
      <c r="G51" s="266"/>
      <c r="H51" s="436"/>
      <c r="I51" s="422"/>
      <c r="J51" s="332"/>
      <c r="K51" s="266"/>
      <c r="L51" s="332"/>
      <c r="M51" s="266"/>
      <c r="N51" s="436"/>
      <c r="O51" s="422"/>
      <c r="P51" s="436"/>
      <c r="Q51" s="422"/>
      <c r="R51" s="436"/>
      <c r="S51" s="422"/>
      <c r="T51" s="436"/>
      <c r="U51" s="422"/>
      <c r="V51" s="436"/>
      <c r="W51" s="422"/>
      <c r="X51" s="436"/>
      <c r="Y51" s="422"/>
      <c r="Z51" s="237"/>
      <c r="AB51" s="849"/>
      <c r="AC51" s="850"/>
    </row>
    <row r="52" spans="1:29" ht="12" x14ac:dyDescent="0.2">
      <c r="B52" s="1131"/>
      <c r="C52" s="53" t="s">
        <v>97</v>
      </c>
      <c r="D52" s="155" t="s">
        <v>104</v>
      </c>
      <c r="E52" s="145" t="s">
        <v>97</v>
      </c>
      <c r="F52" s="155" t="s">
        <v>104</v>
      </c>
      <c r="G52" s="267" t="s">
        <v>97</v>
      </c>
      <c r="H52" s="437" t="s">
        <v>104</v>
      </c>
      <c r="I52" s="423" t="s">
        <v>97</v>
      </c>
      <c r="J52" s="475" t="s">
        <v>104</v>
      </c>
      <c r="K52" s="267" t="s">
        <v>97</v>
      </c>
      <c r="L52" s="475" t="s">
        <v>104</v>
      </c>
      <c r="M52" s="267" t="s">
        <v>97</v>
      </c>
      <c r="N52" s="437" t="s">
        <v>104</v>
      </c>
      <c r="O52" s="267" t="s">
        <v>97</v>
      </c>
      <c r="P52" s="437" t="s">
        <v>104</v>
      </c>
      <c r="Q52" s="267" t="s">
        <v>97</v>
      </c>
      <c r="R52" s="437" t="s">
        <v>104</v>
      </c>
      <c r="S52" s="423" t="s">
        <v>97</v>
      </c>
      <c r="T52" s="437" t="s">
        <v>104</v>
      </c>
      <c r="U52" s="423" t="s">
        <v>97</v>
      </c>
      <c r="V52" s="437" t="s">
        <v>104</v>
      </c>
      <c r="W52" s="423" t="s">
        <v>97</v>
      </c>
      <c r="X52" s="437" t="s">
        <v>104</v>
      </c>
      <c r="Y52" s="423" t="s">
        <v>97</v>
      </c>
      <c r="Z52" s="475" t="s">
        <v>104</v>
      </c>
      <c r="AA52" s="657"/>
      <c r="AB52" s="749" t="s">
        <v>97</v>
      </c>
      <c r="AC52" s="250" t="s">
        <v>104</v>
      </c>
    </row>
    <row r="53" spans="1:29" ht="11.45" customHeight="1" x14ac:dyDescent="0.2">
      <c r="B53" s="1072" t="s">
        <v>50</v>
      </c>
      <c r="C53" s="1012">
        <v>58</v>
      </c>
      <c r="D53" s="512">
        <v>4591026.6100000003</v>
      </c>
      <c r="E53" s="790">
        <v>66</v>
      </c>
      <c r="F53" s="516">
        <v>2379370.36</v>
      </c>
      <c r="G53" s="768">
        <v>70</v>
      </c>
      <c r="H53" s="503">
        <v>3440901</v>
      </c>
      <c r="I53" s="799">
        <v>84</v>
      </c>
      <c r="J53" s="1013">
        <v>2691440.76</v>
      </c>
      <c r="K53" s="768">
        <v>82</v>
      </c>
      <c r="L53" s="462">
        <v>6336384</v>
      </c>
      <c r="M53" s="1093">
        <v>105</v>
      </c>
      <c r="N53" s="503">
        <v>10019627</v>
      </c>
      <c r="O53" s="1093">
        <v>87</v>
      </c>
      <c r="P53" s="503">
        <v>10207729</v>
      </c>
      <c r="Q53" s="1093">
        <v>94</v>
      </c>
      <c r="R53" s="503">
        <v>10569610</v>
      </c>
      <c r="S53" s="1093">
        <v>103</v>
      </c>
      <c r="T53" s="503">
        <v>7562996</v>
      </c>
      <c r="U53" s="1093">
        <v>106</v>
      </c>
      <c r="V53" s="503">
        <v>9136424</v>
      </c>
      <c r="W53" s="1093">
        <v>149</v>
      </c>
      <c r="X53" s="503">
        <v>6277833</v>
      </c>
      <c r="Y53" s="992"/>
      <c r="Z53" s="385"/>
      <c r="AA53" s="657"/>
      <c r="AB53" s="855">
        <f t="shared" ref="AB53:AC53" si="6">AVERAGE(W53,U53,S53,Q53,Y53)</f>
        <v>113</v>
      </c>
      <c r="AC53" s="854">
        <f t="shared" si="6"/>
        <v>8386715.75</v>
      </c>
    </row>
    <row r="54" spans="1:29" ht="11.45" customHeight="1" x14ac:dyDescent="0.2">
      <c r="B54" s="1072"/>
      <c r="C54" s="1314"/>
      <c r="D54" s="1141"/>
      <c r="E54" s="790"/>
      <c r="F54" s="13"/>
      <c r="G54" s="798"/>
      <c r="H54" s="503"/>
      <c r="I54" s="799"/>
      <c r="J54" s="462"/>
      <c r="K54" s="798"/>
      <c r="L54" s="462"/>
      <c r="M54" s="1093"/>
      <c r="N54" s="503"/>
      <c r="O54" s="1093"/>
      <c r="P54" s="503"/>
      <c r="Q54" s="1093"/>
      <c r="R54" s="503"/>
      <c r="S54" s="1093"/>
      <c r="T54" s="503"/>
      <c r="U54" s="1093"/>
      <c r="V54" s="503"/>
      <c r="W54" s="1093"/>
      <c r="X54" s="503"/>
      <c r="Y54" s="421"/>
      <c r="Z54" s="1249"/>
      <c r="AA54" s="657"/>
      <c r="AB54" s="855"/>
      <c r="AC54" s="854"/>
    </row>
    <row r="55" spans="1:29" thickBot="1" x14ac:dyDescent="0.25">
      <c r="B55" s="1073" t="s">
        <v>16</v>
      </c>
      <c r="C55" s="1315">
        <v>72</v>
      </c>
      <c r="D55" s="1140">
        <v>3150195</v>
      </c>
      <c r="E55" s="1050">
        <v>75</v>
      </c>
      <c r="F55" s="292">
        <v>3069983.48</v>
      </c>
      <c r="G55" s="770">
        <v>58</v>
      </c>
      <c r="H55" s="632">
        <v>3732199</v>
      </c>
      <c r="I55" s="773">
        <v>97</v>
      </c>
      <c r="J55" s="633">
        <v>7031838</v>
      </c>
      <c r="K55" s="800">
        <v>64</v>
      </c>
      <c r="L55" s="633">
        <v>3402577</v>
      </c>
      <c r="M55" s="770">
        <v>70</v>
      </c>
      <c r="N55" s="632">
        <v>4892905</v>
      </c>
      <c r="O55" s="770">
        <v>90</v>
      </c>
      <c r="P55" s="632">
        <v>6779713</v>
      </c>
      <c r="Q55" s="770">
        <v>76</v>
      </c>
      <c r="R55" s="632">
        <v>4911685</v>
      </c>
      <c r="S55" s="770">
        <v>77</v>
      </c>
      <c r="T55" s="632">
        <v>6135014</v>
      </c>
      <c r="U55" s="770">
        <v>76</v>
      </c>
      <c r="V55" s="632">
        <v>6317145</v>
      </c>
      <c r="W55" s="770">
        <v>91</v>
      </c>
      <c r="X55" s="632">
        <v>9047246</v>
      </c>
      <c r="Y55" s="993"/>
      <c r="Z55" s="368"/>
      <c r="AA55" s="657"/>
      <c r="AB55" s="1016">
        <f t="shared" ref="AB55:AC55" si="7">AVERAGE(W55,U55,S55,Q55,Y55)</f>
        <v>80</v>
      </c>
      <c r="AC55" s="854">
        <f t="shared" si="7"/>
        <v>6602772.5</v>
      </c>
    </row>
    <row r="56" spans="1:29" ht="12" x14ac:dyDescent="0.2">
      <c r="B56" s="1048" t="s">
        <v>68</v>
      </c>
      <c r="C56" s="94"/>
      <c r="D56" s="1142"/>
      <c r="E56" s="185"/>
      <c r="F56" s="293"/>
      <c r="G56" s="297"/>
      <c r="H56" s="439"/>
      <c r="I56" s="424"/>
      <c r="J56" s="476"/>
      <c r="K56" s="297"/>
      <c r="L56" s="476"/>
      <c r="M56" s="297"/>
      <c r="N56" s="439"/>
      <c r="O56" s="424"/>
      <c r="P56" s="439"/>
      <c r="Q56" s="424"/>
      <c r="R56" s="439"/>
      <c r="S56" s="424"/>
      <c r="T56" s="439"/>
      <c r="U56" s="424"/>
      <c r="V56" s="439"/>
      <c r="W56" s="424"/>
      <c r="X56" s="439"/>
      <c r="Y56" s="424"/>
      <c r="Z56" s="238"/>
      <c r="AA56" s="657"/>
      <c r="AB56" s="851"/>
      <c r="AC56" s="852"/>
    </row>
    <row r="57" spans="1:29" ht="12" x14ac:dyDescent="0.2">
      <c r="B57" s="1132" t="s">
        <v>69</v>
      </c>
      <c r="C57" s="25"/>
      <c r="D57" s="62"/>
      <c r="E57" s="186"/>
      <c r="F57" s="26"/>
      <c r="G57" s="269"/>
      <c r="H57" s="440"/>
      <c r="I57" s="239"/>
      <c r="J57" s="229"/>
      <c r="K57" s="269"/>
      <c r="L57" s="229"/>
      <c r="M57" s="269"/>
      <c r="N57" s="440"/>
      <c r="O57" s="239"/>
      <c r="P57" s="440"/>
      <c r="Q57" s="239"/>
      <c r="R57" s="440"/>
      <c r="S57" s="239"/>
      <c r="T57" s="440"/>
      <c r="U57" s="239"/>
      <c r="V57" s="440"/>
      <c r="W57" s="239"/>
      <c r="X57" s="440"/>
      <c r="Y57" s="239"/>
      <c r="Z57" s="240"/>
      <c r="AA57" s="657"/>
      <c r="AC57" s="652"/>
    </row>
    <row r="58" spans="1:29" ht="12" x14ac:dyDescent="0.2">
      <c r="B58" s="1074" t="s">
        <v>70</v>
      </c>
      <c r="C58" s="17"/>
      <c r="D58" s="294">
        <v>428569.79</v>
      </c>
      <c r="E58" s="149"/>
      <c r="F58" s="634">
        <v>327924.45</v>
      </c>
      <c r="G58" s="268"/>
      <c r="H58" s="529">
        <v>259085.87</v>
      </c>
      <c r="I58" s="425"/>
      <c r="J58" s="536">
        <v>466897.22</v>
      </c>
      <c r="K58" s="268"/>
      <c r="L58" s="619">
        <v>264955.83</v>
      </c>
      <c r="M58" s="268"/>
      <c r="N58" s="1010">
        <v>325445</v>
      </c>
      <c r="O58" s="425"/>
      <c r="P58" s="1010">
        <v>655155</v>
      </c>
      <c r="Q58" s="425"/>
      <c r="R58" s="1010">
        <v>530826.79</v>
      </c>
      <c r="S58" s="425"/>
      <c r="T58" s="1010">
        <v>354979.87</v>
      </c>
      <c r="U58" s="425"/>
      <c r="V58" s="1010">
        <v>402625.08</v>
      </c>
      <c r="W58" s="425"/>
      <c r="X58" s="1010">
        <v>421418.02</v>
      </c>
      <c r="Y58" s="425"/>
      <c r="Z58" s="1334"/>
      <c r="AA58" s="657"/>
      <c r="AB58" s="318"/>
      <c r="AC58" s="750">
        <f t="shared" ref="AC58:AC59" si="8">AVERAGE(X58,V58,T58,R58,P58)</f>
        <v>473000.95200000005</v>
      </c>
    </row>
    <row r="59" spans="1:29" thickBot="1" x14ac:dyDescent="0.25">
      <c r="B59" s="1075" t="s">
        <v>71</v>
      </c>
      <c r="C59" s="14"/>
      <c r="D59" s="314">
        <v>0</v>
      </c>
      <c r="E59" s="151"/>
      <c r="F59" s="307">
        <v>0</v>
      </c>
      <c r="G59" s="270"/>
      <c r="H59" s="451">
        <v>0</v>
      </c>
      <c r="I59" s="270"/>
      <c r="J59" s="307">
        <v>0</v>
      </c>
      <c r="K59" s="270"/>
      <c r="L59" s="307">
        <v>0</v>
      </c>
      <c r="M59" s="270"/>
      <c r="N59" s="455">
        <v>0</v>
      </c>
      <c r="O59" s="426"/>
      <c r="P59" s="455">
        <v>0</v>
      </c>
      <c r="Q59" s="426"/>
      <c r="R59" s="455">
        <v>0</v>
      </c>
      <c r="S59" s="426"/>
      <c r="T59" s="455">
        <v>0</v>
      </c>
      <c r="U59" s="426"/>
      <c r="V59" s="455">
        <v>0</v>
      </c>
      <c r="W59" s="426"/>
      <c r="X59" s="455">
        <v>0</v>
      </c>
      <c r="Y59" s="426"/>
      <c r="Z59" s="1326"/>
      <c r="AA59" s="657"/>
      <c r="AB59" s="659"/>
      <c r="AC59" s="750">
        <f t="shared" si="8"/>
        <v>0</v>
      </c>
    </row>
    <row r="60" spans="1:29" thickTop="1" x14ac:dyDescent="0.2">
      <c r="B60" s="61"/>
      <c r="C60" s="25"/>
      <c r="D60" s="62"/>
      <c r="E60" s="25"/>
      <c r="F60" s="26"/>
      <c r="G60" s="239"/>
      <c r="H60" s="229"/>
      <c r="I60" s="239"/>
      <c r="J60" s="229"/>
      <c r="K60" s="239"/>
      <c r="L60" s="229"/>
      <c r="M60" s="623"/>
      <c r="N60" s="229"/>
      <c r="O60" s="623"/>
      <c r="P60" s="229"/>
      <c r="Q60" s="623"/>
      <c r="R60" s="229"/>
      <c r="S60" s="623"/>
      <c r="T60" s="229"/>
      <c r="U60" s="623"/>
      <c r="V60" s="229"/>
      <c r="W60" s="623"/>
      <c r="X60" s="229"/>
      <c r="Y60" s="623"/>
      <c r="Z60" s="229"/>
      <c r="AA60" s="1" t="s">
        <v>23</v>
      </c>
      <c r="AB60" s="66"/>
      <c r="AC60" s="664"/>
    </row>
    <row r="61" spans="1:29" x14ac:dyDescent="0.2">
      <c r="A61" s="3" t="s">
        <v>66</v>
      </c>
      <c r="B61" s="61"/>
      <c r="C61" s="25"/>
      <c r="D61" s="62"/>
      <c r="E61" s="25"/>
      <c r="F61" s="26"/>
      <c r="G61" s="239"/>
      <c r="H61" s="229"/>
      <c r="I61" s="239"/>
      <c r="J61" s="229"/>
      <c r="K61" s="239"/>
      <c r="L61" s="229"/>
      <c r="M61" s="239"/>
      <c r="N61" s="229"/>
      <c r="O61" s="239"/>
      <c r="P61" s="229"/>
      <c r="Q61" s="239"/>
      <c r="R61" s="229"/>
      <c r="S61" s="239"/>
      <c r="T61" s="229"/>
      <c r="U61" s="239"/>
      <c r="V61" s="229"/>
      <c r="W61" s="239"/>
      <c r="X61" s="229"/>
      <c r="Y61" s="239"/>
      <c r="Z61" s="229"/>
    </row>
    <row r="62" spans="1:29" thickBot="1" x14ac:dyDescent="0.25">
      <c r="B62" s="61"/>
      <c r="C62" s="25"/>
      <c r="D62" s="62"/>
      <c r="E62" s="25"/>
      <c r="F62" s="26"/>
      <c r="G62" s="239"/>
      <c r="H62" s="229"/>
      <c r="I62" s="239"/>
      <c r="J62" s="229"/>
      <c r="K62" s="239"/>
      <c r="L62" s="229"/>
      <c r="M62" s="624"/>
      <c r="N62" s="229"/>
      <c r="O62" s="624"/>
      <c r="P62" s="229"/>
      <c r="Q62" s="624"/>
      <c r="R62" s="229"/>
      <c r="S62" s="624"/>
      <c r="T62" s="229"/>
      <c r="U62" s="624"/>
      <c r="V62" s="229"/>
      <c r="W62" s="624"/>
      <c r="X62" s="229"/>
      <c r="Y62" s="624"/>
      <c r="Z62" s="229"/>
    </row>
    <row r="63" spans="1:29" ht="14.25" customHeight="1" thickTop="1" thickBot="1" x14ac:dyDescent="0.25">
      <c r="B63" s="102"/>
      <c r="C63" s="1498" t="s">
        <v>33</v>
      </c>
      <c r="D63" s="1499"/>
      <c r="E63" s="1498" t="s">
        <v>34</v>
      </c>
      <c r="F63" s="1501"/>
      <c r="G63" s="1500" t="s">
        <v>106</v>
      </c>
      <c r="H63" s="1495"/>
      <c r="I63" s="1537" t="s">
        <v>118</v>
      </c>
      <c r="J63" s="1538"/>
      <c r="K63" s="1500" t="s">
        <v>121</v>
      </c>
      <c r="L63" s="1494"/>
      <c r="M63" s="1500" t="s">
        <v>127</v>
      </c>
      <c r="N63" s="1494"/>
      <c r="O63" s="1500" t="s">
        <v>174</v>
      </c>
      <c r="P63" s="1495"/>
      <c r="Q63" s="1494" t="s">
        <v>193</v>
      </c>
      <c r="R63" s="1495"/>
      <c r="S63" s="1494" t="s">
        <v>218</v>
      </c>
      <c r="T63" s="1495"/>
      <c r="U63" s="1494" t="s">
        <v>221</v>
      </c>
      <c r="V63" s="1495"/>
      <c r="W63" s="1494" t="s">
        <v>232</v>
      </c>
      <c r="X63" s="1495"/>
      <c r="Y63" s="1494" t="s">
        <v>241</v>
      </c>
      <c r="Z63" s="1508"/>
      <c r="AB63" s="1521" t="s">
        <v>134</v>
      </c>
      <c r="AC63" s="1531"/>
    </row>
    <row r="64" spans="1:29" ht="12" x14ac:dyDescent="0.2">
      <c r="B64" s="103" t="s">
        <v>37</v>
      </c>
      <c r="C64" s="132"/>
      <c r="D64" s="133"/>
      <c r="E64" s="142"/>
      <c r="F64" s="16"/>
      <c r="G64" s="260"/>
      <c r="H64" s="407"/>
      <c r="I64" s="260"/>
      <c r="J64" s="407"/>
      <c r="K64" s="260"/>
      <c r="L64" s="387"/>
      <c r="M64" s="260"/>
      <c r="N64" s="435"/>
      <c r="O64" s="387"/>
      <c r="P64" s="407"/>
      <c r="Q64" s="387"/>
      <c r="R64" s="407"/>
      <c r="S64" s="387"/>
      <c r="T64" s="407"/>
      <c r="U64" s="387"/>
      <c r="V64" s="407"/>
      <c r="W64" s="387"/>
      <c r="X64" s="407"/>
      <c r="Y64" s="387"/>
      <c r="Z64" s="230"/>
      <c r="AA64" s="657"/>
      <c r="AC64" s="652"/>
    </row>
    <row r="65" spans="2:29" ht="12" x14ac:dyDescent="0.2">
      <c r="B65" s="114" t="s">
        <v>38</v>
      </c>
      <c r="C65" s="134"/>
      <c r="D65" s="168"/>
      <c r="E65" s="134"/>
      <c r="F65" s="99"/>
      <c r="G65" s="261"/>
      <c r="H65" s="408"/>
      <c r="I65" s="261"/>
      <c r="J65" s="408"/>
      <c r="K65" s="261"/>
      <c r="L65" s="244"/>
      <c r="M65" s="261"/>
      <c r="N65" s="408"/>
      <c r="O65" s="231"/>
      <c r="P65" s="408"/>
      <c r="Q65" s="231"/>
      <c r="R65" s="408"/>
      <c r="S65" s="231"/>
      <c r="T65" s="408"/>
      <c r="U65" s="231"/>
      <c r="V65" s="408"/>
      <c r="W65" s="231"/>
      <c r="X65" s="408"/>
      <c r="Y65" s="231"/>
      <c r="Z65" s="221"/>
      <c r="AA65" s="657"/>
      <c r="AB65" s="318"/>
      <c r="AC65" s="775"/>
    </row>
    <row r="66" spans="2:29" ht="12" x14ac:dyDescent="0.2">
      <c r="B66" s="115" t="s">
        <v>39</v>
      </c>
      <c r="C66" s="134"/>
      <c r="D66" s="168">
        <v>5</v>
      </c>
      <c r="E66" s="134"/>
      <c r="F66" s="99">
        <v>4</v>
      </c>
      <c r="G66" s="261"/>
      <c r="H66" s="408">
        <v>5</v>
      </c>
      <c r="I66" s="261"/>
      <c r="J66" s="408">
        <v>4</v>
      </c>
      <c r="K66" s="261"/>
      <c r="L66" s="244">
        <v>5</v>
      </c>
      <c r="M66" s="261"/>
      <c r="N66" s="408">
        <v>6</v>
      </c>
      <c r="O66" s="231"/>
      <c r="P66" s="408">
        <v>7</v>
      </c>
      <c r="Q66" s="231"/>
      <c r="R66" s="408">
        <v>6</v>
      </c>
      <c r="S66" s="231"/>
      <c r="T66" s="408">
        <v>7</v>
      </c>
      <c r="U66" s="231"/>
      <c r="V66" s="408">
        <v>7</v>
      </c>
      <c r="W66" s="231"/>
      <c r="X66" s="408">
        <v>26</v>
      </c>
      <c r="Y66" s="231"/>
      <c r="Z66" s="221">
        <v>21</v>
      </c>
      <c r="AA66" s="657"/>
      <c r="AB66" s="748"/>
      <c r="AC66" s="753">
        <f t="shared" ref="AC66:AC67" si="9">AVERAGE(X66,V66,T66,R66,Z66)</f>
        <v>13.4</v>
      </c>
    </row>
    <row r="67" spans="2:29" ht="12" x14ac:dyDescent="0.2">
      <c r="B67" s="115" t="s">
        <v>161</v>
      </c>
      <c r="C67" s="134"/>
      <c r="D67" s="168">
        <v>1</v>
      </c>
      <c r="E67" s="134"/>
      <c r="F67" s="99">
        <v>0</v>
      </c>
      <c r="G67" s="261"/>
      <c r="H67" s="408">
        <v>1</v>
      </c>
      <c r="I67" s="261"/>
      <c r="J67" s="408">
        <v>1</v>
      </c>
      <c r="K67" s="261"/>
      <c r="L67" s="244">
        <v>1</v>
      </c>
      <c r="M67" s="261"/>
      <c r="N67" s="408">
        <v>0</v>
      </c>
      <c r="O67" s="231"/>
      <c r="P67" s="408">
        <v>0</v>
      </c>
      <c r="Q67" s="231"/>
      <c r="R67" s="408">
        <v>0</v>
      </c>
      <c r="S67" s="231"/>
      <c r="T67" s="408">
        <v>0</v>
      </c>
      <c r="U67" s="231"/>
      <c r="V67" s="408">
        <v>0</v>
      </c>
      <c r="W67" s="231"/>
      <c r="X67" s="408">
        <v>0</v>
      </c>
      <c r="Y67" s="231"/>
      <c r="Z67" s="221">
        <v>0</v>
      </c>
      <c r="AA67" s="657"/>
      <c r="AB67" s="318"/>
      <c r="AC67" s="753">
        <f t="shared" si="9"/>
        <v>0</v>
      </c>
    </row>
    <row r="68" spans="2:29" ht="12" x14ac:dyDescent="0.2">
      <c r="B68" s="114" t="s">
        <v>40</v>
      </c>
      <c r="C68" s="134"/>
      <c r="D68" s="136"/>
      <c r="E68" s="134"/>
      <c r="F68" s="12"/>
      <c r="G68" s="261"/>
      <c r="H68" s="217"/>
      <c r="I68" s="261"/>
      <c r="J68" s="217"/>
      <c r="K68" s="261"/>
      <c r="L68" s="105"/>
      <c r="M68" s="261"/>
      <c r="N68" s="217"/>
      <c r="O68" s="231"/>
      <c r="P68" s="217"/>
      <c r="Q68" s="231"/>
      <c r="R68" s="217"/>
      <c r="S68" s="231"/>
      <c r="T68" s="217"/>
      <c r="U68" s="231"/>
      <c r="V68" s="217"/>
      <c r="W68" s="231"/>
      <c r="X68" s="217"/>
      <c r="Y68" s="231"/>
      <c r="Z68" s="232"/>
      <c r="AA68" s="657"/>
      <c r="AB68" s="748"/>
      <c r="AC68" s="753"/>
    </row>
    <row r="69" spans="2:29" ht="12" x14ac:dyDescent="0.2">
      <c r="B69" s="115" t="s">
        <v>39</v>
      </c>
      <c r="C69" s="134"/>
      <c r="D69" s="136">
        <v>34</v>
      </c>
      <c r="E69" s="134"/>
      <c r="F69" s="12">
        <v>31</v>
      </c>
      <c r="G69" s="261"/>
      <c r="H69" s="217">
        <v>30</v>
      </c>
      <c r="I69" s="261"/>
      <c r="J69" s="217">
        <v>33</v>
      </c>
      <c r="K69" s="261"/>
      <c r="L69" s="105">
        <v>32</v>
      </c>
      <c r="M69" s="261"/>
      <c r="N69" s="217">
        <v>32</v>
      </c>
      <c r="O69" s="231"/>
      <c r="P69" s="217">
        <v>32</v>
      </c>
      <c r="Q69" s="231"/>
      <c r="R69" s="217">
        <v>28</v>
      </c>
      <c r="S69" s="231"/>
      <c r="T69" s="217">
        <v>30</v>
      </c>
      <c r="U69" s="231"/>
      <c r="V69" s="217">
        <v>27</v>
      </c>
      <c r="W69" s="231"/>
      <c r="X69" s="217">
        <v>8</v>
      </c>
      <c r="Y69" s="231"/>
      <c r="Z69" s="232">
        <v>12</v>
      </c>
      <c r="AA69" s="657"/>
      <c r="AB69" s="318"/>
      <c r="AC69" s="753">
        <f t="shared" ref="AC69:AC71" si="10">AVERAGE(X69,V69,T69,R69,Z69)</f>
        <v>21</v>
      </c>
    </row>
    <row r="70" spans="2:29" ht="12" x14ac:dyDescent="0.2">
      <c r="B70" s="116" t="s">
        <v>161</v>
      </c>
      <c r="C70" s="134"/>
      <c r="D70" s="136">
        <v>3</v>
      </c>
      <c r="E70" s="134"/>
      <c r="F70" s="12">
        <v>3</v>
      </c>
      <c r="G70" s="261"/>
      <c r="H70" s="217">
        <v>1</v>
      </c>
      <c r="I70" s="261"/>
      <c r="J70" s="217">
        <v>1</v>
      </c>
      <c r="K70" s="261"/>
      <c r="L70" s="105">
        <v>1</v>
      </c>
      <c r="M70" s="261"/>
      <c r="N70" s="217">
        <v>1</v>
      </c>
      <c r="O70" s="231"/>
      <c r="P70" s="217">
        <v>1</v>
      </c>
      <c r="Q70" s="231"/>
      <c r="R70" s="217">
        <v>1</v>
      </c>
      <c r="S70" s="231"/>
      <c r="T70" s="217">
        <v>0</v>
      </c>
      <c r="U70" s="231"/>
      <c r="V70" s="217">
        <v>0</v>
      </c>
      <c r="W70" s="231"/>
      <c r="X70" s="217">
        <v>1</v>
      </c>
      <c r="Y70" s="231"/>
      <c r="Z70" s="232">
        <v>2</v>
      </c>
      <c r="AA70" s="657"/>
      <c r="AB70" s="318"/>
      <c r="AC70" s="753">
        <f t="shared" si="10"/>
        <v>0.8</v>
      </c>
    </row>
    <row r="71" spans="2:29" thickBot="1" x14ac:dyDescent="0.25">
      <c r="B71" s="107" t="s">
        <v>13</v>
      </c>
      <c r="C71" s="196"/>
      <c r="D71" s="208">
        <f>SUM(D66:D70)</f>
        <v>43</v>
      </c>
      <c r="E71" s="196"/>
      <c r="F71" s="47">
        <f>SUM(F66:F70)</f>
        <v>38</v>
      </c>
      <c r="G71" s="288"/>
      <c r="H71" s="409">
        <v>37</v>
      </c>
      <c r="I71" s="288"/>
      <c r="J71" s="409">
        <f>SUM(J66:J70)</f>
        <v>39</v>
      </c>
      <c r="K71" s="288"/>
      <c r="L71" s="315">
        <f>SUM(L66:L70)</f>
        <v>39</v>
      </c>
      <c r="M71" s="288"/>
      <c r="N71" s="409">
        <f>SUM(N66:N70)</f>
        <v>39</v>
      </c>
      <c r="O71" s="396"/>
      <c r="P71" s="409">
        <f>SUM(P66:P70)</f>
        <v>40</v>
      </c>
      <c r="Q71" s="396"/>
      <c r="R71" s="409">
        <f>SUM(R66:R70)</f>
        <v>35</v>
      </c>
      <c r="S71" s="396"/>
      <c r="T71" s="409">
        <f>SUM(T66:T70)</f>
        <v>37</v>
      </c>
      <c r="U71" s="396"/>
      <c r="V71" s="409">
        <f>SUM(V66:V70)</f>
        <v>34</v>
      </c>
      <c r="W71" s="396"/>
      <c r="X71" s="409">
        <f>SUM(X66:X70)</f>
        <v>35</v>
      </c>
      <c r="Y71" s="396"/>
      <c r="Z71" s="1359">
        <f>SUM(Z66:Z70)</f>
        <v>35</v>
      </c>
      <c r="AB71" s="659"/>
      <c r="AC71" s="786">
        <f t="shared" si="10"/>
        <v>35.200000000000003</v>
      </c>
    </row>
    <row r="72" spans="2:29" thickTop="1" x14ac:dyDescent="0.2">
      <c r="B72" s="127" t="s">
        <v>100</v>
      </c>
      <c r="C72" s="567" t="s">
        <v>97</v>
      </c>
      <c r="D72" s="568" t="s">
        <v>98</v>
      </c>
      <c r="E72" s="600" t="s">
        <v>97</v>
      </c>
      <c r="F72" s="195" t="s">
        <v>98</v>
      </c>
      <c r="G72" s="289" t="s">
        <v>97</v>
      </c>
      <c r="H72" s="441" t="s">
        <v>98</v>
      </c>
      <c r="I72" s="289" t="s">
        <v>97</v>
      </c>
      <c r="J72" s="441" t="s">
        <v>98</v>
      </c>
      <c r="K72" s="289" t="s">
        <v>97</v>
      </c>
      <c r="L72" s="477" t="s">
        <v>98</v>
      </c>
      <c r="M72" s="289" t="s">
        <v>97</v>
      </c>
      <c r="N72" s="441" t="s">
        <v>98</v>
      </c>
      <c r="O72" s="289" t="s">
        <v>97</v>
      </c>
      <c r="P72" s="410" t="s">
        <v>98</v>
      </c>
      <c r="Q72" s="427" t="s">
        <v>97</v>
      </c>
      <c r="R72" s="410" t="s">
        <v>98</v>
      </c>
      <c r="S72" s="427" t="s">
        <v>97</v>
      </c>
      <c r="T72" s="410" t="s">
        <v>98</v>
      </c>
      <c r="U72" s="427" t="s">
        <v>97</v>
      </c>
      <c r="V72" s="410" t="s">
        <v>98</v>
      </c>
      <c r="W72" s="427" t="s">
        <v>97</v>
      </c>
      <c r="X72" s="410" t="s">
        <v>98</v>
      </c>
      <c r="Y72" s="427" t="s">
        <v>97</v>
      </c>
      <c r="Z72" s="539" t="s">
        <v>98</v>
      </c>
      <c r="AB72" s="1017" t="s">
        <v>97</v>
      </c>
      <c r="AC72" s="648" t="s">
        <v>98</v>
      </c>
    </row>
    <row r="73" spans="2:29" ht="12" x14ac:dyDescent="0.2">
      <c r="B73" s="115" t="s">
        <v>81</v>
      </c>
      <c r="C73" s="359">
        <v>41</v>
      </c>
      <c r="D73" s="372">
        <f>C73/$D$71</f>
        <v>0.95348837209302328</v>
      </c>
      <c r="E73" s="199">
        <f>33+3</f>
        <v>36</v>
      </c>
      <c r="F73" s="206">
        <f t="shared" ref="F73:F80" si="11">E73/$F$71</f>
        <v>0.94736842105263153</v>
      </c>
      <c r="G73" s="199">
        <v>34</v>
      </c>
      <c r="H73" s="372">
        <f>G73/$H$71</f>
        <v>0.91891891891891897</v>
      </c>
      <c r="I73" s="199">
        <v>35</v>
      </c>
      <c r="J73" s="372">
        <f t="shared" ref="J73:J80" si="12">I73/$J$71</f>
        <v>0.89743589743589747</v>
      </c>
      <c r="K73" s="199">
        <v>36</v>
      </c>
      <c r="L73" s="206">
        <f>K73/L$71</f>
        <v>0.92307692307692313</v>
      </c>
      <c r="M73" s="199">
        <f>1+32</f>
        <v>33</v>
      </c>
      <c r="N73" s="372">
        <f t="shared" ref="N73:R80" si="13">M73/N$71</f>
        <v>0.84615384615384615</v>
      </c>
      <c r="O73" s="125">
        <v>33</v>
      </c>
      <c r="P73" s="372">
        <f t="shared" si="13"/>
        <v>0.82499999999999996</v>
      </c>
      <c r="Q73" s="125">
        <v>29</v>
      </c>
      <c r="R73" s="372">
        <f t="shared" si="13"/>
        <v>0.82857142857142863</v>
      </c>
      <c r="S73" s="125">
        <f>29</f>
        <v>29</v>
      </c>
      <c r="T73" s="372">
        <f t="shared" ref="T73:T80" si="14">S73/T$71</f>
        <v>0.78378378378378377</v>
      </c>
      <c r="U73" s="125">
        <v>26</v>
      </c>
      <c r="V73" s="372">
        <f t="shared" ref="V73:V80" si="15">U73/V$71</f>
        <v>0.76470588235294112</v>
      </c>
      <c r="W73" s="125">
        <f>1+24</f>
        <v>25</v>
      </c>
      <c r="X73" s="372">
        <f t="shared" ref="X73:X80" si="16">W73/X$71</f>
        <v>0.7142857142857143</v>
      </c>
      <c r="Y73" s="125">
        <v>24</v>
      </c>
      <c r="Z73" s="372">
        <f t="shared" ref="Z73:Z80" si="17">Y73/Z$71</f>
        <v>0.68571428571428572</v>
      </c>
      <c r="AA73" s="657"/>
      <c r="AB73" s="1018">
        <f>AVERAGE(W73,U73,S73,Q73,Y73)</f>
        <v>26.6</v>
      </c>
      <c r="AC73" s="685">
        <f t="shared" ref="AC73:AC80" si="18">AVERAGE(X73,V73,T73,R73,Z73)</f>
        <v>0.7554122189416308</v>
      </c>
    </row>
    <row r="74" spans="2:29" ht="12" x14ac:dyDescent="0.2">
      <c r="B74" s="121" t="s">
        <v>82</v>
      </c>
      <c r="C74" s="359">
        <v>0</v>
      </c>
      <c r="D74" s="372">
        <f t="shared" ref="D74:D92" si="19">C74/$D$71</f>
        <v>0</v>
      </c>
      <c r="E74" s="199">
        <v>0</v>
      </c>
      <c r="F74" s="206">
        <f t="shared" si="11"/>
        <v>0</v>
      </c>
      <c r="G74" s="199">
        <v>0</v>
      </c>
      <c r="H74" s="372">
        <f t="shared" ref="H74:H80" si="20">G74/$H$71</f>
        <v>0</v>
      </c>
      <c r="I74" s="199">
        <v>0</v>
      </c>
      <c r="J74" s="372">
        <f t="shared" si="12"/>
        <v>0</v>
      </c>
      <c r="K74" s="199">
        <v>0</v>
      </c>
      <c r="L74" s="206">
        <f t="shared" ref="L74:L80" si="21">K74/$L$71</f>
        <v>0</v>
      </c>
      <c r="M74" s="199">
        <v>0</v>
      </c>
      <c r="N74" s="372">
        <f t="shared" si="13"/>
        <v>0</v>
      </c>
      <c r="O74" s="125">
        <v>0</v>
      </c>
      <c r="P74" s="372">
        <f t="shared" si="13"/>
        <v>0</v>
      </c>
      <c r="Q74" s="125">
        <v>1</v>
      </c>
      <c r="R74" s="372">
        <f t="shared" si="13"/>
        <v>2.8571428571428571E-2</v>
      </c>
      <c r="S74" s="125">
        <f>1</f>
        <v>1</v>
      </c>
      <c r="T74" s="372">
        <f t="shared" si="14"/>
        <v>2.7027027027027029E-2</v>
      </c>
      <c r="U74" s="125">
        <v>1</v>
      </c>
      <c r="V74" s="372">
        <f t="shared" si="15"/>
        <v>2.9411764705882353E-2</v>
      </c>
      <c r="W74" s="125">
        <v>1</v>
      </c>
      <c r="X74" s="372">
        <f t="shared" si="16"/>
        <v>2.8571428571428571E-2</v>
      </c>
      <c r="Y74" s="125">
        <v>1</v>
      </c>
      <c r="Z74" s="372">
        <f t="shared" si="17"/>
        <v>2.8571428571428571E-2</v>
      </c>
      <c r="AA74" s="657"/>
      <c r="AB74" s="774">
        <f t="shared" ref="AB74:AB80" si="22">AVERAGE(W74,U74,S74,Q74,Y74)</f>
        <v>1</v>
      </c>
      <c r="AC74" s="685">
        <f t="shared" si="18"/>
        <v>2.843061548943902E-2</v>
      </c>
    </row>
    <row r="75" spans="2:29" ht="12" x14ac:dyDescent="0.2">
      <c r="B75" s="121" t="s">
        <v>83</v>
      </c>
      <c r="C75" s="359">
        <v>0</v>
      </c>
      <c r="D75" s="372">
        <f t="shared" si="19"/>
        <v>0</v>
      </c>
      <c r="E75" s="199">
        <v>0</v>
      </c>
      <c r="F75" s="206">
        <f t="shared" si="11"/>
        <v>0</v>
      </c>
      <c r="G75" s="199">
        <v>0</v>
      </c>
      <c r="H75" s="372">
        <f t="shared" si="20"/>
        <v>0</v>
      </c>
      <c r="I75" s="199">
        <v>0</v>
      </c>
      <c r="J75" s="372">
        <f t="shared" si="12"/>
        <v>0</v>
      </c>
      <c r="K75" s="199">
        <v>0</v>
      </c>
      <c r="L75" s="206">
        <f t="shared" si="21"/>
        <v>0</v>
      </c>
      <c r="M75" s="199">
        <v>0</v>
      </c>
      <c r="N75" s="372">
        <f t="shared" si="13"/>
        <v>0</v>
      </c>
      <c r="O75" s="125">
        <v>0</v>
      </c>
      <c r="P75" s="372">
        <f t="shared" si="13"/>
        <v>0</v>
      </c>
      <c r="Q75" s="125">
        <v>0</v>
      </c>
      <c r="R75" s="372">
        <f t="shared" si="13"/>
        <v>0</v>
      </c>
      <c r="S75" s="125">
        <f>1</f>
        <v>1</v>
      </c>
      <c r="T75" s="372">
        <f t="shared" si="14"/>
        <v>2.7027027027027029E-2</v>
      </c>
      <c r="U75" s="125">
        <v>1</v>
      </c>
      <c r="V75" s="372">
        <f t="shared" si="15"/>
        <v>2.9411764705882353E-2</v>
      </c>
      <c r="W75" s="125">
        <v>1</v>
      </c>
      <c r="X75" s="372">
        <f t="shared" si="16"/>
        <v>2.8571428571428571E-2</v>
      </c>
      <c r="Y75" s="125">
        <v>1</v>
      </c>
      <c r="Z75" s="372">
        <f t="shared" si="17"/>
        <v>2.8571428571428571E-2</v>
      </c>
      <c r="AA75" s="657"/>
      <c r="AB75" s="774">
        <f t="shared" si="22"/>
        <v>0.8</v>
      </c>
      <c r="AC75" s="685">
        <f t="shared" si="18"/>
        <v>2.2716329775153303E-2</v>
      </c>
    </row>
    <row r="76" spans="2:29" ht="12" x14ac:dyDescent="0.2">
      <c r="B76" s="121" t="s">
        <v>84</v>
      </c>
      <c r="C76" s="359">
        <v>1</v>
      </c>
      <c r="D76" s="372">
        <f t="shared" si="19"/>
        <v>2.3255813953488372E-2</v>
      </c>
      <c r="E76" s="199">
        <v>1</v>
      </c>
      <c r="F76" s="206">
        <f t="shared" si="11"/>
        <v>2.6315789473684209E-2</v>
      </c>
      <c r="G76" s="199">
        <v>1</v>
      </c>
      <c r="H76" s="372">
        <f t="shared" si="20"/>
        <v>2.7027027027027029E-2</v>
      </c>
      <c r="I76" s="199">
        <v>1</v>
      </c>
      <c r="J76" s="372">
        <f t="shared" si="12"/>
        <v>2.564102564102564E-2</v>
      </c>
      <c r="K76" s="199">
        <v>1</v>
      </c>
      <c r="L76" s="206">
        <f t="shared" si="21"/>
        <v>2.564102564102564E-2</v>
      </c>
      <c r="M76" s="199">
        <v>1</v>
      </c>
      <c r="N76" s="372">
        <f t="shared" si="13"/>
        <v>2.564102564102564E-2</v>
      </c>
      <c r="O76" s="125">
        <v>1</v>
      </c>
      <c r="P76" s="372">
        <f t="shared" si="13"/>
        <v>2.5000000000000001E-2</v>
      </c>
      <c r="Q76" s="125">
        <v>0</v>
      </c>
      <c r="R76" s="372">
        <f t="shared" si="13"/>
        <v>0</v>
      </c>
      <c r="S76" s="125">
        <f>0</f>
        <v>0</v>
      </c>
      <c r="T76" s="372">
        <f t="shared" si="14"/>
        <v>0</v>
      </c>
      <c r="U76" s="125">
        <v>0</v>
      </c>
      <c r="V76" s="372">
        <f t="shared" si="15"/>
        <v>0</v>
      </c>
      <c r="W76" s="125">
        <v>0</v>
      </c>
      <c r="X76" s="372">
        <f t="shared" si="16"/>
        <v>0</v>
      </c>
      <c r="Y76" s="125">
        <v>0</v>
      </c>
      <c r="Z76" s="372">
        <f t="shared" si="17"/>
        <v>0</v>
      </c>
      <c r="AA76" s="657"/>
      <c r="AB76" s="774">
        <f t="shared" si="22"/>
        <v>0</v>
      </c>
      <c r="AC76" s="685">
        <f t="shared" si="18"/>
        <v>0</v>
      </c>
    </row>
    <row r="77" spans="2:29" ht="12" x14ac:dyDescent="0.2">
      <c r="B77" s="121" t="s">
        <v>85</v>
      </c>
      <c r="C77" s="359">
        <v>1</v>
      </c>
      <c r="D77" s="372">
        <f t="shared" si="19"/>
        <v>2.3255813953488372E-2</v>
      </c>
      <c r="E77" s="199">
        <v>1</v>
      </c>
      <c r="F77" s="206">
        <f t="shared" si="11"/>
        <v>2.6315789473684209E-2</v>
      </c>
      <c r="G77" s="199">
        <v>2</v>
      </c>
      <c r="H77" s="372">
        <f t="shared" si="20"/>
        <v>5.4054054054054057E-2</v>
      </c>
      <c r="I77" s="199">
        <v>2</v>
      </c>
      <c r="J77" s="372">
        <f t="shared" si="12"/>
        <v>5.128205128205128E-2</v>
      </c>
      <c r="K77" s="199">
        <v>1</v>
      </c>
      <c r="L77" s="206">
        <f t="shared" si="21"/>
        <v>2.564102564102564E-2</v>
      </c>
      <c r="M77" s="199">
        <v>2</v>
      </c>
      <c r="N77" s="372">
        <f t="shared" si="13"/>
        <v>5.128205128205128E-2</v>
      </c>
      <c r="O77" s="125">
        <v>3</v>
      </c>
      <c r="P77" s="372">
        <f t="shared" si="13"/>
        <v>7.4999999999999997E-2</v>
      </c>
      <c r="Q77" s="125">
        <v>4</v>
      </c>
      <c r="R77" s="372">
        <f t="shared" si="13"/>
        <v>0.11428571428571428</v>
      </c>
      <c r="S77" s="125">
        <f>3</f>
        <v>3</v>
      </c>
      <c r="T77" s="372">
        <f t="shared" si="14"/>
        <v>8.1081081081081086E-2</v>
      </c>
      <c r="U77" s="125">
        <v>4</v>
      </c>
      <c r="V77" s="372">
        <f t="shared" si="15"/>
        <v>0.11764705882352941</v>
      </c>
      <c r="W77" s="125">
        <v>5</v>
      </c>
      <c r="X77" s="372">
        <f t="shared" si="16"/>
        <v>0.14285714285714285</v>
      </c>
      <c r="Y77" s="125">
        <v>6</v>
      </c>
      <c r="Z77" s="372">
        <f t="shared" si="17"/>
        <v>0.17142857142857143</v>
      </c>
      <c r="AA77" s="657"/>
      <c r="AB77" s="774">
        <f t="shared" si="22"/>
        <v>4.4000000000000004</v>
      </c>
      <c r="AC77" s="685">
        <f t="shared" si="18"/>
        <v>0.12545991369520779</v>
      </c>
    </row>
    <row r="78" spans="2:29" ht="12" x14ac:dyDescent="0.2">
      <c r="B78" s="121" t="s">
        <v>86</v>
      </c>
      <c r="C78" s="359">
        <v>0</v>
      </c>
      <c r="D78" s="372">
        <f t="shared" si="19"/>
        <v>0</v>
      </c>
      <c r="E78" s="199">
        <v>0</v>
      </c>
      <c r="F78" s="206">
        <f t="shared" si="11"/>
        <v>0</v>
      </c>
      <c r="G78" s="199">
        <v>0</v>
      </c>
      <c r="H78" s="372">
        <f t="shared" si="20"/>
        <v>0</v>
      </c>
      <c r="I78" s="199">
        <v>1</v>
      </c>
      <c r="J78" s="372">
        <f t="shared" si="12"/>
        <v>2.564102564102564E-2</v>
      </c>
      <c r="K78" s="199">
        <v>1</v>
      </c>
      <c r="L78" s="206">
        <f t="shared" si="21"/>
        <v>2.564102564102564E-2</v>
      </c>
      <c r="M78" s="199">
        <v>3</v>
      </c>
      <c r="N78" s="372">
        <f t="shared" si="13"/>
        <v>7.6923076923076927E-2</v>
      </c>
      <c r="O78" s="125">
        <v>3</v>
      </c>
      <c r="P78" s="372">
        <f t="shared" si="13"/>
        <v>7.4999999999999997E-2</v>
      </c>
      <c r="Q78" s="125">
        <v>1</v>
      </c>
      <c r="R78" s="372">
        <f t="shared" si="13"/>
        <v>2.8571428571428571E-2</v>
      </c>
      <c r="S78" s="125">
        <f>2</f>
        <v>2</v>
      </c>
      <c r="T78" s="372">
        <f t="shared" si="14"/>
        <v>5.4054054054054057E-2</v>
      </c>
      <c r="U78" s="125">
        <v>1</v>
      </c>
      <c r="V78" s="372">
        <f t="shared" si="15"/>
        <v>2.9411764705882353E-2</v>
      </c>
      <c r="W78" s="125">
        <v>2</v>
      </c>
      <c r="X78" s="372">
        <f t="shared" si="16"/>
        <v>5.7142857142857141E-2</v>
      </c>
      <c r="Y78" s="125">
        <v>2</v>
      </c>
      <c r="Z78" s="372">
        <f t="shared" si="17"/>
        <v>5.7142857142857141E-2</v>
      </c>
      <c r="AA78" s="657"/>
      <c r="AB78" s="774">
        <f t="shared" si="22"/>
        <v>1.6</v>
      </c>
      <c r="AC78" s="685">
        <f t="shared" si="18"/>
        <v>4.5264592323415856E-2</v>
      </c>
    </row>
    <row r="79" spans="2:29" ht="12" x14ac:dyDescent="0.2">
      <c r="B79" s="121" t="s">
        <v>201</v>
      </c>
      <c r="C79" s="361"/>
      <c r="D79" s="372"/>
      <c r="E79" s="201"/>
      <c r="F79" s="206"/>
      <c r="G79" s="1252"/>
      <c r="H79" s="1253"/>
      <c r="I79" s="1252"/>
      <c r="J79" s="1253"/>
      <c r="K79" s="1252"/>
      <c r="L79" s="1255"/>
      <c r="M79" s="1252"/>
      <c r="N79" s="1253"/>
      <c r="O79" s="1254"/>
      <c r="P79" s="1253"/>
      <c r="Q79" s="126">
        <v>0</v>
      </c>
      <c r="R79" s="372">
        <f t="shared" si="13"/>
        <v>0</v>
      </c>
      <c r="S79" s="126">
        <f>1</f>
        <v>1</v>
      </c>
      <c r="T79" s="372">
        <f t="shared" si="14"/>
        <v>2.7027027027027029E-2</v>
      </c>
      <c r="U79" s="126">
        <v>1</v>
      </c>
      <c r="V79" s="372">
        <f t="shared" si="15"/>
        <v>2.9411764705882353E-2</v>
      </c>
      <c r="W79" s="126">
        <v>1</v>
      </c>
      <c r="X79" s="372">
        <f t="shared" si="16"/>
        <v>2.8571428571428571E-2</v>
      </c>
      <c r="Y79" s="126">
        <v>1</v>
      </c>
      <c r="Z79" s="372">
        <f t="shared" si="17"/>
        <v>2.8571428571428571E-2</v>
      </c>
      <c r="AA79" s="657"/>
      <c r="AB79" s="774">
        <f t="shared" si="22"/>
        <v>0.8</v>
      </c>
      <c r="AC79" s="685">
        <f t="shared" si="18"/>
        <v>2.2716329775153303E-2</v>
      </c>
    </row>
    <row r="80" spans="2:29" ht="12" x14ac:dyDescent="0.2">
      <c r="B80" s="121" t="s">
        <v>87</v>
      </c>
      <c r="C80" s="361">
        <v>0</v>
      </c>
      <c r="D80" s="372">
        <f t="shared" si="19"/>
        <v>0</v>
      </c>
      <c r="E80" s="201">
        <v>0</v>
      </c>
      <c r="F80" s="206">
        <f t="shared" si="11"/>
        <v>0</v>
      </c>
      <c r="G80" s="201">
        <v>0</v>
      </c>
      <c r="H80" s="372">
        <f t="shared" si="20"/>
        <v>0</v>
      </c>
      <c r="I80" s="201">
        <v>0</v>
      </c>
      <c r="J80" s="372">
        <f t="shared" si="12"/>
        <v>0</v>
      </c>
      <c r="K80" s="201">
        <v>0</v>
      </c>
      <c r="L80" s="206">
        <f t="shared" si="21"/>
        <v>0</v>
      </c>
      <c r="M80" s="361">
        <v>0</v>
      </c>
      <c r="N80" s="372">
        <f t="shared" si="13"/>
        <v>0</v>
      </c>
      <c r="O80" s="361">
        <v>0</v>
      </c>
      <c r="P80" s="372">
        <f t="shared" si="13"/>
        <v>0</v>
      </c>
      <c r="Q80" s="360">
        <v>0</v>
      </c>
      <c r="R80" s="372">
        <f t="shared" si="13"/>
        <v>0</v>
      </c>
      <c r="S80" s="360">
        <f>0</f>
        <v>0</v>
      </c>
      <c r="T80" s="372">
        <f t="shared" si="14"/>
        <v>0</v>
      </c>
      <c r="U80" s="360">
        <v>0</v>
      </c>
      <c r="V80" s="372">
        <f t="shared" si="15"/>
        <v>0</v>
      </c>
      <c r="W80" s="360">
        <v>0</v>
      </c>
      <c r="X80" s="372">
        <f t="shared" si="16"/>
        <v>0</v>
      </c>
      <c r="Y80" s="360">
        <v>0</v>
      </c>
      <c r="Z80" s="372">
        <f t="shared" si="17"/>
        <v>0</v>
      </c>
      <c r="AA80" s="657"/>
      <c r="AB80" s="774">
        <f t="shared" si="22"/>
        <v>0</v>
      </c>
      <c r="AC80" s="685">
        <f t="shared" si="18"/>
        <v>0</v>
      </c>
    </row>
    <row r="81" spans="1:29" ht="12" x14ac:dyDescent="0.2">
      <c r="B81" s="122" t="s">
        <v>101</v>
      </c>
      <c r="C81" s="569"/>
      <c r="D81" s="372"/>
      <c r="E81" s="290"/>
      <c r="F81" s="285"/>
      <c r="G81" s="290"/>
      <c r="H81" s="452"/>
      <c r="I81" s="290"/>
      <c r="J81" s="200"/>
      <c r="K81" s="290"/>
      <c r="L81" s="485"/>
      <c r="M81" s="290"/>
      <c r="N81" s="372"/>
      <c r="O81" s="290"/>
      <c r="P81" s="372"/>
      <c r="Q81" s="164"/>
      <c r="R81" s="372"/>
      <c r="S81" s="164"/>
      <c r="T81" s="372"/>
      <c r="U81" s="164"/>
      <c r="V81" s="372"/>
      <c r="W81" s="164"/>
      <c r="X81" s="372"/>
      <c r="Y81" s="164"/>
      <c r="Z81" s="372"/>
      <c r="AA81" s="657"/>
      <c r="AB81" s="774"/>
      <c r="AC81" s="685"/>
    </row>
    <row r="82" spans="1:29" ht="12" x14ac:dyDescent="0.2">
      <c r="B82" s="115" t="s">
        <v>88</v>
      </c>
      <c r="C82" s="370">
        <v>40</v>
      </c>
      <c r="D82" s="372">
        <f t="shared" si="19"/>
        <v>0.93023255813953487</v>
      </c>
      <c r="E82" s="209">
        <f>33+3</f>
        <v>36</v>
      </c>
      <c r="F82" s="286">
        <f>E82/$F$71</f>
        <v>0.94736842105263153</v>
      </c>
      <c r="G82" s="210">
        <v>35</v>
      </c>
      <c r="H82" s="372">
        <f>G82/$H$71</f>
        <v>0.94594594594594594</v>
      </c>
      <c r="I82" s="210">
        <v>36</v>
      </c>
      <c r="J82" s="372">
        <f>I82/$J$71</f>
        <v>0.92307692307692313</v>
      </c>
      <c r="K82" s="210">
        <v>34</v>
      </c>
      <c r="L82" s="206">
        <f>K82/$L$71</f>
        <v>0.87179487179487181</v>
      </c>
      <c r="M82" s="370">
        <f>32+1</f>
        <v>33</v>
      </c>
      <c r="N82" s="372">
        <f>M82/N$71</f>
        <v>0.84615384615384615</v>
      </c>
      <c r="O82" s="370">
        <v>34</v>
      </c>
      <c r="P82" s="372">
        <f>O82/P$71</f>
        <v>0.85</v>
      </c>
      <c r="Q82" s="428">
        <v>29</v>
      </c>
      <c r="R82" s="372">
        <f>Q82/R$71</f>
        <v>0.82857142857142863</v>
      </c>
      <c r="S82" s="428">
        <f>29</f>
        <v>29</v>
      </c>
      <c r="T82" s="372">
        <f>S82/T$71</f>
        <v>0.78378378378378377</v>
      </c>
      <c r="U82" s="428">
        <v>26</v>
      </c>
      <c r="V82" s="372">
        <f>U82/V$71</f>
        <v>0.76470588235294112</v>
      </c>
      <c r="W82" s="428">
        <f>1+28</f>
        <v>29</v>
      </c>
      <c r="X82" s="372">
        <f>W82/X$71</f>
        <v>0.82857142857142863</v>
      </c>
      <c r="Y82" s="428">
        <v>28</v>
      </c>
      <c r="Z82" s="372">
        <f>Y82/Z$71</f>
        <v>0.8</v>
      </c>
      <c r="AA82" s="657"/>
      <c r="AB82" s="774">
        <f t="shared" ref="AB82:AB83" si="23">AVERAGE(W82,U82,S82,Q82,Y82)</f>
        <v>28.2</v>
      </c>
      <c r="AC82" s="685">
        <f t="shared" ref="AC82:AC83" si="24">AVERAGE(X82,V82,T82,R82,Z82)</f>
        <v>0.8011265046559165</v>
      </c>
    </row>
    <row r="83" spans="1:29" ht="12" x14ac:dyDescent="0.2">
      <c r="B83" s="115" t="s">
        <v>89</v>
      </c>
      <c r="C83" s="370">
        <v>3</v>
      </c>
      <c r="D83" s="372">
        <f t="shared" si="19"/>
        <v>6.9767441860465115E-2</v>
      </c>
      <c r="E83" s="571">
        <v>2</v>
      </c>
      <c r="F83" s="286">
        <f>E83/$F$71</f>
        <v>5.2631578947368418E-2</v>
      </c>
      <c r="G83" s="370">
        <v>2</v>
      </c>
      <c r="H83" s="372">
        <f>G83/$H$71</f>
        <v>5.4054054054054057E-2</v>
      </c>
      <c r="I83" s="370">
        <v>3</v>
      </c>
      <c r="J83" s="200">
        <f>I83/$J$71</f>
        <v>7.6923076923076927E-2</v>
      </c>
      <c r="K83" s="370">
        <v>5</v>
      </c>
      <c r="L83" s="485">
        <f>K83/$L$71</f>
        <v>0.12820512820512819</v>
      </c>
      <c r="M83" s="370">
        <v>6</v>
      </c>
      <c r="N83" s="372">
        <f>M83/N$71</f>
        <v>0.15384615384615385</v>
      </c>
      <c r="O83" s="370">
        <v>6</v>
      </c>
      <c r="P83" s="372">
        <f>O83/P$71</f>
        <v>0.15</v>
      </c>
      <c r="Q83" s="428">
        <v>6</v>
      </c>
      <c r="R83" s="372">
        <f>Q83/R$71</f>
        <v>0.17142857142857143</v>
      </c>
      <c r="S83" s="428">
        <f>8</f>
        <v>8</v>
      </c>
      <c r="T83" s="372">
        <f>S83/T$71</f>
        <v>0.21621621621621623</v>
      </c>
      <c r="U83" s="428">
        <v>8</v>
      </c>
      <c r="V83" s="372">
        <f>U83/V$71</f>
        <v>0.23529411764705882</v>
      </c>
      <c r="W83" s="428">
        <v>6</v>
      </c>
      <c r="X83" s="372">
        <f>W83/X$71</f>
        <v>0.17142857142857143</v>
      </c>
      <c r="Y83" s="428">
        <v>7</v>
      </c>
      <c r="Z83" s="372">
        <f>Y83/Z$71</f>
        <v>0.2</v>
      </c>
      <c r="AA83" s="657"/>
      <c r="AB83" s="774">
        <f t="shared" si="23"/>
        <v>7</v>
      </c>
      <c r="AC83" s="685">
        <f t="shared" si="24"/>
        <v>0.19887349534408355</v>
      </c>
    </row>
    <row r="84" spans="1:29" ht="12" x14ac:dyDescent="0.2">
      <c r="B84" s="122" t="s">
        <v>102</v>
      </c>
      <c r="C84" s="570"/>
      <c r="D84" s="372"/>
      <c r="E84" s="1149"/>
      <c r="F84" s="286"/>
      <c r="G84" s="291"/>
      <c r="H84" s="372"/>
      <c r="I84" s="291"/>
      <c r="J84" s="200"/>
      <c r="K84" s="291"/>
      <c r="L84" s="485"/>
      <c r="M84" s="291"/>
      <c r="N84" s="372"/>
      <c r="O84" s="291"/>
      <c r="P84" s="372"/>
      <c r="Q84" s="429"/>
      <c r="R84" s="372"/>
      <c r="S84" s="429"/>
      <c r="T84" s="372"/>
      <c r="U84" s="429"/>
      <c r="V84" s="372"/>
      <c r="W84" s="429"/>
      <c r="X84" s="372"/>
      <c r="Y84" s="429"/>
      <c r="Z84" s="372"/>
      <c r="AA84" s="657"/>
      <c r="AB84" s="774"/>
      <c r="AC84" s="685"/>
    </row>
    <row r="85" spans="1:29" ht="12" x14ac:dyDescent="0.2">
      <c r="B85" s="115" t="s">
        <v>90</v>
      </c>
      <c r="C85" s="571">
        <v>32</v>
      </c>
      <c r="D85" s="372">
        <f t="shared" si="19"/>
        <v>0.7441860465116279</v>
      </c>
      <c r="E85" s="571">
        <v>31</v>
      </c>
      <c r="F85" s="286">
        <f>E85/$F$71</f>
        <v>0.81578947368421051</v>
      </c>
      <c r="G85" s="370">
        <v>32</v>
      </c>
      <c r="H85" s="372">
        <f>G85/$H$71</f>
        <v>0.86486486486486491</v>
      </c>
      <c r="I85" s="370">
        <v>31</v>
      </c>
      <c r="J85" s="200">
        <f>I85/$J$71</f>
        <v>0.79487179487179482</v>
      </c>
      <c r="K85" s="370">
        <v>30</v>
      </c>
      <c r="L85" s="485">
        <f>K85/$L$71</f>
        <v>0.76923076923076927</v>
      </c>
      <c r="M85" s="370">
        <v>28</v>
      </c>
      <c r="N85" s="372">
        <f>M85/N$71</f>
        <v>0.71794871794871795</v>
      </c>
      <c r="O85" s="370">
        <v>28</v>
      </c>
      <c r="P85" s="372">
        <f>O85/P$71</f>
        <v>0.7</v>
      </c>
      <c r="Q85" s="428">
        <v>25</v>
      </c>
      <c r="R85" s="372">
        <f>Q85/R$71</f>
        <v>0.7142857142857143</v>
      </c>
      <c r="S85" s="428">
        <f>25</f>
        <v>25</v>
      </c>
      <c r="T85" s="372">
        <f>S85/T$71</f>
        <v>0.67567567567567566</v>
      </c>
      <c r="U85" s="428">
        <v>25</v>
      </c>
      <c r="V85" s="372">
        <f>U85/V$71</f>
        <v>0.73529411764705888</v>
      </c>
      <c r="W85" s="428">
        <f>1+25</f>
        <v>26</v>
      </c>
      <c r="X85" s="372">
        <f>W85/X$71</f>
        <v>0.74285714285714288</v>
      </c>
      <c r="Y85" s="428">
        <v>24</v>
      </c>
      <c r="Z85" s="372">
        <f>Y85/Z$71</f>
        <v>0.68571428571428572</v>
      </c>
      <c r="AA85" s="657"/>
      <c r="AB85" s="774">
        <f t="shared" ref="AB85:AB92" si="25">AVERAGE(W85,U85,S85,Q85,Y85)</f>
        <v>25</v>
      </c>
      <c r="AC85" s="685">
        <f t="shared" ref="AC85:AC92" si="26">AVERAGE(X85,V85,T85,R85,Z85)</f>
        <v>0.71076538723597549</v>
      </c>
    </row>
    <row r="86" spans="1:29" ht="12" x14ac:dyDescent="0.2">
      <c r="B86" s="115" t="s">
        <v>91</v>
      </c>
      <c r="C86" s="571">
        <v>5</v>
      </c>
      <c r="D86" s="372">
        <f t="shared" si="19"/>
        <v>0.11627906976744186</v>
      </c>
      <c r="E86" s="571">
        <v>3</v>
      </c>
      <c r="F86" s="286">
        <f>E86/$F$71</f>
        <v>7.8947368421052627E-2</v>
      </c>
      <c r="G86" s="370">
        <v>3</v>
      </c>
      <c r="H86" s="372">
        <f>G86/$H$71</f>
        <v>8.1081081081081086E-2</v>
      </c>
      <c r="I86" s="370">
        <v>4</v>
      </c>
      <c r="J86" s="200">
        <f>I86/$J$71</f>
        <v>0.10256410256410256</v>
      </c>
      <c r="K86" s="370">
        <v>5</v>
      </c>
      <c r="L86" s="485">
        <f>K86/$L$71</f>
        <v>0.12820512820512819</v>
      </c>
      <c r="M86" s="370">
        <v>8</v>
      </c>
      <c r="N86" s="372">
        <f>M86/N$71</f>
        <v>0.20512820512820512</v>
      </c>
      <c r="O86" s="370">
        <v>7</v>
      </c>
      <c r="P86" s="372">
        <f>O86/P$71</f>
        <v>0.17499999999999999</v>
      </c>
      <c r="Q86" s="428">
        <v>6</v>
      </c>
      <c r="R86" s="372">
        <f>Q86/R$71</f>
        <v>0.17142857142857143</v>
      </c>
      <c r="S86" s="428">
        <f>9</f>
        <v>9</v>
      </c>
      <c r="T86" s="372">
        <f>S86/T$71</f>
        <v>0.24324324324324326</v>
      </c>
      <c r="U86" s="428">
        <v>6</v>
      </c>
      <c r="V86" s="372">
        <f>U86/V$71</f>
        <v>0.17647058823529413</v>
      </c>
      <c r="W86" s="428">
        <v>8</v>
      </c>
      <c r="X86" s="372">
        <f>W86/X$71</f>
        <v>0.22857142857142856</v>
      </c>
      <c r="Y86" s="428">
        <v>9</v>
      </c>
      <c r="Z86" s="372">
        <f>Y86/Z$71</f>
        <v>0.25714285714285712</v>
      </c>
      <c r="AA86" s="657"/>
      <c r="AB86" s="774">
        <f t="shared" si="25"/>
        <v>7.6</v>
      </c>
      <c r="AC86" s="685">
        <f t="shared" si="26"/>
        <v>0.21537133772427891</v>
      </c>
    </row>
    <row r="87" spans="1:29" ht="12" x14ac:dyDescent="0.2">
      <c r="B87" s="115" t="s">
        <v>92</v>
      </c>
      <c r="C87" s="571">
        <v>6</v>
      </c>
      <c r="D87" s="372">
        <f t="shared" si="19"/>
        <v>0.13953488372093023</v>
      </c>
      <c r="E87" s="571">
        <f>1+3</f>
        <v>4</v>
      </c>
      <c r="F87" s="286">
        <f>E87/$F$71</f>
        <v>0.10526315789473684</v>
      </c>
      <c r="G87" s="370">
        <v>2</v>
      </c>
      <c r="H87" s="372">
        <f>G87/$H$71</f>
        <v>5.4054054054054057E-2</v>
      </c>
      <c r="I87" s="370">
        <v>4</v>
      </c>
      <c r="J87" s="200">
        <f>I87/$J$71</f>
        <v>0.10256410256410256</v>
      </c>
      <c r="K87" s="370">
        <v>4</v>
      </c>
      <c r="L87" s="485">
        <f>K87/$L$71</f>
        <v>0.10256410256410256</v>
      </c>
      <c r="M87" s="370">
        <f>1+2</f>
        <v>3</v>
      </c>
      <c r="N87" s="372">
        <f>M87/N$71</f>
        <v>7.6923076923076927E-2</v>
      </c>
      <c r="O87" s="370">
        <v>5</v>
      </c>
      <c r="P87" s="1169">
        <f>O87/P$71</f>
        <v>0.125</v>
      </c>
      <c r="Q87" s="370">
        <v>4</v>
      </c>
      <c r="R87" s="372">
        <f>Q87/R$71</f>
        <v>0.11428571428571428</v>
      </c>
      <c r="S87" s="370">
        <f>3</f>
        <v>3</v>
      </c>
      <c r="T87" s="372">
        <f>S87/T$71</f>
        <v>8.1081081081081086E-2</v>
      </c>
      <c r="U87" s="370">
        <v>3</v>
      </c>
      <c r="V87" s="372">
        <f>U87/V$71</f>
        <v>8.8235294117647065E-2</v>
      </c>
      <c r="W87" s="370">
        <v>1</v>
      </c>
      <c r="X87" s="372">
        <f>W87/X$71</f>
        <v>2.8571428571428571E-2</v>
      </c>
      <c r="Y87" s="370">
        <v>2</v>
      </c>
      <c r="Z87" s="372">
        <f>Y87/Z$71</f>
        <v>5.7142857142857141E-2</v>
      </c>
      <c r="AA87" s="657"/>
      <c r="AB87" s="774">
        <f t="shared" si="25"/>
        <v>2.6</v>
      </c>
      <c r="AC87" s="685">
        <f t="shared" si="26"/>
        <v>7.3863275039745629E-2</v>
      </c>
    </row>
    <row r="88" spans="1:29" ht="12" x14ac:dyDescent="0.2">
      <c r="B88" s="122" t="s">
        <v>103</v>
      </c>
      <c r="C88" s="570"/>
      <c r="D88" s="372"/>
      <c r="E88" s="1149"/>
      <c r="F88" s="286"/>
      <c r="G88" s="291"/>
      <c r="H88" s="372"/>
      <c r="I88" s="291"/>
      <c r="J88" s="200"/>
      <c r="K88" s="291"/>
      <c r="L88" s="485"/>
      <c r="M88" s="291"/>
      <c r="N88" s="372"/>
      <c r="O88" s="291"/>
      <c r="P88" s="1169"/>
      <c r="Q88" s="291"/>
      <c r="R88" s="372"/>
      <c r="S88" s="291"/>
      <c r="T88" s="372"/>
      <c r="U88" s="291"/>
      <c r="V88" s="372"/>
      <c r="W88" s="291"/>
      <c r="X88" s="372"/>
      <c r="Y88" s="291"/>
      <c r="Z88" s="372"/>
      <c r="AA88" s="657"/>
      <c r="AB88" s="774"/>
      <c r="AC88" s="685"/>
    </row>
    <row r="89" spans="1:29" ht="12" x14ac:dyDescent="0.2">
      <c r="B89" s="115" t="s">
        <v>93</v>
      </c>
      <c r="C89" s="571">
        <v>42</v>
      </c>
      <c r="D89" s="372">
        <f t="shared" si="19"/>
        <v>0.97674418604651159</v>
      </c>
      <c r="E89" s="571">
        <f>35+3</f>
        <v>38</v>
      </c>
      <c r="F89" s="286">
        <f>E89/$F$71</f>
        <v>1</v>
      </c>
      <c r="G89" s="370">
        <v>37</v>
      </c>
      <c r="H89" s="372">
        <f>G89/$H$71</f>
        <v>1</v>
      </c>
      <c r="I89" s="370">
        <v>39</v>
      </c>
      <c r="J89" s="200">
        <f>I89/$J$71</f>
        <v>1</v>
      </c>
      <c r="K89" s="370">
        <v>38</v>
      </c>
      <c r="L89" s="485">
        <f>K89/$L$71</f>
        <v>0.97435897435897434</v>
      </c>
      <c r="M89" s="370">
        <f>37+1</f>
        <v>38</v>
      </c>
      <c r="N89" s="372">
        <f>M89/N$71</f>
        <v>0.97435897435897434</v>
      </c>
      <c r="O89" s="370">
        <v>39</v>
      </c>
      <c r="P89" s="1169">
        <f>O89/P$71</f>
        <v>0.97499999999999998</v>
      </c>
      <c r="Q89" s="370">
        <v>34</v>
      </c>
      <c r="R89" s="372">
        <f>Q89/R$71</f>
        <v>0.97142857142857142</v>
      </c>
      <c r="S89" s="370">
        <f>36</f>
        <v>36</v>
      </c>
      <c r="T89" s="372">
        <f>S89/T$71</f>
        <v>0.97297297297297303</v>
      </c>
      <c r="U89" s="370">
        <v>33</v>
      </c>
      <c r="V89" s="372">
        <f>U89/V$71</f>
        <v>0.97058823529411764</v>
      </c>
      <c r="W89" s="370">
        <f>1+34</f>
        <v>35</v>
      </c>
      <c r="X89" s="372">
        <f>W89/X$71</f>
        <v>1</v>
      </c>
      <c r="Y89" s="370">
        <v>34</v>
      </c>
      <c r="Z89" s="372">
        <f>Y89/Z$71</f>
        <v>0.97142857142857142</v>
      </c>
      <c r="AA89" s="657"/>
      <c r="AB89" s="774">
        <f t="shared" si="25"/>
        <v>34.4</v>
      </c>
      <c r="AC89" s="685">
        <f t="shared" si="26"/>
        <v>0.97728367022484675</v>
      </c>
    </row>
    <row r="90" spans="1:29" ht="12" x14ac:dyDescent="0.2">
      <c r="B90" s="115" t="s">
        <v>94</v>
      </c>
      <c r="C90" s="571">
        <v>0</v>
      </c>
      <c r="D90" s="372">
        <f t="shared" si="19"/>
        <v>0</v>
      </c>
      <c r="E90" s="571">
        <v>0</v>
      </c>
      <c r="F90" s="286">
        <f>E90/$F$71</f>
        <v>0</v>
      </c>
      <c r="G90" s="370">
        <v>0</v>
      </c>
      <c r="H90" s="372">
        <f>G90/$H$71</f>
        <v>0</v>
      </c>
      <c r="I90" s="370">
        <v>0</v>
      </c>
      <c r="J90" s="200">
        <f>I90/$J$71</f>
        <v>0</v>
      </c>
      <c r="K90" s="370">
        <v>1</v>
      </c>
      <c r="L90" s="485">
        <f>K90/$L$71</f>
        <v>2.564102564102564E-2</v>
      </c>
      <c r="M90" s="370">
        <v>1</v>
      </c>
      <c r="N90" s="372">
        <f>M90/N$71</f>
        <v>2.564102564102564E-2</v>
      </c>
      <c r="O90" s="370">
        <v>1</v>
      </c>
      <c r="P90" s="1169">
        <f>O90/P$71</f>
        <v>2.5000000000000001E-2</v>
      </c>
      <c r="Q90" s="370">
        <v>1</v>
      </c>
      <c r="R90" s="372">
        <f>Q90/R$71</f>
        <v>2.8571428571428571E-2</v>
      </c>
      <c r="S90" s="370">
        <f>1</f>
        <v>1</v>
      </c>
      <c r="T90" s="372">
        <f>S90/T$71</f>
        <v>2.7027027027027029E-2</v>
      </c>
      <c r="U90" s="370">
        <v>1</v>
      </c>
      <c r="V90" s="372">
        <f>U90/V$71</f>
        <v>2.9411764705882353E-2</v>
      </c>
      <c r="W90" s="370">
        <v>0</v>
      </c>
      <c r="X90" s="372">
        <f>W90/X$71</f>
        <v>0</v>
      </c>
      <c r="Y90" s="370">
        <v>1</v>
      </c>
      <c r="Z90" s="372">
        <f>Y90/Z$71</f>
        <v>2.8571428571428571E-2</v>
      </c>
      <c r="AA90" s="657"/>
      <c r="AB90" s="774">
        <f t="shared" si="25"/>
        <v>0.8</v>
      </c>
      <c r="AC90" s="685">
        <f t="shared" si="26"/>
        <v>2.2716329775153303E-2</v>
      </c>
    </row>
    <row r="91" spans="1:29" ht="12" x14ac:dyDescent="0.2">
      <c r="B91" s="115" t="s">
        <v>95</v>
      </c>
      <c r="C91" s="571">
        <v>1</v>
      </c>
      <c r="D91" s="372">
        <f t="shared" si="19"/>
        <v>2.3255813953488372E-2</v>
      </c>
      <c r="E91" s="571">
        <v>0</v>
      </c>
      <c r="F91" s="286">
        <f>E91/$F$71</f>
        <v>0</v>
      </c>
      <c r="G91" s="370">
        <v>0</v>
      </c>
      <c r="H91" s="372">
        <f>G91/$H$71</f>
        <v>0</v>
      </c>
      <c r="I91" s="370">
        <v>0</v>
      </c>
      <c r="J91" s="200">
        <f>I91/$J$71</f>
        <v>0</v>
      </c>
      <c r="K91" s="370">
        <v>0</v>
      </c>
      <c r="L91" s="485">
        <f>K91/$L$71</f>
        <v>0</v>
      </c>
      <c r="M91" s="370">
        <v>0</v>
      </c>
      <c r="N91" s="372">
        <f>M91/N$71</f>
        <v>0</v>
      </c>
      <c r="O91" s="370">
        <v>0</v>
      </c>
      <c r="P91" s="1169">
        <f>O91/P$71</f>
        <v>0</v>
      </c>
      <c r="Q91" s="370">
        <v>0</v>
      </c>
      <c r="R91" s="372">
        <f>Q91/R$71</f>
        <v>0</v>
      </c>
      <c r="S91" s="370">
        <f>0</f>
        <v>0</v>
      </c>
      <c r="T91" s="372">
        <f>S91/T$71</f>
        <v>0</v>
      </c>
      <c r="U91" s="370">
        <v>0</v>
      </c>
      <c r="V91" s="372">
        <f>U91/V$71</f>
        <v>0</v>
      </c>
      <c r="W91" s="370">
        <v>0</v>
      </c>
      <c r="X91" s="372">
        <f>W91/X$71</f>
        <v>0</v>
      </c>
      <c r="Y91" s="370">
        <v>0</v>
      </c>
      <c r="Z91" s="372">
        <f>Y91/Z$71</f>
        <v>0</v>
      </c>
      <c r="AA91" s="657"/>
      <c r="AB91" s="774">
        <f t="shared" si="25"/>
        <v>0</v>
      </c>
      <c r="AC91" s="685">
        <f t="shared" si="26"/>
        <v>0</v>
      </c>
    </row>
    <row r="92" spans="1:29" thickBot="1" x14ac:dyDescent="0.25">
      <c r="B92" s="123" t="s">
        <v>96</v>
      </c>
      <c r="C92" s="572">
        <v>0</v>
      </c>
      <c r="D92" s="453">
        <f t="shared" si="19"/>
        <v>0</v>
      </c>
      <c r="E92" s="1150">
        <v>0</v>
      </c>
      <c r="F92" s="287">
        <f>E92/$F$71</f>
        <v>0</v>
      </c>
      <c r="G92" s="371">
        <v>0</v>
      </c>
      <c r="H92" s="453">
        <f>G92/$H$71</f>
        <v>0</v>
      </c>
      <c r="I92" s="371">
        <v>0</v>
      </c>
      <c r="J92" s="205">
        <f>I92/$J$71</f>
        <v>0</v>
      </c>
      <c r="K92" s="371">
        <v>0</v>
      </c>
      <c r="L92" s="486">
        <f>K92/$L$71</f>
        <v>0</v>
      </c>
      <c r="M92" s="371">
        <v>0</v>
      </c>
      <c r="N92" s="453">
        <f>M92/N$71</f>
        <v>0</v>
      </c>
      <c r="O92" s="371">
        <v>0</v>
      </c>
      <c r="P92" s="1170">
        <f>O92/P$71</f>
        <v>0</v>
      </c>
      <c r="Q92" s="371">
        <v>0</v>
      </c>
      <c r="R92" s="453">
        <f>Q92/R$71</f>
        <v>0</v>
      </c>
      <c r="S92" s="371">
        <f>0</f>
        <v>0</v>
      </c>
      <c r="T92" s="453">
        <f>S92/T$71</f>
        <v>0</v>
      </c>
      <c r="U92" s="371">
        <v>0</v>
      </c>
      <c r="V92" s="453">
        <f>U92/V$71</f>
        <v>0</v>
      </c>
      <c r="W92" s="371">
        <v>0</v>
      </c>
      <c r="X92" s="453">
        <f>W92/X$71</f>
        <v>0</v>
      </c>
      <c r="Y92" s="371">
        <v>0</v>
      </c>
      <c r="Z92" s="453">
        <f>Y92/Z$71</f>
        <v>0</v>
      </c>
      <c r="AA92" s="657"/>
      <c r="AB92" s="654">
        <f t="shared" si="25"/>
        <v>0</v>
      </c>
      <c r="AC92" s="686">
        <f t="shared" si="26"/>
        <v>0</v>
      </c>
    </row>
    <row r="93" spans="1:29" ht="13.5" thickTop="1" thickBot="1" x14ac:dyDescent="0.25">
      <c r="A93" s="652"/>
      <c r="B93" s="669" t="s">
        <v>131</v>
      </c>
      <c r="C93" s="1477" t="s">
        <v>35</v>
      </c>
      <c r="D93" s="1482"/>
      <c r="E93" s="1477" t="s">
        <v>36</v>
      </c>
      <c r="F93" s="1482"/>
      <c r="G93" s="1479" t="s">
        <v>122</v>
      </c>
      <c r="H93" s="1487"/>
      <c r="I93" s="1479" t="s">
        <v>123</v>
      </c>
      <c r="J93" s="1487"/>
      <c r="K93" s="1479" t="s">
        <v>148</v>
      </c>
      <c r="L93" s="1487"/>
      <c r="M93" s="1488" t="s">
        <v>149</v>
      </c>
      <c r="N93" s="1484"/>
      <c r="O93" s="1479" t="s">
        <v>175</v>
      </c>
      <c r="P93" s="1539"/>
      <c r="Q93" s="1488" t="s">
        <v>194</v>
      </c>
      <c r="R93" s="1484"/>
      <c r="S93" s="1488" t="s">
        <v>219</v>
      </c>
      <c r="T93" s="1484"/>
      <c r="U93" s="1488" t="s">
        <v>222</v>
      </c>
      <c r="V93" s="1484"/>
      <c r="W93" s="1488" t="s">
        <v>233</v>
      </c>
      <c r="X93" s="1484"/>
      <c r="Y93" s="1488" t="s">
        <v>242</v>
      </c>
      <c r="Z93" s="1489"/>
      <c r="AA93" s="652"/>
      <c r="AC93" s="652"/>
    </row>
    <row r="94" spans="1:29" ht="12" x14ac:dyDescent="0.2">
      <c r="A94" s="652"/>
      <c r="B94" s="676"/>
      <c r="C94" s="101" t="s">
        <v>97</v>
      </c>
      <c r="D94" s="677" t="s">
        <v>17</v>
      </c>
      <c r="E94" s="1146" t="s">
        <v>97</v>
      </c>
      <c r="F94" s="677" t="s">
        <v>17</v>
      </c>
      <c r="G94" s="101" t="s">
        <v>97</v>
      </c>
      <c r="H94" s="677" t="s">
        <v>17</v>
      </c>
      <c r="I94" s="1316" t="s">
        <v>97</v>
      </c>
      <c r="J94" s="677" t="s">
        <v>17</v>
      </c>
      <c r="K94" s="101" t="s">
        <v>97</v>
      </c>
      <c r="L94" s="677" t="s">
        <v>17</v>
      </c>
      <c r="M94" s="101" t="s">
        <v>97</v>
      </c>
      <c r="N94" s="677" t="s">
        <v>17</v>
      </c>
      <c r="O94" s="101" t="s">
        <v>97</v>
      </c>
      <c r="P94" s="677" t="s">
        <v>17</v>
      </c>
      <c r="Q94" s="253" t="s">
        <v>97</v>
      </c>
      <c r="R94" s="677" t="s">
        <v>17</v>
      </c>
      <c r="S94" s="253" t="s">
        <v>97</v>
      </c>
      <c r="T94" s="677" t="s">
        <v>17</v>
      </c>
      <c r="U94" s="253" t="s">
        <v>97</v>
      </c>
      <c r="V94" s="677" t="s">
        <v>17</v>
      </c>
      <c r="W94" s="253" t="s">
        <v>97</v>
      </c>
      <c r="X94" s="677" t="s">
        <v>17</v>
      </c>
      <c r="Y94" s="253" t="s">
        <v>97</v>
      </c>
      <c r="Z94" s="677" t="s">
        <v>17</v>
      </c>
      <c r="AA94" s="657"/>
      <c r="AB94" s="101" t="s">
        <v>97</v>
      </c>
      <c r="AC94" s="678" t="s">
        <v>17</v>
      </c>
    </row>
    <row r="95" spans="1:29" ht="12" x14ac:dyDescent="0.2">
      <c r="A95" s="652"/>
      <c r="B95" s="680" t="s">
        <v>132</v>
      </c>
      <c r="C95" s="101">
        <v>37</v>
      </c>
      <c r="D95" s="899">
        <v>17.600000000000001</v>
      </c>
      <c r="E95" s="1147">
        <v>35</v>
      </c>
      <c r="F95" s="706">
        <v>15.9</v>
      </c>
      <c r="G95" s="253">
        <v>34</v>
      </c>
      <c r="H95" s="706">
        <v>15.6</v>
      </c>
      <c r="I95" s="1147">
        <v>40</v>
      </c>
      <c r="J95" s="706">
        <v>18.8</v>
      </c>
      <c r="K95" s="101">
        <v>44</v>
      </c>
      <c r="L95" s="706">
        <v>20.6</v>
      </c>
      <c r="M95" s="840">
        <v>49</v>
      </c>
      <c r="N95" s="440">
        <v>23.4</v>
      </c>
      <c r="O95" s="840">
        <v>60</v>
      </c>
      <c r="P95" s="440">
        <v>29.2</v>
      </c>
      <c r="Q95" s="840">
        <v>58</v>
      </c>
      <c r="R95" s="440">
        <v>27.5</v>
      </c>
      <c r="S95" s="840">
        <v>64</v>
      </c>
      <c r="T95" s="440">
        <v>30.6</v>
      </c>
      <c r="U95" s="840">
        <v>64</v>
      </c>
      <c r="V95" s="440">
        <v>30.9</v>
      </c>
      <c r="W95" s="840">
        <v>67</v>
      </c>
      <c r="X95" s="440">
        <v>32.299999999999997</v>
      </c>
      <c r="Y95" s="840">
        <v>68</v>
      </c>
      <c r="Z95" s="240">
        <v>32.5</v>
      </c>
      <c r="AA95" s="901"/>
      <c r="AB95" s="877">
        <f t="shared" ref="AB95:AB97" si="27">AVERAGE(W95,U95,S95,Q95,Y95)</f>
        <v>64.2</v>
      </c>
      <c r="AC95" s="896">
        <f>AVERAGE(X95,V95,T95,R95,Z95)</f>
        <v>30.76</v>
      </c>
    </row>
    <row r="96" spans="1:29" ht="12" x14ac:dyDescent="0.2">
      <c r="A96" s="652"/>
      <c r="B96" s="680" t="s">
        <v>133</v>
      </c>
      <c r="C96" s="101">
        <v>6</v>
      </c>
      <c r="D96" s="899">
        <v>0.8</v>
      </c>
      <c r="E96" s="1147">
        <v>8</v>
      </c>
      <c r="F96" s="706">
        <v>1.4</v>
      </c>
      <c r="G96" s="253">
        <v>9</v>
      </c>
      <c r="H96" s="706">
        <v>1.6</v>
      </c>
      <c r="I96" s="1147">
        <v>8</v>
      </c>
      <c r="J96" s="706">
        <v>1.2</v>
      </c>
      <c r="K96" s="101">
        <v>9</v>
      </c>
      <c r="L96" s="706">
        <v>1.4</v>
      </c>
      <c r="M96" s="840">
        <v>7</v>
      </c>
      <c r="N96" s="440">
        <v>1.1000000000000001</v>
      </c>
      <c r="O96" s="840">
        <v>6</v>
      </c>
      <c r="P96" s="440">
        <v>0.7</v>
      </c>
      <c r="Q96" s="840">
        <v>0</v>
      </c>
      <c r="R96" s="440">
        <v>0</v>
      </c>
      <c r="S96" s="840">
        <v>7</v>
      </c>
      <c r="T96" s="440">
        <v>1.4</v>
      </c>
      <c r="U96" s="840">
        <v>11</v>
      </c>
      <c r="V96" s="440">
        <v>1.2</v>
      </c>
      <c r="W96" s="840">
        <v>10</v>
      </c>
      <c r="X96" s="440">
        <v>1.1000000000000001</v>
      </c>
      <c r="Y96" s="840">
        <v>13</v>
      </c>
      <c r="Z96" s="240">
        <v>1.4</v>
      </c>
      <c r="AA96" s="901"/>
      <c r="AB96" s="877">
        <f t="shared" si="27"/>
        <v>8.1999999999999993</v>
      </c>
      <c r="AC96" s="896">
        <f t="shared" ref="AC96:AC97" si="28">AVERAGE(X96,V96,T96,R96,Z96)</f>
        <v>1.02</v>
      </c>
    </row>
    <row r="97" spans="1:32" thickBot="1" x14ac:dyDescent="0.25">
      <c r="A97" s="652"/>
      <c r="B97" s="682" t="s">
        <v>158</v>
      </c>
      <c r="C97" s="683">
        <v>0</v>
      </c>
      <c r="D97" s="902">
        <v>0</v>
      </c>
      <c r="E97" s="1148">
        <v>0</v>
      </c>
      <c r="F97" s="707">
        <v>0</v>
      </c>
      <c r="G97" s="878">
        <v>0</v>
      </c>
      <c r="H97" s="707">
        <v>0</v>
      </c>
      <c r="I97" s="1148">
        <v>1</v>
      </c>
      <c r="J97" s="707">
        <v>0.5</v>
      </c>
      <c r="K97" s="683">
        <v>2</v>
      </c>
      <c r="L97" s="707">
        <v>0.9</v>
      </c>
      <c r="M97" s="843">
        <v>2</v>
      </c>
      <c r="N97" s="1001">
        <v>0.7</v>
      </c>
      <c r="O97" s="843">
        <v>1</v>
      </c>
      <c r="P97" s="1001">
        <v>0.5</v>
      </c>
      <c r="Q97" s="843">
        <v>0</v>
      </c>
      <c r="R97" s="1001">
        <v>0</v>
      </c>
      <c r="S97" s="843">
        <v>0</v>
      </c>
      <c r="T97" s="1001">
        <v>0</v>
      </c>
      <c r="U97" s="843">
        <v>0</v>
      </c>
      <c r="V97" s="1001">
        <v>0</v>
      </c>
      <c r="W97" s="843">
        <v>0</v>
      </c>
      <c r="X97" s="1001">
        <v>0</v>
      </c>
      <c r="Y97" s="843">
        <v>0</v>
      </c>
      <c r="Z97" s="1391">
        <v>0</v>
      </c>
      <c r="AA97" s="901"/>
      <c r="AB97" s="877">
        <f t="shared" si="27"/>
        <v>0</v>
      </c>
      <c r="AC97" s="898">
        <f t="shared" si="28"/>
        <v>0</v>
      </c>
      <c r="AF97" s="24"/>
    </row>
    <row r="98" spans="1:32" ht="17.25" thickTop="1" thickBot="1" x14ac:dyDescent="0.3">
      <c r="A98" s="708"/>
      <c r="B98" s="709"/>
      <c r="C98" s="1477"/>
      <c r="D98" s="1482"/>
      <c r="E98" s="1477"/>
      <c r="F98" s="1482"/>
      <c r="G98" s="1479"/>
      <c r="H98" s="1487"/>
      <c r="I98" s="1479"/>
      <c r="J98" s="1487"/>
      <c r="K98" s="1479"/>
      <c r="L98" s="1487"/>
      <c r="M98" s="1488"/>
      <c r="N98" s="1484"/>
      <c r="O98" s="1483" t="s">
        <v>175</v>
      </c>
      <c r="P98" s="1484"/>
      <c r="Q98" s="1483"/>
      <c r="R98" s="1484"/>
      <c r="S98" s="1483"/>
      <c r="T98" s="1484"/>
      <c r="U98" s="1483" t="s">
        <v>222</v>
      </c>
      <c r="V98" s="1484"/>
      <c r="W98" s="1483"/>
      <c r="X98" s="1484"/>
      <c r="Y98" s="1483"/>
      <c r="Z98" s="1489"/>
      <c r="AA98" s="1214"/>
      <c r="AB98" s="1485"/>
      <c r="AC98" s="1486"/>
      <c r="AD98" s="24"/>
    </row>
    <row r="99" spans="1:32" x14ac:dyDescent="0.2">
      <c r="B99" s="710" t="s">
        <v>157</v>
      </c>
      <c r="C99" s="1"/>
      <c r="D99" s="711"/>
      <c r="E99" s="1144"/>
      <c r="F99" s="713"/>
      <c r="G99" s="714"/>
      <c r="H99" s="715"/>
      <c r="I99" s="1317"/>
      <c r="J99" s="717"/>
      <c r="K99" s="655"/>
      <c r="L99" s="718"/>
      <c r="M99" s="655"/>
      <c r="N99" s="722"/>
      <c r="O99" s="222"/>
      <c r="P99" s="1187"/>
      <c r="Q99" s="655"/>
      <c r="R99" s="722"/>
      <c r="S99" s="655"/>
      <c r="T99" s="722"/>
      <c r="U99" s="222"/>
      <c r="V99" s="1187"/>
      <c r="W99" s="655"/>
      <c r="X99" s="722"/>
      <c r="Y99" s="655"/>
      <c r="Z99" s="1184"/>
      <c r="AA99" s="24"/>
      <c r="AB99" s="24"/>
      <c r="AC99" s="24"/>
      <c r="AD99" s="24"/>
      <c r="AE99" s="24"/>
      <c r="AF99" s="24"/>
    </row>
    <row r="100" spans="1:32" ht="12" x14ac:dyDescent="0.2">
      <c r="A100" s="652"/>
      <c r="B100" s="719" t="s">
        <v>138</v>
      </c>
      <c r="C100" s="1461">
        <v>6.21</v>
      </c>
      <c r="D100" s="1462"/>
      <c r="E100" s="1145"/>
      <c r="F100" s="721"/>
      <c r="G100" s="655"/>
      <c r="H100" s="722"/>
      <c r="I100" s="1461">
        <v>6.31</v>
      </c>
      <c r="J100" s="1462"/>
      <c r="K100" s="723"/>
      <c r="L100" s="724"/>
      <c r="M100" s="723"/>
      <c r="N100" s="722"/>
      <c r="O100" s="235"/>
      <c r="P100" s="1233">
        <v>7.6</v>
      </c>
      <c r="Q100" s="723"/>
      <c r="R100" s="722"/>
      <c r="S100" s="723"/>
      <c r="T100" s="722"/>
      <c r="U100" s="235"/>
      <c r="V100" s="1233">
        <v>9.2200000000000006</v>
      </c>
      <c r="W100" s="723"/>
      <c r="X100" s="722"/>
      <c r="Y100" s="723"/>
      <c r="Z100" s="1184"/>
      <c r="AA100" s="24"/>
      <c r="AB100" s="24"/>
      <c r="AC100" s="1215"/>
      <c r="AD100" s="15"/>
      <c r="AE100" s="15"/>
      <c r="AF100" s="15"/>
    </row>
    <row r="101" spans="1:32" ht="12" x14ac:dyDescent="0.2">
      <c r="A101" s="652"/>
      <c r="B101" s="725" t="s">
        <v>139</v>
      </c>
      <c r="C101" s="1461">
        <v>4.32</v>
      </c>
      <c r="D101" s="1462"/>
      <c r="E101" s="1145"/>
      <c r="F101" s="721"/>
      <c r="G101" s="655"/>
      <c r="H101" s="722"/>
      <c r="I101" s="1461">
        <v>0.9</v>
      </c>
      <c r="J101" s="1462"/>
      <c r="K101" s="723"/>
      <c r="L101" s="724"/>
      <c r="M101" s="723"/>
      <c r="N101" s="722"/>
      <c r="O101" s="235"/>
      <c r="P101" s="1233"/>
      <c r="Q101" s="723"/>
      <c r="R101" s="722"/>
      <c r="S101" s="723"/>
      <c r="T101" s="722"/>
      <c r="U101" s="235"/>
      <c r="V101" s="1233"/>
      <c r="W101" s="723"/>
      <c r="X101" s="722"/>
      <c r="Y101" s="723"/>
      <c r="Z101" s="1184"/>
      <c r="AA101" s="24"/>
      <c r="AB101" s="24"/>
      <c r="AC101" s="1215"/>
      <c r="AD101" s="15"/>
      <c r="AE101" s="15"/>
      <c r="AF101" s="15"/>
    </row>
    <row r="102" spans="1:32" ht="12" x14ac:dyDescent="0.2">
      <c r="A102" s="652"/>
      <c r="B102" s="725" t="s">
        <v>140</v>
      </c>
      <c r="C102" s="1461"/>
      <c r="D102" s="1462"/>
      <c r="E102" s="1145"/>
      <c r="F102" s="721"/>
      <c r="G102" s="655"/>
      <c r="H102" s="722"/>
      <c r="I102" s="1461"/>
      <c r="J102" s="1462"/>
      <c r="K102" s="723"/>
      <c r="L102" s="724"/>
      <c r="M102" s="723"/>
      <c r="N102" s="722"/>
      <c r="O102" s="235"/>
      <c r="P102" s="1233">
        <v>1.9</v>
      </c>
      <c r="Q102" s="723"/>
      <c r="R102" s="722"/>
      <c r="S102" s="723"/>
      <c r="T102" s="722"/>
      <c r="U102" s="235"/>
      <c r="V102" s="1233">
        <v>1</v>
      </c>
      <c r="W102" s="723"/>
      <c r="X102" s="722"/>
      <c r="Y102" s="723"/>
      <c r="Z102" s="1184"/>
      <c r="AA102" s="24"/>
      <c r="AB102" s="24"/>
      <c r="AC102" s="1215"/>
      <c r="AD102" s="15"/>
      <c r="AE102" s="15"/>
      <c r="AF102" s="15"/>
    </row>
    <row r="103" spans="1:32" ht="12" x14ac:dyDescent="0.2">
      <c r="A103" s="652"/>
      <c r="B103" s="719" t="s">
        <v>141</v>
      </c>
      <c r="C103" s="1461">
        <v>0</v>
      </c>
      <c r="D103" s="1462"/>
      <c r="E103" s="1145"/>
      <c r="F103" s="721"/>
      <c r="G103" s="655"/>
      <c r="H103" s="722"/>
      <c r="I103" s="1461">
        <v>0.3</v>
      </c>
      <c r="J103" s="1462"/>
      <c r="K103" s="723"/>
      <c r="L103" s="724"/>
      <c r="M103" s="723"/>
      <c r="N103" s="722"/>
      <c r="O103" s="235"/>
      <c r="P103" s="1233">
        <v>0.2</v>
      </c>
      <c r="Q103" s="723"/>
      <c r="R103" s="722"/>
      <c r="S103" s="723"/>
      <c r="T103" s="722"/>
      <c r="U103" s="235"/>
      <c r="V103" s="1233">
        <v>0.2</v>
      </c>
      <c r="W103" s="723"/>
      <c r="X103" s="722"/>
      <c r="Y103" s="723"/>
      <c r="Z103" s="1184"/>
      <c r="AA103" s="24"/>
      <c r="AB103" s="24"/>
      <c r="AC103" s="1215"/>
      <c r="AD103" s="15"/>
      <c r="AE103" s="15"/>
      <c r="AF103" s="15"/>
    </row>
    <row r="104" spans="1:32" ht="12" x14ac:dyDescent="0.2">
      <c r="A104" s="652"/>
      <c r="B104" s="726" t="s">
        <v>142</v>
      </c>
      <c r="C104" s="1461">
        <v>0.45</v>
      </c>
      <c r="D104" s="1462"/>
      <c r="E104" s="1145"/>
      <c r="F104" s="721"/>
      <c r="G104" s="655"/>
      <c r="H104" s="722"/>
      <c r="I104" s="1461">
        <v>0</v>
      </c>
      <c r="J104" s="1462"/>
      <c r="K104" s="723"/>
      <c r="L104" s="724"/>
      <c r="M104" s="723"/>
      <c r="N104" s="722"/>
      <c r="O104" s="235"/>
      <c r="P104" s="1233">
        <v>0.3</v>
      </c>
      <c r="Q104" s="723"/>
      <c r="R104" s="722"/>
      <c r="S104" s="723"/>
      <c r="T104" s="722"/>
      <c r="U104" s="235"/>
      <c r="V104" s="1233">
        <v>0.66</v>
      </c>
      <c r="W104" s="723"/>
      <c r="X104" s="722"/>
      <c r="Y104" s="723"/>
      <c r="Z104" s="1184"/>
      <c r="AA104" s="24"/>
      <c r="AB104" s="24"/>
      <c r="AC104" s="1215"/>
      <c r="AD104" s="15"/>
      <c r="AE104" s="15"/>
      <c r="AF104" s="15"/>
    </row>
    <row r="105" spans="1:32" ht="12" x14ac:dyDescent="0.2">
      <c r="A105" s="652"/>
      <c r="B105" s="726" t="s">
        <v>143</v>
      </c>
      <c r="C105" s="1461">
        <f>SUM(C100:D104)</f>
        <v>10.98</v>
      </c>
      <c r="D105" s="1462"/>
      <c r="E105" s="1145"/>
      <c r="F105" s="721"/>
      <c r="G105" s="655"/>
      <c r="H105" s="722"/>
      <c r="I105" s="1461">
        <f>SUM(I100:J104)</f>
        <v>7.51</v>
      </c>
      <c r="J105" s="1462"/>
      <c r="K105" s="723"/>
      <c r="L105" s="724"/>
      <c r="M105" s="723"/>
      <c r="N105" s="722"/>
      <c r="O105" s="235"/>
      <c r="P105" s="1233">
        <f>SUM(P100:P104)</f>
        <v>10</v>
      </c>
      <c r="Q105" s="723"/>
      <c r="R105" s="722"/>
      <c r="S105" s="723"/>
      <c r="T105" s="722"/>
      <c r="U105" s="235"/>
      <c r="V105" s="1233">
        <f>SUM(V100:V104)</f>
        <v>11.08</v>
      </c>
      <c r="W105" s="723"/>
      <c r="X105" s="722"/>
      <c r="Y105" s="723"/>
      <c r="Z105" s="1184"/>
      <c r="AA105" s="24"/>
      <c r="AB105" s="24"/>
      <c r="AC105" s="1215"/>
      <c r="AD105" s="15"/>
      <c r="AE105" s="15"/>
      <c r="AF105" s="15"/>
    </row>
    <row r="106" spans="1:32" thickBot="1" x14ac:dyDescent="0.25">
      <c r="A106" s="652"/>
      <c r="B106" s="727" t="s">
        <v>151</v>
      </c>
      <c r="C106" s="1526"/>
      <c r="D106" s="1527"/>
      <c r="E106" s="1145"/>
      <c r="F106" s="721"/>
      <c r="G106" s="655"/>
      <c r="H106" s="722"/>
      <c r="I106" s="1526"/>
      <c r="J106" s="1527"/>
      <c r="K106" s="723"/>
      <c r="L106" s="724"/>
      <c r="M106" s="723"/>
      <c r="N106" s="722"/>
      <c r="O106" s="235"/>
      <c r="P106" s="1187"/>
      <c r="Q106" s="723"/>
      <c r="R106" s="722"/>
      <c r="S106" s="723"/>
      <c r="T106" s="722"/>
      <c r="U106" s="235"/>
      <c r="V106" s="1187"/>
      <c r="W106" s="723"/>
      <c r="X106" s="722"/>
      <c r="Y106" s="723"/>
      <c r="Z106" s="1184"/>
      <c r="AA106" s="24"/>
      <c r="AB106" s="24"/>
      <c r="AC106" s="1215"/>
      <c r="AD106" s="15"/>
      <c r="AE106" s="15"/>
      <c r="AF106" s="15"/>
    </row>
    <row r="107" spans="1:32" ht="12" x14ac:dyDescent="0.2">
      <c r="A107" s="652"/>
      <c r="B107" s="719" t="s">
        <v>144</v>
      </c>
      <c r="C107" s="1524">
        <v>1684</v>
      </c>
      <c r="D107" s="1525"/>
      <c r="E107" s="1145"/>
      <c r="F107" s="721"/>
      <c r="G107" s="655"/>
      <c r="H107" s="722"/>
      <c r="I107" s="1524">
        <v>1346</v>
      </c>
      <c r="J107" s="1525"/>
      <c r="K107" s="723"/>
      <c r="L107" s="724"/>
      <c r="M107" s="723"/>
      <c r="N107" s="722"/>
      <c r="O107" s="235"/>
      <c r="P107" s="1231">
        <v>1810</v>
      </c>
      <c r="Q107" s="723"/>
      <c r="R107" s="722"/>
      <c r="S107" s="723"/>
      <c r="T107" s="722"/>
      <c r="U107" s="235"/>
      <c r="V107" s="1231">
        <v>2388</v>
      </c>
      <c r="W107" s="723"/>
      <c r="X107" s="722"/>
      <c r="Y107" s="723"/>
      <c r="Z107" s="1184"/>
      <c r="AA107" s="24"/>
      <c r="AB107" s="24"/>
      <c r="AC107" s="550"/>
      <c r="AD107" s="15"/>
      <c r="AE107" s="15"/>
      <c r="AF107" s="15"/>
    </row>
    <row r="108" spans="1:32" ht="12" x14ac:dyDescent="0.2">
      <c r="A108" s="652"/>
      <c r="B108" s="726" t="s">
        <v>145</v>
      </c>
      <c r="C108" s="1524">
        <v>79</v>
      </c>
      <c r="D108" s="1525"/>
      <c r="E108" s="1145"/>
      <c r="F108" s="721"/>
      <c r="G108" s="655"/>
      <c r="H108" s="722"/>
      <c r="I108" s="1524">
        <v>126</v>
      </c>
      <c r="J108" s="1525"/>
      <c r="K108" s="723"/>
      <c r="L108" s="724"/>
      <c r="M108" s="723"/>
      <c r="N108" s="722"/>
      <c r="O108" s="235"/>
      <c r="P108" s="1231">
        <v>8</v>
      </c>
      <c r="Q108" s="723"/>
      <c r="R108" s="722"/>
      <c r="S108" s="723"/>
      <c r="T108" s="722"/>
      <c r="U108" s="235"/>
      <c r="V108" s="1231">
        <v>0</v>
      </c>
      <c r="W108" s="723"/>
      <c r="X108" s="722"/>
      <c r="Y108" s="723"/>
      <c r="Z108" s="1184"/>
      <c r="AA108" s="24"/>
      <c r="AB108" s="24"/>
      <c r="AC108" s="550"/>
      <c r="AD108" s="15"/>
      <c r="AE108" s="15"/>
      <c r="AF108" s="15"/>
    </row>
    <row r="109" spans="1:32" ht="12" x14ac:dyDescent="0.2">
      <c r="A109" s="652"/>
      <c r="B109" s="726" t="s">
        <v>146</v>
      </c>
      <c r="C109" s="1524">
        <v>0</v>
      </c>
      <c r="D109" s="1525"/>
      <c r="E109" s="1145"/>
      <c r="F109" s="721"/>
      <c r="G109" s="655"/>
      <c r="H109" s="722"/>
      <c r="I109" s="1524">
        <v>0</v>
      </c>
      <c r="J109" s="1525"/>
      <c r="K109" s="723"/>
      <c r="L109" s="724"/>
      <c r="M109" s="723"/>
      <c r="N109" s="722"/>
      <c r="O109" s="235"/>
      <c r="P109" s="1231">
        <v>42</v>
      </c>
      <c r="Q109" s="723"/>
      <c r="R109" s="722"/>
      <c r="S109" s="723"/>
      <c r="T109" s="722"/>
      <c r="U109" s="235"/>
      <c r="V109" s="1231">
        <v>100</v>
      </c>
      <c r="W109" s="723"/>
      <c r="X109" s="722"/>
      <c r="Y109" s="723"/>
      <c r="Z109" s="1184"/>
      <c r="AA109" s="24"/>
      <c r="AB109" s="24"/>
      <c r="AC109" s="550"/>
      <c r="AD109" s="15"/>
      <c r="AE109" s="15"/>
      <c r="AF109" s="15"/>
    </row>
    <row r="110" spans="1:32" ht="12" x14ac:dyDescent="0.2">
      <c r="A110" s="652"/>
      <c r="B110" s="726" t="s">
        <v>156</v>
      </c>
      <c r="C110" s="1524">
        <f>SUM(C107:D109)</f>
        <v>1763</v>
      </c>
      <c r="D110" s="1525"/>
      <c r="E110" s="720"/>
      <c r="F110" s="721"/>
      <c r="G110" s="655"/>
      <c r="H110" s="722"/>
      <c r="I110" s="1524">
        <f>SUM(I107:J109)</f>
        <v>1472</v>
      </c>
      <c r="J110" s="1525"/>
      <c r="K110" s="723"/>
      <c r="L110" s="724"/>
      <c r="M110" s="723"/>
      <c r="N110" s="722"/>
      <c r="O110" s="235"/>
      <c r="P110" s="1231">
        <f>SUM(P107:P109)</f>
        <v>1860</v>
      </c>
      <c r="Q110" s="723"/>
      <c r="R110" s="722"/>
      <c r="S110" s="723"/>
      <c r="T110" s="722"/>
      <c r="U110" s="235"/>
      <c r="V110" s="1231">
        <f>SUM(V107:V109)</f>
        <v>2488</v>
      </c>
      <c r="W110" s="723"/>
      <c r="X110" s="722"/>
      <c r="Y110" s="723"/>
      <c r="Z110" s="1184"/>
      <c r="AA110" s="24"/>
      <c r="AB110" s="24"/>
      <c r="AC110" s="550"/>
      <c r="AD110" s="15"/>
      <c r="AE110" s="15"/>
      <c r="AF110" s="15"/>
    </row>
    <row r="111" spans="1:32" thickBot="1" x14ac:dyDescent="0.25">
      <c r="A111" s="652"/>
      <c r="B111" s="727" t="s">
        <v>152</v>
      </c>
      <c r="C111" s="1461"/>
      <c r="D111" s="1462"/>
      <c r="E111" s="720"/>
      <c r="F111" s="721"/>
      <c r="G111" s="655"/>
      <c r="H111" s="722"/>
      <c r="I111" s="1461"/>
      <c r="J111" s="1462"/>
      <c r="K111" s="723"/>
      <c r="L111" s="724"/>
      <c r="M111" s="723"/>
      <c r="N111" s="722"/>
      <c r="O111" s="235"/>
      <c r="P111" s="1187"/>
      <c r="Q111" s="723"/>
      <c r="R111" s="722"/>
      <c r="S111" s="723"/>
      <c r="T111" s="722"/>
      <c r="U111" s="235"/>
      <c r="V111" s="1187"/>
      <c r="W111" s="723"/>
      <c r="X111" s="722"/>
      <c r="Y111" s="723"/>
      <c r="Z111" s="1184"/>
      <c r="AA111" s="24"/>
      <c r="AB111" s="24"/>
      <c r="AC111" s="550"/>
      <c r="AD111" s="15"/>
      <c r="AE111" s="15"/>
      <c r="AF111" s="15"/>
    </row>
    <row r="112" spans="1:32" ht="12" x14ac:dyDescent="0.2">
      <c r="A112" s="652"/>
      <c r="B112" s="719" t="s">
        <v>153</v>
      </c>
      <c r="C112" s="1461">
        <f>C107/C100</f>
        <v>271.17552334943639</v>
      </c>
      <c r="D112" s="1462"/>
      <c r="E112" s="728"/>
      <c r="F112" s="729"/>
      <c r="G112" s="730"/>
      <c r="H112" s="731"/>
      <c r="I112" s="1461">
        <f>I107/I100</f>
        <v>213.31220285261492</v>
      </c>
      <c r="J112" s="1462"/>
      <c r="K112" s="723"/>
      <c r="L112" s="732"/>
      <c r="M112" s="723"/>
      <c r="N112" s="722"/>
      <c r="O112" s="235"/>
      <c r="P112" s="1199">
        <f>P107/P100</f>
        <v>238.15789473684211</v>
      </c>
      <c r="Q112" s="723"/>
      <c r="R112" s="722"/>
      <c r="S112" s="723"/>
      <c r="T112" s="722"/>
      <c r="U112" s="235"/>
      <c r="V112" s="1199">
        <f>V107/V100</f>
        <v>259.00216919739694</v>
      </c>
      <c r="W112" s="723"/>
      <c r="X112" s="722"/>
      <c r="Y112" s="723"/>
      <c r="Z112" s="1184"/>
      <c r="AA112" s="24"/>
      <c r="AB112" s="24"/>
      <c r="AC112" s="550"/>
      <c r="AD112" s="15"/>
      <c r="AE112" s="15"/>
      <c r="AF112" s="15"/>
    </row>
    <row r="113" spans="1:32" ht="12" x14ac:dyDescent="0.2">
      <c r="A113" s="652"/>
      <c r="B113" s="726" t="s">
        <v>154</v>
      </c>
      <c r="C113" s="1461">
        <f>C108/SUM(C101:D103)</f>
        <v>18.287037037037035</v>
      </c>
      <c r="D113" s="1462"/>
      <c r="E113" s="728"/>
      <c r="F113" s="729"/>
      <c r="G113" s="730"/>
      <c r="H113" s="731"/>
      <c r="I113" s="1461">
        <f>I108/SUM(I101:J103)</f>
        <v>105</v>
      </c>
      <c r="J113" s="1462"/>
      <c r="K113" s="723"/>
      <c r="L113" s="732"/>
      <c r="M113" s="723"/>
      <c r="N113" s="722"/>
      <c r="O113" s="235"/>
      <c r="P113" s="1199">
        <f>P108/SUM(P101:Q103)</f>
        <v>3.8095238095238093</v>
      </c>
      <c r="Q113" s="723"/>
      <c r="R113" s="722"/>
      <c r="S113" s="723"/>
      <c r="T113" s="722"/>
      <c r="U113" s="235"/>
      <c r="V113" s="1199">
        <f>V108/(V102+V103)</f>
        <v>0</v>
      </c>
      <c r="W113" s="723"/>
      <c r="X113" s="722"/>
      <c r="Y113" s="723"/>
      <c r="Z113" s="1184"/>
      <c r="AA113" s="24"/>
      <c r="AB113" s="24"/>
      <c r="AC113" s="550"/>
      <c r="AD113" s="15"/>
      <c r="AE113" s="15"/>
      <c r="AF113" s="15"/>
    </row>
    <row r="114" spans="1:32" thickBot="1" x14ac:dyDescent="0.25">
      <c r="A114" s="652"/>
      <c r="B114" s="726" t="s">
        <v>155</v>
      </c>
      <c r="C114" s="1461">
        <v>0</v>
      </c>
      <c r="D114" s="1462"/>
      <c r="E114" s="728"/>
      <c r="F114" s="729"/>
      <c r="G114" s="730"/>
      <c r="H114" s="731"/>
      <c r="I114" s="1535">
        <v>0</v>
      </c>
      <c r="J114" s="1536"/>
      <c r="K114" s="723"/>
      <c r="L114" s="732"/>
      <c r="M114" s="723"/>
      <c r="N114" s="722"/>
      <c r="O114" s="235"/>
      <c r="P114" s="1199">
        <f>P109/P104</f>
        <v>140</v>
      </c>
      <c r="Q114" s="723"/>
      <c r="R114" s="722"/>
      <c r="S114" s="723"/>
      <c r="T114" s="722"/>
      <c r="U114" s="235"/>
      <c r="V114" s="1199">
        <f>V109/V104</f>
        <v>151.5151515151515</v>
      </c>
      <c r="W114" s="723"/>
      <c r="X114" s="722"/>
      <c r="Y114" s="723"/>
      <c r="Z114" s="1184"/>
      <c r="AA114" s="24"/>
      <c r="AB114" s="24"/>
      <c r="AC114" s="550"/>
      <c r="AD114" s="15"/>
      <c r="AE114" s="15"/>
      <c r="AF114" s="15"/>
    </row>
    <row r="115" spans="1:32" thickBot="1" x14ac:dyDescent="0.25">
      <c r="A115" s="652"/>
      <c r="B115" s="733" t="s">
        <v>147</v>
      </c>
      <c r="C115" s="1459">
        <f>C110/C105</f>
        <v>160.5646630236794</v>
      </c>
      <c r="D115" s="1460"/>
      <c r="E115" s="734"/>
      <c r="F115" s="735"/>
      <c r="G115" s="736"/>
      <c r="H115" s="737"/>
      <c r="I115" s="1459">
        <f>I110/I105</f>
        <v>196.00532623169107</v>
      </c>
      <c r="J115" s="1460"/>
      <c r="K115" s="738"/>
      <c r="L115" s="739"/>
      <c r="M115" s="738"/>
      <c r="N115" s="739"/>
      <c r="O115" s="252"/>
      <c r="P115" s="1200">
        <f>P110/P105</f>
        <v>186</v>
      </c>
      <c r="Q115" s="738"/>
      <c r="R115" s="739"/>
      <c r="S115" s="738"/>
      <c r="T115" s="739"/>
      <c r="U115" s="252"/>
      <c r="V115" s="1200">
        <f>V110/V105</f>
        <v>224.54873646209387</v>
      </c>
      <c r="W115" s="738"/>
      <c r="X115" s="739"/>
      <c r="Y115" s="738"/>
      <c r="Z115" s="1185"/>
      <c r="AA115" s="24"/>
      <c r="AB115" s="24"/>
      <c r="AC115" s="550"/>
      <c r="AD115" s="15"/>
      <c r="AE115" s="15"/>
      <c r="AF115" s="15"/>
    </row>
    <row r="116" spans="1:32" thickTop="1" x14ac:dyDescent="0.2">
      <c r="B116" s="1" t="str">
        <f>'ag sum'!B126</f>
        <v>*Note: For the 2009 collection cycle and later, Instructional FTE was defined according to the national Delaware Study of Instructional Costs and Productivity</v>
      </c>
      <c r="C116" s="1"/>
      <c r="D116" s="1"/>
      <c r="E116" s="1"/>
      <c r="F116" s="1"/>
      <c r="G116" s="222"/>
      <c r="H116" s="222"/>
      <c r="I116" s="222"/>
      <c r="J116" s="222"/>
    </row>
    <row r="117" spans="1:32" ht="12" x14ac:dyDescent="0.2">
      <c r="C117" s="1"/>
      <c r="D117" s="1"/>
      <c r="E117" s="1"/>
      <c r="F117" s="1"/>
      <c r="G117" s="222"/>
      <c r="H117" s="222"/>
      <c r="I117" s="222"/>
      <c r="J117" s="222"/>
      <c r="AB117" s="1" t="s">
        <v>23</v>
      </c>
    </row>
  </sheetData>
  <mergeCells count="136">
    <mergeCell ref="Y93:Z93"/>
    <mergeCell ref="Y98:Z98"/>
    <mergeCell ref="AB32:AC32"/>
    <mergeCell ref="AB7:AC7"/>
    <mergeCell ref="AB63:AC63"/>
    <mergeCell ref="O32:P32"/>
    <mergeCell ref="O36:P36"/>
    <mergeCell ref="O63:P63"/>
    <mergeCell ref="Y7:Z7"/>
    <mergeCell ref="Y21:Z21"/>
    <mergeCell ref="Y29:Z29"/>
    <mergeCell ref="Y32:Z32"/>
    <mergeCell ref="Y36:Z36"/>
    <mergeCell ref="Y63:Z63"/>
    <mergeCell ref="U93:V93"/>
    <mergeCell ref="U98:V98"/>
    <mergeCell ref="O98:P98"/>
    <mergeCell ref="Q98:R98"/>
    <mergeCell ref="U7:V7"/>
    <mergeCell ref="U21:V21"/>
    <mergeCell ref="U29:V29"/>
    <mergeCell ref="U32:V32"/>
    <mergeCell ref="U36:V36"/>
    <mergeCell ref="U63:V63"/>
    <mergeCell ref="O93:P93"/>
    <mergeCell ref="Q93:R93"/>
    <mergeCell ref="Q7:R7"/>
    <mergeCell ref="Q21:R21"/>
    <mergeCell ref="Q29:R29"/>
    <mergeCell ref="Q32:R32"/>
    <mergeCell ref="Q36:R36"/>
    <mergeCell ref="Q63:R63"/>
    <mergeCell ref="O7:P7"/>
    <mergeCell ref="O21:P21"/>
    <mergeCell ref="O29:P29"/>
    <mergeCell ref="I21:J21"/>
    <mergeCell ref="I36:J36"/>
    <mergeCell ref="I63:J63"/>
    <mergeCell ref="G29:H29"/>
    <mergeCell ref="G32:H32"/>
    <mergeCell ref="E29:F29"/>
    <mergeCell ref="G30:H30"/>
    <mergeCell ref="G31:H31"/>
    <mergeCell ref="E32:F32"/>
    <mergeCell ref="E31:F31"/>
    <mergeCell ref="E21:F21"/>
    <mergeCell ref="C63:D63"/>
    <mergeCell ref="K93:L93"/>
    <mergeCell ref="K36:L36"/>
    <mergeCell ref="K63:L63"/>
    <mergeCell ref="K29:L29"/>
    <mergeCell ref="K32:L32"/>
    <mergeCell ref="C29:D29"/>
    <mergeCell ref="E63:F63"/>
    <mergeCell ref="E36:F36"/>
    <mergeCell ref="G63:H63"/>
    <mergeCell ref="C32:D32"/>
    <mergeCell ref="C30:D30"/>
    <mergeCell ref="E30:F30"/>
    <mergeCell ref="C93:D93"/>
    <mergeCell ref="C31:D31"/>
    <mergeCell ref="E93:F93"/>
    <mergeCell ref="G93:H93"/>
    <mergeCell ref="I93:J93"/>
    <mergeCell ref="M98:N98"/>
    <mergeCell ref="C100:D100"/>
    <mergeCell ref="I100:J100"/>
    <mergeCell ref="C98:D98"/>
    <mergeCell ref="E98:F98"/>
    <mergeCell ref="M7:N7"/>
    <mergeCell ref="M21:N21"/>
    <mergeCell ref="M36:N36"/>
    <mergeCell ref="M63:N63"/>
    <mergeCell ref="M29:N29"/>
    <mergeCell ref="M32:N32"/>
    <mergeCell ref="K7:L7"/>
    <mergeCell ref="K21:L21"/>
    <mergeCell ref="G98:H98"/>
    <mergeCell ref="I98:J98"/>
    <mergeCell ref="I30:J30"/>
    <mergeCell ref="I31:J31"/>
    <mergeCell ref="I32:J32"/>
    <mergeCell ref="M93:N93"/>
    <mergeCell ref="C21:D21"/>
    <mergeCell ref="C36:D36"/>
    <mergeCell ref="I29:J29"/>
    <mergeCell ref="G21:H21"/>
    <mergeCell ref="G36:H36"/>
    <mergeCell ref="C115:D115"/>
    <mergeCell ref="I115:J115"/>
    <mergeCell ref="C112:D112"/>
    <mergeCell ref="I112:J112"/>
    <mergeCell ref="C113:D113"/>
    <mergeCell ref="I113:J113"/>
    <mergeCell ref="C114:D114"/>
    <mergeCell ref="I114:J114"/>
    <mergeCell ref="AB21:AC21"/>
    <mergeCell ref="C111:D111"/>
    <mergeCell ref="I111:J111"/>
    <mergeCell ref="W63:X63"/>
    <mergeCell ref="C106:D106"/>
    <mergeCell ref="I106:J106"/>
    <mergeCell ref="C107:D107"/>
    <mergeCell ref="I107:J107"/>
    <mergeCell ref="C108:D108"/>
    <mergeCell ref="C104:D104"/>
    <mergeCell ref="I104:J104"/>
    <mergeCell ref="I105:J105"/>
    <mergeCell ref="I108:J108"/>
    <mergeCell ref="C101:D102"/>
    <mergeCell ref="I101:J102"/>
    <mergeCell ref="C103:D103"/>
    <mergeCell ref="C110:D110"/>
    <mergeCell ref="I110:J110"/>
    <mergeCell ref="S7:T7"/>
    <mergeCell ref="S21:T21"/>
    <mergeCell ref="S29:T29"/>
    <mergeCell ref="S32:T32"/>
    <mergeCell ref="C109:D109"/>
    <mergeCell ref="AB36:AC36"/>
    <mergeCell ref="AB98:AC98"/>
    <mergeCell ref="C105:D105"/>
    <mergeCell ref="S93:T93"/>
    <mergeCell ref="S98:T98"/>
    <mergeCell ref="S36:T36"/>
    <mergeCell ref="S63:T63"/>
    <mergeCell ref="I109:J109"/>
    <mergeCell ref="W93:X93"/>
    <mergeCell ref="W98:X98"/>
    <mergeCell ref="W7:X7"/>
    <mergeCell ref="W21:X21"/>
    <mergeCell ref="W29:X29"/>
    <mergeCell ref="W32:X32"/>
    <mergeCell ref="W36:X36"/>
    <mergeCell ref="I103:J103"/>
    <mergeCell ref="K98:L98"/>
  </mergeCells>
  <phoneticPr fontId="0" type="noConversion"/>
  <printOptions horizontalCentered="1"/>
  <pageMargins left="0.38" right="0.35" top="0.5" bottom="0.5" header="0.5" footer="0.5"/>
  <pageSetup scale="70" orientation="landscape" horizontalDpi="4294967292" verticalDpi="4294967292" r:id="rId1"/>
  <headerFooter alignWithMargins="0">
    <oddFooter>&amp;R&amp;P of &amp;N
&amp;D</oddFooter>
  </headerFooter>
  <rowBreaks count="1" manualBreakCount="1">
    <brk id="60" max="16383" man="1"/>
  </rowBreaks>
  <ignoredErrors>
    <ignoredError sqref="S73:S92 W73:W9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5"/>
  <sheetViews>
    <sheetView view="pageBreakPreview" zoomScaleNormal="55" zoomScaleSheetLayoutView="100" workbookViewId="0">
      <pane xSplit="2" ySplit="1" topLeftCell="O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2.75" x14ac:dyDescent="0.2"/>
  <cols>
    <col min="1" max="1" width="3.7109375" style="1" customWidth="1"/>
    <col min="2" max="2" width="32.140625" style="1" customWidth="1"/>
    <col min="3" max="3" width="7.7109375" hidden="1" customWidth="1"/>
    <col min="4" max="4" width="10.7109375" hidden="1" customWidth="1"/>
    <col min="5" max="5" width="7.85546875" hidden="1" customWidth="1"/>
    <col min="6" max="6" width="10.28515625" hidden="1" customWidth="1"/>
    <col min="7" max="7" width="7.7109375" style="223" hidden="1" customWidth="1"/>
    <col min="8" max="8" width="10.28515625" style="223" hidden="1" customWidth="1"/>
    <col min="9" max="9" width="7.7109375" style="223" hidden="1" customWidth="1"/>
    <col min="10" max="10" width="10.85546875" style="223" hidden="1" customWidth="1"/>
    <col min="11" max="11" width="7.7109375" style="1" hidden="1" customWidth="1"/>
    <col min="12" max="12" width="11.28515625" style="1" hidden="1" customWidth="1"/>
    <col min="13" max="13" width="7.7109375" style="1" hidden="1" customWidth="1"/>
    <col min="14" max="14" width="11.42578125" style="1" hidden="1" customWidth="1"/>
    <col min="15" max="15" width="7.85546875" style="1" customWidth="1"/>
    <col min="16" max="16" width="11.42578125" style="1" customWidth="1"/>
    <col min="17" max="17" width="7.85546875" style="1" customWidth="1"/>
    <col min="18" max="18" width="11.42578125" style="1" customWidth="1"/>
    <col min="19" max="19" width="7.85546875" style="1" customWidth="1"/>
    <col min="20" max="20" width="11.42578125" style="1" customWidth="1"/>
    <col min="21" max="21" width="7.85546875" style="1" customWidth="1"/>
    <col min="22" max="22" width="11.42578125" style="1" customWidth="1"/>
    <col min="23" max="23" width="7.85546875" style="1" customWidth="1"/>
    <col min="24" max="24" width="11.42578125" style="1" customWidth="1"/>
    <col min="25" max="25" width="7.85546875" style="1" customWidth="1"/>
    <col min="26" max="26" width="11.42578125" style="1" customWidth="1"/>
    <col min="27" max="27" width="5" style="1" customWidth="1"/>
    <col min="28" max="28" width="7.7109375" style="1" customWidth="1"/>
    <col min="29" max="29" width="11.140625" style="1" customWidth="1"/>
    <col min="30" max="30" width="3.7109375" style="1" customWidth="1"/>
    <col min="31" max="16384" width="10.28515625" style="1"/>
  </cols>
  <sheetData>
    <row r="1" spans="1:51" ht="18" x14ac:dyDescent="0.25">
      <c r="A1" s="1100" t="str">
        <f>Dean_Ag!A1</f>
        <v>Department Profile Report - FY 2015</v>
      </c>
      <c r="B1" s="1100"/>
      <c r="C1" s="1100"/>
      <c r="D1" s="1100"/>
      <c r="E1" s="1100"/>
      <c r="F1" s="1100"/>
      <c r="G1" s="1100"/>
      <c r="H1" s="1100"/>
      <c r="I1" s="1101"/>
      <c r="J1" s="1101"/>
      <c r="K1" s="1101"/>
      <c r="L1" s="1101"/>
      <c r="M1" s="1101"/>
      <c r="N1" s="1101"/>
      <c r="O1" s="1101"/>
      <c r="P1" s="1101"/>
      <c r="Q1" s="1101"/>
      <c r="R1" s="1101"/>
      <c r="S1" s="1101"/>
      <c r="T1" s="1101"/>
      <c r="U1" s="1101"/>
      <c r="V1" s="1101"/>
      <c r="W1" s="1101"/>
      <c r="X1" s="1101"/>
      <c r="Y1" s="1101"/>
      <c r="Z1" s="1101"/>
      <c r="AA1" s="1101"/>
      <c r="AB1" s="1101"/>
      <c r="AC1" s="1101"/>
    </row>
    <row r="2" spans="1:51" x14ac:dyDescent="0.2">
      <c r="A2" s="3" t="s">
        <v>30</v>
      </c>
      <c r="B2" s="222"/>
      <c r="C2" s="1"/>
      <c r="D2" s="1"/>
      <c r="E2" s="1"/>
      <c r="F2" s="1"/>
      <c r="G2" s="222"/>
      <c r="H2" s="222"/>
      <c r="I2" s="222"/>
      <c r="J2" s="222"/>
    </row>
    <row r="3" spans="1:51" ht="8.25" customHeight="1" x14ac:dyDescent="0.2">
      <c r="C3" s="1"/>
      <c r="D3" s="1"/>
      <c r="E3" s="1"/>
      <c r="F3" s="1"/>
      <c r="G3" s="222"/>
      <c r="H3" s="222"/>
      <c r="I3" s="222"/>
      <c r="J3" s="222"/>
    </row>
    <row r="4" spans="1:51" x14ac:dyDescent="0.2">
      <c r="A4" s="3" t="s">
        <v>55</v>
      </c>
      <c r="C4" s="1"/>
      <c r="D4" s="1"/>
      <c r="E4" s="1"/>
      <c r="F4" s="1"/>
      <c r="G4" s="222"/>
      <c r="H4" s="222"/>
      <c r="I4" s="222"/>
      <c r="J4" s="222"/>
    </row>
    <row r="5" spans="1:51" ht="6.75" customHeight="1" thickBot="1" x14ac:dyDescent="0.25">
      <c r="A5" s="2"/>
      <c r="C5" s="1"/>
      <c r="D5" s="1"/>
      <c r="E5" s="1"/>
      <c r="F5" s="1"/>
      <c r="G5" s="222"/>
      <c r="H5" s="222"/>
      <c r="I5" s="222"/>
      <c r="J5" s="222"/>
      <c r="AB5" s="71"/>
      <c r="AC5" s="71"/>
    </row>
    <row r="6" spans="1:51" ht="13.5" customHeight="1" thickTop="1" x14ac:dyDescent="0.2">
      <c r="B6" s="298"/>
      <c r="C6" s="8" t="s">
        <v>33</v>
      </c>
      <c r="D6" s="29"/>
      <c r="E6" s="8" t="s">
        <v>34</v>
      </c>
      <c r="F6" s="5"/>
      <c r="G6" s="256" t="s">
        <v>106</v>
      </c>
      <c r="H6" s="418"/>
      <c r="I6" s="256" t="s">
        <v>118</v>
      </c>
      <c r="J6" s="469"/>
      <c r="K6" s="1512" t="s">
        <v>121</v>
      </c>
      <c r="L6" s="1509"/>
      <c r="M6" s="1546" t="s">
        <v>127</v>
      </c>
      <c r="N6" s="1543"/>
      <c r="O6" s="1542" t="s">
        <v>174</v>
      </c>
      <c r="P6" s="1543"/>
      <c r="Q6" s="1542" t="s">
        <v>193</v>
      </c>
      <c r="R6" s="1543"/>
      <c r="S6" s="1542" t="s">
        <v>218</v>
      </c>
      <c r="T6" s="1543"/>
      <c r="U6" s="1542" t="s">
        <v>221</v>
      </c>
      <c r="V6" s="1543"/>
      <c r="W6" s="1542" t="s">
        <v>232</v>
      </c>
      <c r="X6" s="1543"/>
      <c r="Y6" s="1542" t="s">
        <v>241</v>
      </c>
      <c r="Z6" s="1545"/>
      <c r="AB6" s="1529" t="s">
        <v>134</v>
      </c>
      <c r="AC6" s="1530"/>
    </row>
    <row r="7" spans="1:51" ht="12" x14ac:dyDescent="0.2">
      <c r="B7" s="299"/>
      <c r="C7" s="9" t="s">
        <v>1</v>
      </c>
      <c r="D7" s="31" t="s">
        <v>2</v>
      </c>
      <c r="E7" s="9" t="s">
        <v>1</v>
      </c>
      <c r="F7" s="6" t="s">
        <v>2</v>
      </c>
      <c r="G7" s="257" t="s">
        <v>1</v>
      </c>
      <c r="H7" s="415" t="s">
        <v>2</v>
      </c>
      <c r="I7" s="257" t="s">
        <v>1</v>
      </c>
      <c r="J7" s="470" t="s">
        <v>2</v>
      </c>
      <c r="K7" s="257" t="s">
        <v>1</v>
      </c>
      <c r="L7" s="470" t="s">
        <v>2</v>
      </c>
      <c r="M7" s="257" t="s">
        <v>1</v>
      </c>
      <c r="N7" s="415" t="s">
        <v>2</v>
      </c>
      <c r="O7" s="402" t="s">
        <v>1</v>
      </c>
      <c r="P7" s="415" t="s">
        <v>2</v>
      </c>
      <c r="Q7" s="402" t="s">
        <v>1</v>
      </c>
      <c r="R7" s="415" t="s">
        <v>2</v>
      </c>
      <c r="S7" s="402" t="s">
        <v>1</v>
      </c>
      <c r="T7" s="415" t="s">
        <v>2</v>
      </c>
      <c r="U7" s="402" t="s">
        <v>1</v>
      </c>
      <c r="V7" s="415" t="s">
        <v>2</v>
      </c>
      <c r="W7" s="402" t="s">
        <v>1</v>
      </c>
      <c r="X7" s="415" t="s">
        <v>2</v>
      </c>
      <c r="Y7" s="402" t="s">
        <v>1</v>
      </c>
      <c r="Z7" s="224" t="s">
        <v>2</v>
      </c>
      <c r="AB7" s="755" t="s">
        <v>1</v>
      </c>
      <c r="AC7" s="756" t="s">
        <v>2</v>
      </c>
    </row>
    <row r="8" spans="1:51" thickBot="1" x14ac:dyDescent="0.25">
      <c r="B8" s="300"/>
      <c r="C8" s="55" t="s">
        <v>3</v>
      </c>
      <c r="D8" s="56" t="s">
        <v>4</v>
      </c>
      <c r="E8" s="55" t="s">
        <v>3</v>
      </c>
      <c r="F8" s="282" t="s">
        <v>4</v>
      </c>
      <c r="G8" s="283" t="s">
        <v>3</v>
      </c>
      <c r="H8" s="431" t="s">
        <v>4</v>
      </c>
      <c r="I8" s="283" t="s">
        <v>3</v>
      </c>
      <c r="J8" s="471" t="s">
        <v>4</v>
      </c>
      <c r="K8" s="283" t="s">
        <v>3</v>
      </c>
      <c r="L8" s="471" t="s">
        <v>4</v>
      </c>
      <c r="M8" s="283" t="s">
        <v>3</v>
      </c>
      <c r="N8" s="431" t="s">
        <v>4</v>
      </c>
      <c r="O8" s="419" t="s">
        <v>3</v>
      </c>
      <c r="P8" s="431" t="s">
        <v>4</v>
      </c>
      <c r="Q8" s="419" t="s">
        <v>3</v>
      </c>
      <c r="R8" s="431" t="s">
        <v>4</v>
      </c>
      <c r="S8" s="419" t="s">
        <v>3</v>
      </c>
      <c r="T8" s="431" t="s">
        <v>4</v>
      </c>
      <c r="U8" s="419" t="s">
        <v>3</v>
      </c>
      <c r="V8" s="431" t="s">
        <v>4</v>
      </c>
      <c r="W8" s="419" t="s">
        <v>3</v>
      </c>
      <c r="X8" s="431" t="s">
        <v>4</v>
      </c>
      <c r="Y8" s="419" t="s">
        <v>3</v>
      </c>
      <c r="Z8" s="225" t="s">
        <v>4</v>
      </c>
      <c r="AB8" s="757" t="s">
        <v>3</v>
      </c>
      <c r="AC8" s="758" t="s">
        <v>4</v>
      </c>
    </row>
    <row r="9" spans="1:51" ht="12" x14ac:dyDescent="0.2">
      <c r="B9" s="87" t="s">
        <v>5</v>
      </c>
      <c r="C9" s="57"/>
      <c r="D9" s="58"/>
      <c r="E9" s="57"/>
      <c r="F9" s="27"/>
      <c r="G9" s="284"/>
      <c r="H9" s="393"/>
      <c r="I9" s="284"/>
      <c r="J9" s="472"/>
      <c r="K9" s="284"/>
      <c r="L9" s="472"/>
      <c r="M9" s="284"/>
      <c r="N9" s="393"/>
      <c r="O9" s="324"/>
      <c r="P9" s="393"/>
      <c r="Q9" s="324"/>
      <c r="R9" s="393"/>
      <c r="S9" s="324"/>
      <c r="T9" s="393"/>
      <c r="U9" s="324"/>
      <c r="V9" s="393"/>
      <c r="W9" s="324"/>
      <c r="X9" s="393"/>
      <c r="Y9" s="324"/>
      <c r="Z9" s="226"/>
      <c r="AB9" s="762"/>
      <c r="AC9" s="763"/>
    </row>
    <row r="10" spans="1:51" x14ac:dyDescent="0.2">
      <c r="B10" s="335" t="s">
        <v>46</v>
      </c>
      <c r="C10" s="223"/>
      <c r="D10" s="339"/>
      <c r="E10" s="338"/>
      <c r="F10" s="340"/>
      <c r="G10" s="259"/>
      <c r="H10" s="339"/>
      <c r="I10" s="259"/>
      <c r="J10" s="340"/>
      <c r="K10" s="259"/>
      <c r="L10" s="340"/>
      <c r="M10" s="259"/>
      <c r="N10" s="339"/>
      <c r="O10" s="338"/>
      <c r="P10" s="339"/>
      <c r="Q10" s="338"/>
      <c r="R10" s="339"/>
      <c r="S10" s="338"/>
      <c r="T10" s="339"/>
      <c r="U10" s="338"/>
      <c r="V10" s="339"/>
      <c r="W10" s="338"/>
      <c r="X10" s="339"/>
      <c r="Y10" s="338"/>
      <c r="Z10" s="130"/>
      <c r="AB10" s="299"/>
      <c r="AC10" s="652"/>
    </row>
    <row r="11" spans="1:51" ht="12" x14ac:dyDescent="0.2">
      <c r="B11" s="341" t="s">
        <v>164</v>
      </c>
      <c r="C11" s="359">
        <v>571</v>
      </c>
      <c r="D11" s="457">
        <f>140+3</f>
        <v>143</v>
      </c>
      <c r="E11" s="246">
        <v>615</v>
      </c>
      <c r="F11" s="352">
        <f>120+2</f>
        <v>122</v>
      </c>
      <c r="G11" s="458">
        <v>626</v>
      </c>
      <c r="H11" s="457">
        <f>106+5</f>
        <v>111</v>
      </c>
      <c r="I11" s="458">
        <v>631</v>
      </c>
      <c r="J11" s="352">
        <f>133+6</f>
        <v>139</v>
      </c>
      <c r="K11" s="458">
        <v>674</v>
      </c>
      <c r="L11" s="352">
        <f>143+2</f>
        <v>145</v>
      </c>
      <c r="M11" s="458">
        <v>695</v>
      </c>
      <c r="N11" s="457">
        <v>133</v>
      </c>
      <c r="O11" s="246">
        <v>737</v>
      </c>
      <c r="P11" s="457">
        <f>153+5</f>
        <v>158</v>
      </c>
      <c r="Q11" s="246">
        <v>773</v>
      </c>
      <c r="R11" s="457">
        <v>159</v>
      </c>
      <c r="S11" s="246">
        <v>833</v>
      </c>
      <c r="T11" s="457">
        <v>124</v>
      </c>
      <c r="U11" s="246">
        <v>898</v>
      </c>
      <c r="V11" s="457">
        <v>178</v>
      </c>
      <c r="W11" s="246">
        <v>876</v>
      </c>
      <c r="X11" s="457">
        <v>174</v>
      </c>
      <c r="Y11" s="246">
        <v>1050</v>
      </c>
      <c r="Z11" s="1406"/>
      <c r="AA11" s="657"/>
      <c r="AB11" s="742">
        <f>AVERAGE(W11,U11,S11,Q11,Y11)</f>
        <v>886</v>
      </c>
      <c r="AC11" s="759">
        <f t="shared" ref="AC11:AC12" si="0">AVERAGE(X11,V11,T11,R11,Z11)</f>
        <v>158.75</v>
      </c>
    </row>
    <row r="12" spans="1:51" ht="12" x14ac:dyDescent="0.2">
      <c r="B12" s="341" t="s">
        <v>239</v>
      </c>
      <c r="C12" s="246">
        <v>36</v>
      </c>
      <c r="D12" s="457">
        <v>9</v>
      </c>
      <c r="E12" s="246">
        <v>37</v>
      </c>
      <c r="F12" s="352">
        <v>8</v>
      </c>
      <c r="G12" s="458">
        <v>29</v>
      </c>
      <c r="H12" s="457">
        <v>3</v>
      </c>
      <c r="I12" s="458">
        <v>30</v>
      </c>
      <c r="J12" s="352">
        <v>20</v>
      </c>
      <c r="K12" s="458">
        <v>32</v>
      </c>
      <c r="L12" s="352"/>
      <c r="M12" s="458">
        <v>16</v>
      </c>
      <c r="N12" s="457">
        <v>17</v>
      </c>
      <c r="O12" s="246">
        <v>22</v>
      </c>
      <c r="P12" s="457">
        <v>9</v>
      </c>
      <c r="Q12" s="246">
        <v>35</v>
      </c>
      <c r="R12" s="457">
        <v>27</v>
      </c>
      <c r="S12" s="246">
        <v>35</v>
      </c>
      <c r="T12" s="457">
        <v>22</v>
      </c>
      <c r="U12" s="246">
        <v>35</v>
      </c>
      <c r="V12" s="457">
        <v>27</v>
      </c>
      <c r="W12" s="246">
        <v>48</v>
      </c>
      <c r="X12" s="457">
        <v>19</v>
      </c>
      <c r="Y12" s="246">
        <v>68</v>
      </c>
      <c r="Z12" s="1406"/>
      <c r="AA12" s="657"/>
      <c r="AB12" s="742">
        <f>AVERAGE(W12,U12,S12,Q12,Y12)</f>
        <v>44.2</v>
      </c>
      <c r="AC12" s="759">
        <f t="shared" si="0"/>
        <v>23.75</v>
      </c>
      <c r="AE12" s="24"/>
      <c r="AF12" s="24"/>
      <c r="AG12" s="24"/>
      <c r="AH12" s="24"/>
      <c r="AI12" s="24"/>
      <c r="AJ12" s="24"/>
      <c r="AK12" s="24"/>
      <c r="AL12" s="24"/>
      <c r="AM12" s="24"/>
      <c r="AN12" s="24"/>
      <c r="AO12" s="24"/>
      <c r="AP12" s="24"/>
      <c r="AQ12" s="24"/>
      <c r="AR12" s="24"/>
      <c r="AS12" s="24"/>
      <c r="AT12" s="24"/>
      <c r="AU12" s="24"/>
      <c r="AV12" s="24"/>
      <c r="AW12" s="24"/>
      <c r="AX12" s="24"/>
      <c r="AY12" s="24"/>
    </row>
    <row r="13" spans="1:51" ht="12" x14ac:dyDescent="0.2">
      <c r="B13" s="341" t="s">
        <v>240</v>
      </c>
      <c r="C13" s="246"/>
      <c r="D13" s="457"/>
      <c r="E13" s="246"/>
      <c r="F13" s="352"/>
      <c r="G13" s="458"/>
      <c r="H13" s="457"/>
      <c r="I13" s="458"/>
      <c r="J13" s="352"/>
      <c r="K13" s="458"/>
      <c r="L13" s="352"/>
      <c r="M13" s="1436"/>
      <c r="N13" s="1437"/>
      <c r="O13" s="1438"/>
      <c r="P13" s="1437"/>
      <c r="Q13" s="1438"/>
      <c r="R13" s="1437"/>
      <c r="S13" s="1438"/>
      <c r="T13" s="1437"/>
      <c r="U13" s="1438"/>
      <c r="V13" s="1437"/>
      <c r="W13" s="246">
        <v>1</v>
      </c>
      <c r="X13" s="457">
        <v>1</v>
      </c>
      <c r="Y13" s="246">
        <v>5</v>
      </c>
      <c r="Z13" s="1406"/>
      <c r="AA13" s="657"/>
      <c r="AB13" s="742"/>
      <c r="AC13" s="759"/>
      <c r="AE13" s="24"/>
      <c r="AF13" s="24"/>
      <c r="AG13" s="24"/>
      <c r="AH13" s="24"/>
      <c r="AI13" s="24"/>
      <c r="AJ13" s="24"/>
      <c r="AK13" s="24"/>
      <c r="AL13" s="24"/>
      <c r="AM13" s="24"/>
      <c r="AN13" s="24"/>
      <c r="AO13" s="24"/>
      <c r="AP13" s="24"/>
      <c r="AQ13" s="24"/>
      <c r="AR13" s="24"/>
      <c r="AS13" s="24"/>
      <c r="AT13" s="24"/>
      <c r="AU13" s="24"/>
      <c r="AV13" s="24"/>
      <c r="AW13" s="24"/>
      <c r="AX13" s="24"/>
      <c r="AY13" s="24"/>
    </row>
    <row r="14" spans="1:51" ht="12" x14ac:dyDescent="0.2">
      <c r="B14" s="341" t="s">
        <v>189</v>
      </c>
      <c r="C14" s="884"/>
      <c r="D14" s="885"/>
      <c r="E14" s="884"/>
      <c r="F14" s="886"/>
      <c r="G14" s="458">
        <v>44</v>
      </c>
      <c r="H14" s="457">
        <v>0</v>
      </c>
      <c r="I14" s="458">
        <v>59</v>
      </c>
      <c r="J14" s="352">
        <v>0</v>
      </c>
      <c r="K14" s="458">
        <v>68</v>
      </c>
      <c r="L14" s="352">
        <v>0</v>
      </c>
      <c r="M14" s="458">
        <v>56</v>
      </c>
      <c r="N14" s="457">
        <v>12</v>
      </c>
      <c r="O14" s="246">
        <f>66+2</f>
        <v>68</v>
      </c>
      <c r="P14" s="457">
        <v>9</v>
      </c>
      <c r="Q14" s="246">
        <v>68</v>
      </c>
      <c r="R14" s="457">
        <v>0</v>
      </c>
      <c r="S14" s="246">
        <v>69</v>
      </c>
      <c r="T14" s="457">
        <v>8</v>
      </c>
      <c r="U14" s="246">
        <v>75</v>
      </c>
      <c r="V14" s="457">
        <v>8</v>
      </c>
      <c r="W14" s="246">
        <v>86</v>
      </c>
      <c r="X14" s="457">
        <v>8</v>
      </c>
      <c r="Y14" s="246">
        <v>103</v>
      </c>
      <c r="Z14" s="1406"/>
      <c r="AA14" s="1120"/>
      <c r="AB14" s="742">
        <f t="shared" ref="AB14:AB20" si="1">AVERAGE(W14,U14,S14,Q14,Y14)</f>
        <v>80.2</v>
      </c>
      <c r="AC14" s="759">
        <f t="shared" ref="AC14:AC20" si="2">AVERAGE(X14,V14,T14,R14,Z14)</f>
        <v>6</v>
      </c>
      <c r="AD14" s="1121"/>
      <c r="AE14" s="228"/>
      <c r="AF14" s="228"/>
      <c r="AG14" s="228"/>
      <c r="AH14" s="228"/>
      <c r="AI14" s="228"/>
      <c r="AJ14" s="228"/>
      <c r="AK14" s="228"/>
      <c r="AL14" s="228"/>
      <c r="AM14" s="228"/>
      <c r="AN14" s="228"/>
      <c r="AO14" s="235"/>
      <c r="AP14" s="24"/>
      <c r="AQ14" s="24"/>
      <c r="AR14" s="24"/>
      <c r="AS14" s="24"/>
      <c r="AT14" s="24"/>
      <c r="AU14" s="24"/>
      <c r="AV14" s="24"/>
      <c r="AW14" s="24"/>
      <c r="AX14" s="24"/>
      <c r="AY14" s="24"/>
    </row>
    <row r="15" spans="1:51" ht="12" x14ac:dyDescent="0.2">
      <c r="B15" s="341" t="s">
        <v>190</v>
      </c>
      <c r="C15" s="884"/>
      <c r="D15" s="885"/>
      <c r="E15" s="884"/>
      <c r="F15" s="886"/>
      <c r="G15" s="1115"/>
      <c r="H15" s="885"/>
      <c r="I15" s="1115"/>
      <c r="J15" s="886"/>
      <c r="K15" s="1115"/>
      <c r="L15" s="886"/>
      <c r="M15" s="1115"/>
      <c r="N15" s="885"/>
      <c r="O15" s="246">
        <v>0</v>
      </c>
      <c r="P15" s="457">
        <v>0</v>
      </c>
      <c r="Q15" s="246">
        <v>3</v>
      </c>
      <c r="R15" s="457">
        <v>0</v>
      </c>
      <c r="S15" s="246">
        <v>2</v>
      </c>
      <c r="T15" s="457">
        <v>0</v>
      </c>
      <c r="U15" s="246">
        <v>3</v>
      </c>
      <c r="V15" s="457">
        <v>5</v>
      </c>
      <c r="W15" s="246">
        <v>5</v>
      </c>
      <c r="X15" s="457">
        <v>5</v>
      </c>
      <c r="Y15" s="246">
        <v>5</v>
      </c>
      <c r="Z15" s="1406"/>
      <c r="AA15" s="1188"/>
      <c r="AB15" s="742">
        <f t="shared" si="1"/>
        <v>3.6</v>
      </c>
      <c r="AC15" s="759">
        <f t="shared" si="2"/>
        <v>2.5</v>
      </c>
    </row>
    <row r="16" spans="1:51" ht="12" x14ac:dyDescent="0.2">
      <c r="B16" s="341" t="s">
        <v>191</v>
      </c>
      <c r="C16" s="884"/>
      <c r="D16" s="885"/>
      <c r="E16" s="884"/>
      <c r="F16" s="886"/>
      <c r="G16" s="1115"/>
      <c r="H16" s="885"/>
      <c r="I16" s="1115"/>
      <c r="J16" s="886"/>
      <c r="K16" s="1115"/>
      <c r="L16" s="886"/>
      <c r="M16" s="1115"/>
      <c r="N16" s="885"/>
      <c r="O16" s="246">
        <v>0</v>
      </c>
      <c r="P16" s="457">
        <v>1</v>
      </c>
      <c r="Q16" s="246">
        <v>2</v>
      </c>
      <c r="R16" s="457">
        <v>0</v>
      </c>
      <c r="S16" s="246">
        <v>4</v>
      </c>
      <c r="T16" s="457">
        <v>2</v>
      </c>
      <c r="U16" s="246">
        <v>2</v>
      </c>
      <c r="V16" s="457">
        <v>1</v>
      </c>
      <c r="W16" s="246">
        <v>5</v>
      </c>
      <c r="X16" s="457">
        <v>0</v>
      </c>
      <c r="Y16" s="246">
        <v>7</v>
      </c>
      <c r="Z16" s="1406"/>
      <c r="AA16" s="1188"/>
      <c r="AB16" s="742">
        <f t="shared" si="1"/>
        <v>4</v>
      </c>
      <c r="AC16" s="759">
        <f t="shared" si="2"/>
        <v>0.75</v>
      </c>
    </row>
    <row r="17" spans="2:29" ht="12" x14ac:dyDescent="0.2">
      <c r="B17" s="341" t="s">
        <v>192</v>
      </c>
      <c r="C17" s="884"/>
      <c r="D17" s="885"/>
      <c r="E17" s="884"/>
      <c r="F17" s="886"/>
      <c r="G17" s="1115"/>
      <c r="H17" s="885"/>
      <c r="I17" s="1115"/>
      <c r="J17" s="886"/>
      <c r="K17" s="1115"/>
      <c r="L17" s="886"/>
      <c r="M17" s="1115"/>
      <c r="N17" s="885"/>
      <c r="O17" s="246">
        <v>0</v>
      </c>
      <c r="P17" s="457">
        <v>0</v>
      </c>
      <c r="Q17" s="246">
        <v>1</v>
      </c>
      <c r="R17" s="457">
        <v>0</v>
      </c>
      <c r="S17" s="246">
        <v>1</v>
      </c>
      <c r="T17" s="457">
        <v>1</v>
      </c>
      <c r="U17" s="246">
        <v>0</v>
      </c>
      <c r="V17" s="457">
        <v>1</v>
      </c>
      <c r="W17" s="246">
        <v>1</v>
      </c>
      <c r="X17" s="457">
        <v>0</v>
      </c>
      <c r="Y17" s="246">
        <v>2</v>
      </c>
      <c r="Z17" s="1406"/>
      <c r="AA17" s="1188"/>
      <c r="AB17" s="742">
        <f t="shared" si="1"/>
        <v>1</v>
      </c>
      <c r="AC17" s="759">
        <f t="shared" si="2"/>
        <v>0.5</v>
      </c>
    </row>
    <row r="18" spans="2:29" ht="12" x14ac:dyDescent="0.2">
      <c r="B18" s="341" t="s">
        <v>231</v>
      </c>
      <c r="C18" s="246"/>
      <c r="D18" s="457"/>
      <c r="E18" s="246"/>
      <c r="F18" s="352"/>
      <c r="G18" s="458"/>
      <c r="H18" s="457"/>
      <c r="I18" s="458"/>
      <c r="J18" s="352"/>
      <c r="K18" s="458">
        <v>0</v>
      </c>
      <c r="L18" s="352">
        <v>0</v>
      </c>
      <c r="M18" s="458">
        <v>0</v>
      </c>
      <c r="N18" s="457">
        <v>0</v>
      </c>
      <c r="O18" s="246">
        <v>0</v>
      </c>
      <c r="P18" s="457">
        <v>0</v>
      </c>
      <c r="Q18" s="246">
        <v>0</v>
      </c>
      <c r="R18" s="457">
        <v>1</v>
      </c>
      <c r="S18" s="246">
        <v>0</v>
      </c>
      <c r="T18" s="457">
        <v>0</v>
      </c>
      <c r="U18" s="246">
        <v>0</v>
      </c>
      <c r="V18" s="457">
        <v>0</v>
      </c>
      <c r="W18" s="246">
        <v>0</v>
      </c>
      <c r="X18" s="457">
        <v>0</v>
      </c>
      <c r="Y18" s="246">
        <v>0</v>
      </c>
      <c r="Z18" s="1406"/>
      <c r="AA18" s="1188"/>
      <c r="AB18" s="742">
        <f t="shared" si="1"/>
        <v>0</v>
      </c>
      <c r="AC18" s="759">
        <f t="shared" si="2"/>
        <v>0.25</v>
      </c>
    </row>
    <row r="19" spans="2:29" ht="12" x14ac:dyDescent="0.2">
      <c r="B19" s="341" t="s">
        <v>167</v>
      </c>
      <c r="C19" s="246">
        <v>49</v>
      </c>
      <c r="D19" s="457">
        <v>18</v>
      </c>
      <c r="E19" s="246">
        <v>41</v>
      </c>
      <c r="F19" s="352">
        <v>17</v>
      </c>
      <c r="G19" s="458">
        <v>42</v>
      </c>
      <c r="H19" s="457">
        <f>8+1</f>
        <v>9</v>
      </c>
      <c r="I19" s="458">
        <v>47</v>
      </c>
      <c r="J19" s="352">
        <f>9+1</f>
        <v>10</v>
      </c>
      <c r="K19" s="458">
        <v>50</v>
      </c>
      <c r="L19" s="352">
        <f>17+1</f>
        <v>18</v>
      </c>
      <c r="M19" s="458">
        <v>47</v>
      </c>
      <c r="N19" s="457">
        <v>17</v>
      </c>
      <c r="O19" s="246">
        <v>47</v>
      </c>
      <c r="P19" s="457">
        <v>13</v>
      </c>
      <c r="Q19" s="246">
        <v>50</v>
      </c>
      <c r="R19" s="457">
        <v>16</v>
      </c>
      <c r="S19" s="246">
        <v>45</v>
      </c>
      <c r="T19" s="457">
        <v>22</v>
      </c>
      <c r="U19" s="246">
        <v>35</v>
      </c>
      <c r="V19" s="457">
        <v>17</v>
      </c>
      <c r="W19" s="246">
        <v>37</v>
      </c>
      <c r="X19" s="457">
        <v>8</v>
      </c>
      <c r="Y19" s="246">
        <v>46</v>
      </c>
      <c r="Z19" s="1406"/>
      <c r="AA19" s="657"/>
      <c r="AB19" s="742">
        <f t="shared" si="1"/>
        <v>42.6</v>
      </c>
      <c r="AC19" s="759">
        <f t="shared" si="2"/>
        <v>15.75</v>
      </c>
    </row>
    <row r="20" spans="2:29" ht="12" x14ac:dyDescent="0.2">
      <c r="B20" s="346" t="s">
        <v>6</v>
      </c>
      <c r="C20" s="246">
        <v>23</v>
      </c>
      <c r="D20" s="457">
        <v>5</v>
      </c>
      <c r="E20" s="246">
        <v>24</v>
      </c>
      <c r="F20" s="352">
        <v>5</v>
      </c>
      <c r="G20" s="458">
        <v>24</v>
      </c>
      <c r="H20" s="457">
        <v>8</v>
      </c>
      <c r="I20" s="458">
        <v>19</v>
      </c>
      <c r="J20" s="352">
        <v>5</v>
      </c>
      <c r="K20" s="458">
        <v>20</v>
      </c>
      <c r="L20" s="352">
        <v>5</v>
      </c>
      <c r="M20" s="458">
        <v>22</v>
      </c>
      <c r="N20" s="457">
        <v>4</v>
      </c>
      <c r="O20" s="246">
        <v>22</v>
      </c>
      <c r="P20" s="457">
        <v>3</v>
      </c>
      <c r="Q20" s="246">
        <v>28</v>
      </c>
      <c r="R20" s="457">
        <v>5</v>
      </c>
      <c r="S20" s="246">
        <v>20</v>
      </c>
      <c r="T20" s="457">
        <v>5</v>
      </c>
      <c r="U20" s="246">
        <v>24</v>
      </c>
      <c r="V20" s="457">
        <v>6</v>
      </c>
      <c r="W20" s="246">
        <v>27</v>
      </c>
      <c r="X20" s="457">
        <v>5</v>
      </c>
      <c r="Y20" s="246">
        <v>22</v>
      </c>
      <c r="Z20" s="1406"/>
      <c r="AA20" s="657"/>
      <c r="AB20" s="742">
        <f t="shared" si="1"/>
        <v>24.2</v>
      </c>
      <c r="AC20" s="759">
        <f t="shared" si="2"/>
        <v>5.25</v>
      </c>
    </row>
    <row r="21" spans="2:29" ht="12" x14ac:dyDescent="0.2">
      <c r="B21" s="344" t="s">
        <v>47</v>
      </c>
      <c r="C21" s="353"/>
      <c r="D21" s="342"/>
      <c r="E21" s="353"/>
      <c r="F21" s="343"/>
      <c r="G21" s="359"/>
      <c r="H21" s="342"/>
      <c r="I21" s="359"/>
      <c r="J21" s="343"/>
      <c r="K21" s="359"/>
      <c r="L21" s="621"/>
      <c r="M21" s="359"/>
      <c r="N21" s="342"/>
      <c r="O21" s="353"/>
      <c r="P21" s="342"/>
      <c r="Q21" s="353"/>
      <c r="R21" s="342"/>
      <c r="S21" s="353"/>
      <c r="T21" s="342"/>
      <c r="U21" s="353"/>
      <c r="V21" s="342"/>
      <c r="W21" s="353"/>
      <c r="X21" s="342"/>
      <c r="Y21" s="353"/>
      <c r="Z21" s="1402"/>
      <c r="AA21" s="657"/>
      <c r="AB21" s="742"/>
      <c r="AC21" s="759"/>
    </row>
    <row r="22" spans="2:29" ht="12" x14ac:dyDescent="0.2">
      <c r="B22" s="346" t="s">
        <v>164</v>
      </c>
      <c r="C22" s="360">
        <v>64</v>
      </c>
      <c r="D22" s="348">
        <v>15</v>
      </c>
      <c r="E22" s="360">
        <f>70+3</f>
        <v>73</v>
      </c>
      <c r="F22" s="347">
        <v>9</v>
      </c>
      <c r="G22" s="361">
        <v>100</v>
      </c>
      <c r="H22" s="348">
        <v>18</v>
      </c>
      <c r="I22" s="361">
        <v>105</v>
      </c>
      <c r="J22" s="347">
        <v>25</v>
      </c>
      <c r="K22" s="361">
        <v>109</v>
      </c>
      <c r="L22" s="347">
        <v>21</v>
      </c>
      <c r="M22" s="361">
        <v>111</v>
      </c>
      <c r="N22" s="348">
        <v>22</v>
      </c>
      <c r="O22" s="360">
        <f>129+4</f>
        <v>133</v>
      </c>
      <c r="P22" s="348">
        <v>20</v>
      </c>
      <c r="Q22" s="360">
        <v>168</v>
      </c>
      <c r="R22" s="348">
        <v>30</v>
      </c>
      <c r="S22" s="360">
        <v>196</v>
      </c>
      <c r="T22" s="348">
        <v>41</v>
      </c>
      <c r="U22" s="360">
        <v>226</v>
      </c>
      <c r="V22" s="348">
        <v>36</v>
      </c>
      <c r="W22" s="360">
        <v>242</v>
      </c>
      <c r="X22" s="348">
        <v>42</v>
      </c>
      <c r="Y22" s="360">
        <v>235</v>
      </c>
      <c r="Z22" s="1403"/>
      <c r="AA22" s="657"/>
      <c r="AB22" s="742">
        <f t="shared" ref="AB22:AB23" si="3">AVERAGE(W22,U22,S22,Q22,Y22)</f>
        <v>213.4</v>
      </c>
      <c r="AC22" s="759">
        <f t="shared" ref="AC22:AC23" si="4">AVERAGE(X22,V22,T22,R22,Z22)</f>
        <v>37.25</v>
      </c>
    </row>
    <row r="23" spans="2:29" ht="12" x14ac:dyDescent="0.2">
      <c r="B23" s="346" t="s">
        <v>51</v>
      </c>
      <c r="C23" s="360"/>
      <c r="D23" s="348"/>
      <c r="E23" s="360">
        <v>1</v>
      </c>
      <c r="F23" s="347">
        <v>1</v>
      </c>
      <c r="G23" s="361">
        <v>0</v>
      </c>
      <c r="H23" s="348">
        <v>0</v>
      </c>
      <c r="I23" s="361">
        <v>0</v>
      </c>
      <c r="J23" s="347">
        <v>1</v>
      </c>
      <c r="K23" s="361">
        <v>0</v>
      </c>
      <c r="L23" s="347">
        <v>0</v>
      </c>
      <c r="M23" s="361">
        <v>0</v>
      </c>
      <c r="N23" s="348">
        <v>0</v>
      </c>
      <c r="O23" s="360">
        <v>1</v>
      </c>
      <c r="P23" s="348">
        <v>0</v>
      </c>
      <c r="Q23" s="360">
        <v>6</v>
      </c>
      <c r="R23" s="348">
        <v>3</v>
      </c>
      <c r="S23" s="360">
        <v>6</v>
      </c>
      <c r="T23" s="348">
        <v>6</v>
      </c>
      <c r="U23" s="360">
        <v>6</v>
      </c>
      <c r="V23" s="348">
        <v>4</v>
      </c>
      <c r="W23" s="360">
        <v>12</v>
      </c>
      <c r="X23" s="348">
        <v>6</v>
      </c>
      <c r="Y23" s="360">
        <v>10</v>
      </c>
      <c r="Z23" s="1403"/>
      <c r="AA23" s="657"/>
      <c r="AB23" s="742">
        <f t="shared" si="3"/>
        <v>8</v>
      </c>
      <c r="AC23" s="759">
        <f t="shared" si="4"/>
        <v>4.75</v>
      </c>
    </row>
    <row r="24" spans="2:29" ht="12" x14ac:dyDescent="0.2">
      <c r="B24" s="464" t="s">
        <v>120</v>
      </c>
      <c r="C24" s="360"/>
      <c r="D24" s="348"/>
      <c r="E24" s="360"/>
      <c r="F24" s="347"/>
      <c r="G24" s="361"/>
      <c r="H24" s="348"/>
      <c r="I24" s="361"/>
      <c r="J24" s="347"/>
      <c r="K24" s="361"/>
      <c r="L24" s="347"/>
      <c r="M24" s="361"/>
      <c r="N24" s="348"/>
      <c r="O24" s="360"/>
      <c r="P24" s="348"/>
      <c r="Q24" s="360"/>
      <c r="R24" s="348"/>
      <c r="S24" s="360"/>
      <c r="T24" s="348"/>
      <c r="U24" s="360"/>
      <c r="V24" s="348"/>
      <c r="W24" s="360"/>
      <c r="X24" s="348"/>
      <c r="Y24" s="360"/>
      <c r="Z24" s="1403"/>
      <c r="AA24" s="657"/>
      <c r="AB24" s="742"/>
      <c r="AC24" s="759"/>
    </row>
    <row r="25" spans="2:29" thickBot="1" x14ac:dyDescent="0.25">
      <c r="B25" s="355" t="s">
        <v>227</v>
      </c>
      <c r="C25" s="465"/>
      <c r="D25" s="466"/>
      <c r="E25" s="465"/>
      <c r="F25" s="467"/>
      <c r="G25" s="468"/>
      <c r="H25" s="466"/>
      <c r="I25" s="358">
        <v>0</v>
      </c>
      <c r="J25" s="365">
        <v>3</v>
      </c>
      <c r="K25" s="358">
        <v>0</v>
      </c>
      <c r="L25" s="365">
        <v>0</v>
      </c>
      <c r="M25" s="358">
        <v>1</v>
      </c>
      <c r="N25" s="364">
        <v>0</v>
      </c>
      <c r="O25" s="357">
        <v>1</v>
      </c>
      <c r="P25" s="364">
        <v>0</v>
      </c>
      <c r="Q25" s="357">
        <v>1</v>
      </c>
      <c r="R25" s="364">
        <v>3</v>
      </c>
      <c r="S25" s="357">
        <v>6</v>
      </c>
      <c r="T25" s="364">
        <v>2</v>
      </c>
      <c r="U25" s="357">
        <v>14</v>
      </c>
      <c r="V25" s="364">
        <v>9</v>
      </c>
      <c r="W25" s="357">
        <v>13</v>
      </c>
      <c r="X25" s="364">
        <v>7</v>
      </c>
      <c r="Y25" s="357">
        <v>11</v>
      </c>
      <c r="Z25" s="1404"/>
      <c r="AA25" s="657"/>
      <c r="AB25" s="761">
        <f t="shared" ref="AB25:AC25" si="5">AVERAGE(W25,U25,S25,Q25,Y25)</f>
        <v>9</v>
      </c>
      <c r="AC25" s="759">
        <f t="shared" si="5"/>
        <v>5.25</v>
      </c>
    </row>
    <row r="26" spans="2:29" thickTop="1" x14ac:dyDescent="0.2">
      <c r="B26" s="119" t="s">
        <v>160</v>
      </c>
      <c r="C26" s="51"/>
      <c r="D26" s="26"/>
      <c r="E26" s="51"/>
      <c r="F26" s="26"/>
      <c r="G26" s="228"/>
      <c r="H26" s="229"/>
      <c r="I26" s="228"/>
      <c r="J26" s="229"/>
      <c r="K26" s="228"/>
      <c r="L26" s="229"/>
      <c r="M26" s="627"/>
      <c r="N26" s="229"/>
      <c r="O26" s="627"/>
      <c r="P26" s="229"/>
      <c r="Q26" s="627"/>
      <c r="R26" s="229"/>
      <c r="S26" s="627"/>
      <c r="T26" s="229"/>
      <c r="U26" s="627"/>
      <c r="V26" s="229"/>
      <c r="W26" s="627"/>
      <c r="X26" s="229"/>
      <c r="Y26" s="627"/>
      <c r="Z26" s="229"/>
      <c r="AB26" s="24"/>
      <c r="AC26" s="66"/>
    </row>
    <row r="27" spans="2:29" ht="12" x14ac:dyDescent="0.2">
      <c r="B27" s="50" t="s">
        <v>169</v>
      </c>
      <c r="C27" s="51"/>
      <c r="D27" s="26"/>
      <c r="E27" s="51"/>
      <c r="F27" s="26"/>
      <c r="G27" s="228"/>
      <c r="H27" s="229"/>
      <c r="I27" s="228"/>
      <c r="J27" s="229"/>
      <c r="K27" s="228"/>
      <c r="L27" s="229"/>
      <c r="M27" s="228"/>
      <c r="N27" s="229"/>
      <c r="O27" s="228"/>
      <c r="P27" s="229"/>
      <c r="Q27" s="228"/>
      <c r="R27" s="229"/>
      <c r="S27" s="228"/>
      <c r="T27" s="229"/>
      <c r="U27" s="228"/>
      <c r="V27" s="229"/>
      <c r="W27" s="228"/>
      <c r="X27" s="229"/>
      <c r="Y27" s="228"/>
      <c r="Z27" s="229"/>
      <c r="AB27" s="24"/>
      <c r="AC27" s="24"/>
    </row>
    <row r="28" spans="2:29" ht="14.25" customHeight="1" thickBot="1" x14ac:dyDescent="0.25">
      <c r="B28" s="51"/>
      <c r="C28" s="51"/>
      <c r="D28" s="26"/>
      <c r="E28" s="51"/>
      <c r="F28" s="26"/>
      <c r="G28" s="228"/>
      <c r="H28" s="229"/>
      <c r="I28" s="228"/>
      <c r="J28" s="229"/>
      <c r="K28" s="228"/>
      <c r="L28" s="229"/>
      <c r="M28" s="228"/>
      <c r="N28" s="229"/>
      <c r="O28" s="228"/>
      <c r="P28" s="229"/>
      <c r="Q28" s="228"/>
      <c r="R28" s="229"/>
      <c r="S28" s="228"/>
      <c r="T28" s="229"/>
      <c r="U28" s="228"/>
      <c r="V28" s="229"/>
      <c r="W28" s="228"/>
      <c r="X28" s="229"/>
      <c r="Y28" s="228"/>
      <c r="Z28" s="229"/>
      <c r="AB28" s="71"/>
      <c r="AC28" s="71"/>
    </row>
    <row r="29" spans="2:29" ht="14.25" customHeight="1" thickTop="1" thickBot="1" x14ac:dyDescent="0.25">
      <c r="B29" s="102"/>
      <c r="C29" s="1498" t="s">
        <v>33</v>
      </c>
      <c r="D29" s="1499"/>
      <c r="E29" s="1501" t="s">
        <v>34</v>
      </c>
      <c r="F29" s="1501"/>
      <c r="G29" s="1544" t="s">
        <v>106</v>
      </c>
      <c r="H29" s="1544"/>
      <c r="I29" s="1544" t="s">
        <v>118</v>
      </c>
      <c r="J29" s="1544"/>
      <c r="K29" s="1500" t="s">
        <v>121</v>
      </c>
      <c r="L29" s="1494"/>
      <c r="M29" s="1500" t="s">
        <v>127</v>
      </c>
      <c r="N29" s="1495"/>
      <c r="O29" s="1494" t="s">
        <v>174</v>
      </c>
      <c r="P29" s="1495"/>
      <c r="Q29" s="1494" t="s">
        <v>193</v>
      </c>
      <c r="R29" s="1495"/>
      <c r="S29" s="1494" t="s">
        <v>218</v>
      </c>
      <c r="T29" s="1495"/>
      <c r="U29" s="1494" t="s">
        <v>221</v>
      </c>
      <c r="V29" s="1495"/>
      <c r="W29" s="1494" t="s">
        <v>232</v>
      </c>
      <c r="X29" s="1495"/>
      <c r="Y29" s="1494" t="s">
        <v>241</v>
      </c>
      <c r="Z29" s="1508"/>
      <c r="AB29" s="1529" t="s">
        <v>134</v>
      </c>
      <c r="AC29" s="1530"/>
    </row>
    <row r="30" spans="2:29" ht="12" x14ac:dyDescent="0.2">
      <c r="B30" s="103" t="s">
        <v>7</v>
      </c>
      <c r="C30" s="132"/>
      <c r="D30" s="133"/>
      <c r="E30" s="16"/>
      <c r="F30" s="16"/>
      <c r="G30" s="265"/>
      <c r="H30" s="407"/>
      <c r="I30" s="265"/>
      <c r="J30" s="407"/>
      <c r="K30" s="260"/>
      <c r="L30" s="387"/>
      <c r="M30" s="260"/>
      <c r="N30" s="407"/>
      <c r="O30" s="387"/>
      <c r="P30" s="407"/>
      <c r="Q30" s="387"/>
      <c r="R30" s="407"/>
      <c r="S30" s="387"/>
      <c r="T30" s="407"/>
      <c r="U30" s="387"/>
      <c r="V30" s="407"/>
      <c r="W30" s="387"/>
      <c r="X30" s="407"/>
      <c r="Y30" s="387"/>
      <c r="Z30" s="230"/>
      <c r="AA30" s="657"/>
      <c r="AB30" s="660"/>
      <c r="AC30" s="656"/>
    </row>
    <row r="31" spans="2:29" ht="12" x14ac:dyDescent="0.2">
      <c r="B31" s="88" t="s">
        <v>8</v>
      </c>
      <c r="C31" s="134"/>
      <c r="D31" s="135"/>
      <c r="E31" s="7"/>
      <c r="F31" s="7"/>
      <c r="G31" s="261"/>
      <c r="H31" s="389"/>
      <c r="I31" s="261"/>
      <c r="J31" s="389"/>
      <c r="K31" s="261"/>
      <c r="L31" s="231"/>
      <c r="M31" s="261"/>
      <c r="N31" s="389"/>
      <c r="O31" s="231"/>
      <c r="P31" s="389"/>
      <c r="Q31" s="231"/>
      <c r="R31" s="389"/>
      <c r="S31" s="231"/>
      <c r="T31" s="389"/>
      <c r="U31" s="231"/>
      <c r="V31" s="389"/>
      <c r="W31" s="231"/>
      <c r="X31" s="389"/>
      <c r="Y31" s="231"/>
      <c r="Z31" s="104"/>
      <c r="AA31" s="657"/>
      <c r="AC31" s="652"/>
    </row>
    <row r="32" spans="2:29" ht="12" x14ac:dyDescent="0.2">
      <c r="B32" s="88" t="s">
        <v>9</v>
      </c>
      <c r="C32" s="134"/>
      <c r="D32" s="168">
        <v>1507</v>
      </c>
      <c r="E32" s="7"/>
      <c r="F32" s="99">
        <v>1428</v>
      </c>
      <c r="G32" s="261"/>
      <c r="H32" s="408">
        <v>1700</v>
      </c>
      <c r="I32" s="261"/>
      <c r="J32" s="408">
        <v>1877</v>
      </c>
      <c r="K32" s="261"/>
      <c r="L32" s="244">
        <v>1959</v>
      </c>
      <c r="M32" s="261"/>
      <c r="N32" s="408">
        <v>1871</v>
      </c>
      <c r="O32" s="231"/>
      <c r="P32" s="408">
        <v>2142</v>
      </c>
      <c r="Q32" s="231"/>
      <c r="R32" s="408">
        <v>2206</v>
      </c>
      <c r="S32" s="231"/>
      <c r="T32" s="408">
        <v>2440</v>
      </c>
      <c r="U32" s="231"/>
      <c r="V32" s="408">
        <v>2647</v>
      </c>
      <c r="W32" s="231"/>
      <c r="X32" s="408">
        <v>2986</v>
      </c>
      <c r="Y32" s="231"/>
      <c r="Z32" s="1432"/>
      <c r="AA32" s="657"/>
      <c r="AB32" s="16"/>
      <c r="AC32" s="752">
        <f t="shared" ref="AC32:AC36" si="6">AVERAGE(X32,V32,T32,R32,Z32)</f>
        <v>2569.75</v>
      </c>
    </row>
    <row r="33" spans="1:31" ht="12" x14ac:dyDescent="0.2">
      <c r="B33" s="88" t="s">
        <v>10</v>
      </c>
      <c r="C33" s="134"/>
      <c r="D33" s="168">
        <v>7992</v>
      </c>
      <c r="E33" s="7"/>
      <c r="F33" s="99">
        <v>8505</v>
      </c>
      <c r="G33" s="261"/>
      <c r="H33" s="408">
        <v>8579</v>
      </c>
      <c r="I33" s="261"/>
      <c r="J33" s="408">
        <v>9309</v>
      </c>
      <c r="K33" s="261"/>
      <c r="L33" s="244">
        <v>9756</v>
      </c>
      <c r="M33" s="261"/>
      <c r="N33" s="408">
        <v>10020</v>
      </c>
      <c r="O33" s="231"/>
      <c r="P33" s="408">
        <v>10297</v>
      </c>
      <c r="Q33" s="231"/>
      <c r="R33" s="408">
        <v>10819</v>
      </c>
      <c r="S33" s="231"/>
      <c r="T33" s="408">
        <v>11544</v>
      </c>
      <c r="U33" s="231"/>
      <c r="V33" s="408">
        <v>12400</v>
      </c>
      <c r="W33" s="231"/>
      <c r="X33" s="408">
        <v>12631</v>
      </c>
      <c r="Y33" s="231"/>
      <c r="Z33" s="1432"/>
      <c r="AA33" s="657"/>
      <c r="AB33" s="7"/>
      <c r="AC33" s="752">
        <f t="shared" si="6"/>
        <v>11848.5</v>
      </c>
    </row>
    <row r="34" spans="1:31" ht="12" x14ac:dyDescent="0.2">
      <c r="B34" s="88" t="s">
        <v>11</v>
      </c>
      <c r="C34" s="134"/>
      <c r="D34" s="168">
        <v>712</v>
      </c>
      <c r="E34" s="7"/>
      <c r="F34" s="99">
        <v>676</v>
      </c>
      <c r="G34" s="261"/>
      <c r="H34" s="408">
        <v>487</v>
      </c>
      <c r="I34" s="261"/>
      <c r="J34" s="408">
        <v>720</v>
      </c>
      <c r="K34" s="261"/>
      <c r="L34" s="244">
        <v>850</v>
      </c>
      <c r="M34" s="261"/>
      <c r="N34" s="408">
        <v>976</v>
      </c>
      <c r="O34" s="231"/>
      <c r="P34" s="408">
        <v>1097</v>
      </c>
      <c r="Q34" s="231"/>
      <c r="R34" s="408">
        <v>1215</v>
      </c>
      <c r="S34" s="231"/>
      <c r="T34" s="408">
        <v>1330</v>
      </c>
      <c r="U34" s="231"/>
      <c r="V34" s="408">
        <v>1345</v>
      </c>
      <c r="W34" s="231"/>
      <c r="X34" s="408">
        <v>1473</v>
      </c>
      <c r="Y34" s="231"/>
      <c r="Z34" s="1432"/>
      <c r="AA34" s="657"/>
      <c r="AB34" s="748"/>
      <c r="AC34" s="752">
        <f t="shared" si="6"/>
        <v>1340.75</v>
      </c>
    </row>
    <row r="35" spans="1:31" ht="12" x14ac:dyDescent="0.2">
      <c r="B35" s="88" t="s">
        <v>12</v>
      </c>
      <c r="C35" s="134"/>
      <c r="D35" s="136">
        <v>507</v>
      </c>
      <c r="E35" s="7"/>
      <c r="F35" s="12">
        <v>448</v>
      </c>
      <c r="G35" s="261"/>
      <c r="H35" s="217">
        <v>425</v>
      </c>
      <c r="I35" s="261"/>
      <c r="J35" s="217">
        <v>411</v>
      </c>
      <c r="K35" s="261"/>
      <c r="L35" s="105">
        <v>421</v>
      </c>
      <c r="M35" s="261"/>
      <c r="N35" s="217">
        <v>342</v>
      </c>
      <c r="O35" s="231"/>
      <c r="P35" s="217">
        <v>443</v>
      </c>
      <c r="Q35" s="231"/>
      <c r="R35" s="217">
        <v>410</v>
      </c>
      <c r="S35" s="231"/>
      <c r="T35" s="217">
        <v>431</v>
      </c>
      <c r="U35" s="231"/>
      <c r="V35" s="217">
        <v>362</v>
      </c>
      <c r="W35" s="231"/>
      <c r="X35" s="217">
        <v>401</v>
      </c>
      <c r="Y35" s="231"/>
      <c r="Z35" s="1433"/>
      <c r="AA35" s="657"/>
      <c r="AB35" s="748"/>
      <c r="AC35" s="752">
        <f t="shared" si="6"/>
        <v>401</v>
      </c>
    </row>
    <row r="36" spans="1:31" thickBot="1" x14ac:dyDescent="0.25">
      <c r="B36" s="301" t="s">
        <v>13</v>
      </c>
      <c r="C36" s="137"/>
      <c r="D36" s="178">
        <f>SUM(D32:D35)</f>
        <v>10718</v>
      </c>
      <c r="E36" s="137"/>
      <c r="F36" s="178">
        <f>SUM(F32:F35)</f>
        <v>11057</v>
      </c>
      <c r="G36" s="262"/>
      <c r="H36" s="432">
        <f>SUM(H32:H35)</f>
        <v>11191</v>
      </c>
      <c r="I36" s="262"/>
      <c r="J36" s="432">
        <f>SUM(J32:J35)</f>
        <v>12317</v>
      </c>
      <c r="K36" s="262"/>
      <c r="L36" s="473">
        <f>SUM(L32:L35)</f>
        <v>12986</v>
      </c>
      <c r="M36" s="262"/>
      <c r="N36" s="432">
        <v>13209</v>
      </c>
      <c r="O36" s="404"/>
      <c r="P36" s="432">
        <f>SUM(P32:P35)</f>
        <v>13979</v>
      </c>
      <c r="Q36" s="404"/>
      <c r="R36" s="432">
        <f>SUM(R32:R35)</f>
        <v>14650</v>
      </c>
      <c r="S36" s="404"/>
      <c r="T36" s="432">
        <f>SUM(T32:T35)</f>
        <v>15745</v>
      </c>
      <c r="U36" s="404"/>
      <c r="V36" s="432">
        <f>SUM(V32:V35)</f>
        <v>16754</v>
      </c>
      <c r="W36" s="404"/>
      <c r="X36" s="432">
        <f>SUM(X32:X35)</f>
        <v>17491</v>
      </c>
      <c r="Y36" s="404"/>
      <c r="Z36" s="1434">
        <f>SUM(Z32:Z35)</f>
        <v>0</v>
      </c>
      <c r="AA36" s="657"/>
      <c r="AB36" s="659"/>
      <c r="AC36" s="658">
        <f t="shared" si="6"/>
        <v>12928</v>
      </c>
    </row>
    <row r="37" spans="1:31" ht="13.5" customHeight="1" thickTop="1" thickBot="1" x14ac:dyDescent="0.25">
      <c r="A37" s="652"/>
      <c r="B37" s="727" t="s">
        <v>150</v>
      </c>
      <c r="C37" s="1477" t="s">
        <v>35</v>
      </c>
      <c r="D37" s="1478"/>
      <c r="E37" s="1477" t="s">
        <v>36</v>
      </c>
      <c r="F37" s="1478"/>
      <c r="G37" s="1479" t="s">
        <v>122</v>
      </c>
      <c r="H37" s="1480"/>
      <c r="I37" s="1479" t="s">
        <v>123</v>
      </c>
      <c r="J37" s="1481"/>
      <c r="K37" s="1479" t="s">
        <v>148</v>
      </c>
      <c r="L37" s="1481"/>
      <c r="M37" s="1488" t="s">
        <v>149</v>
      </c>
      <c r="N37" s="1480"/>
      <c r="O37" s="1483" t="s">
        <v>175</v>
      </c>
      <c r="P37" s="1480"/>
      <c r="Q37" s="1483" t="s">
        <v>194</v>
      </c>
      <c r="R37" s="1480"/>
      <c r="S37" s="1483" t="s">
        <v>219</v>
      </c>
      <c r="T37" s="1480"/>
      <c r="U37" s="1483" t="s">
        <v>222</v>
      </c>
      <c r="V37" s="1480"/>
      <c r="W37" s="1483" t="s">
        <v>233</v>
      </c>
      <c r="X37" s="1480"/>
      <c r="Y37" s="1483" t="s">
        <v>242</v>
      </c>
      <c r="Z37" s="1511"/>
      <c r="AA37" s="657"/>
      <c r="AB37" s="693"/>
      <c r="AC37" s="1009"/>
    </row>
    <row r="38" spans="1:31" x14ac:dyDescent="0.2">
      <c r="A38" s="652"/>
      <c r="B38" s="719" t="s">
        <v>135</v>
      </c>
      <c r="C38" s="1463">
        <v>0.59</v>
      </c>
      <c r="D38" s="1464"/>
      <c r="E38" s="1465">
        <v>0.64300000000000002</v>
      </c>
      <c r="F38" s="1466"/>
      <c r="G38" s="1465">
        <v>0.68500000000000005</v>
      </c>
      <c r="H38" s="1466"/>
      <c r="I38" s="1465">
        <v>0.54800000000000004</v>
      </c>
      <c r="J38" s="1467"/>
      <c r="K38" s="696"/>
      <c r="L38" s="697">
        <v>0.6</v>
      </c>
      <c r="M38" s="698"/>
      <c r="N38" s="997">
        <v>0.67500000000000004</v>
      </c>
      <c r="O38" s="995"/>
      <c r="P38" s="997">
        <v>0.66100000000000003</v>
      </c>
      <c r="Q38" s="1019"/>
      <c r="R38" s="997">
        <v>0.57599999999999996</v>
      </c>
      <c r="S38" s="1019"/>
      <c r="T38" s="997">
        <v>0.68400000000000005</v>
      </c>
      <c r="U38" s="1019"/>
      <c r="V38" s="997">
        <v>0.69699999999999995</v>
      </c>
      <c r="W38" s="1019"/>
      <c r="X38" s="997">
        <v>0.66</v>
      </c>
      <c r="Y38" s="1019"/>
      <c r="Z38" s="1241">
        <v>0.747</v>
      </c>
      <c r="AA38" s="699"/>
      <c r="AB38" s="848"/>
      <c r="AC38" s="743">
        <f t="shared" ref="AC38:AC39" si="7">AVERAGE(X38,V38,T38,R38,Z38)</f>
        <v>0.67279999999999995</v>
      </c>
    </row>
    <row r="39" spans="1:31" ht="12.75" customHeight="1" x14ac:dyDescent="0.2">
      <c r="A39" s="652"/>
      <c r="B39" s="726" t="s">
        <v>136</v>
      </c>
      <c r="C39" s="1470">
        <v>5.3999999999999999E-2</v>
      </c>
      <c r="D39" s="1471"/>
      <c r="E39" s="1472">
        <v>8.6999999999999994E-2</v>
      </c>
      <c r="F39" s="1473"/>
      <c r="G39" s="1472">
        <v>5.2999999999999999E-2</v>
      </c>
      <c r="H39" s="1473"/>
      <c r="I39" s="1472">
        <v>4.3999999999999997E-2</v>
      </c>
      <c r="J39" s="1474"/>
      <c r="K39" s="701"/>
      <c r="L39" s="702">
        <v>0.05</v>
      </c>
      <c r="M39" s="701"/>
      <c r="N39" s="998">
        <v>4.8000000000000001E-2</v>
      </c>
      <c r="O39" s="996"/>
      <c r="P39" s="998">
        <v>9.7000000000000003E-2</v>
      </c>
      <c r="Q39" s="1020"/>
      <c r="R39" s="998">
        <v>8.7999999999999995E-2</v>
      </c>
      <c r="S39" s="1020"/>
      <c r="T39" s="998">
        <v>3.6999999999999998E-2</v>
      </c>
      <c r="U39" s="1020"/>
      <c r="V39" s="998">
        <v>3.2000000000000001E-2</v>
      </c>
      <c r="W39" s="1020"/>
      <c r="X39" s="998">
        <v>2.9000000000000001E-2</v>
      </c>
      <c r="Y39" s="1020"/>
      <c r="Z39" s="1242">
        <v>2.5999999999999999E-2</v>
      </c>
      <c r="AA39" s="699"/>
      <c r="AB39" s="848"/>
      <c r="AC39" s="743">
        <f t="shared" si="7"/>
        <v>4.24E-2</v>
      </c>
    </row>
    <row r="40" spans="1:31" ht="13.5" customHeight="1" thickBot="1" x14ac:dyDescent="0.25">
      <c r="B40" s="703" t="s">
        <v>137</v>
      </c>
      <c r="C40" s="1468">
        <f>1-SUM(C38:D39)</f>
        <v>0.35599999999999998</v>
      </c>
      <c r="D40" s="1469"/>
      <c r="E40" s="1468">
        <f>1-SUM(E38:F39)</f>
        <v>0.27</v>
      </c>
      <c r="F40" s="1469"/>
      <c r="G40" s="1468">
        <f>1-SUM(G38:H39)</f>
        <v>0.2619999999999999</v>
      </c>
      <c r="H40" s="1469"/>
      <c r="I40" s="1468">
        <f>1-SUM(I38:J39)</f>
        <v>0.40799999999999992</v>
      </c>
      <c r="J40" s="1469"/>
      <c r="K40" s="1468">
        <f>1-SUM(K38:L39)</f>
        <v>0.35</v>
      </c>
      <c r="L40" s="1469"/>
      <c r="M40" s="1468">
        <f>1-SUM(M38:N39)</f>
        <v>0.27699999999999991</v>
      </c>
      <c r="N40" s="1469"/>
      <c r="O40" s="1514">
        <f>1-P38-P39</f>
        <v>0.24199999999999997</v>
      </c>
      <c r="P40" s="1469"/>
      <c r="Q40" s="1490">
        <f>1-R38-R39</f>
        <v>0.33600000000000008</v>
      </c>
      <c r="R40" s="1491"/>
      <c r="S40" s="1490">
        <f>1-T38-T39</f>
        <v>0.27899999999999997</v>
      </c>
      <c r="T40" s="1491"/>
      <c r="U40" s="1490">
        <f>1-V38-V39</f>
        <v>0.27100000000000002</v>
      </c>
      <c r="V40" s="1491"/>
      <c r="W40" s="1490">
        <f>1-X38-X39</f>
        <v>0.31099999999999994</v>
      </c>
      <c r="X40" s="1491"/>
      <c r="Y40" s="1490">
        <f>1-Z38-Z39</f>
        <v>0.22700000000000001</v>
      </c>
      <c r="Z40" s="1506"/>
      <c r="AA40" s="699"/>
      <c r="AB40" s="1515">
        <v>4.65E-2</v>
      </c>
      <c r="AC40" s="1516"/>
    </row>
    <row r="41" spans="1:31" thickTop="1" x14ac:dyDescent="0.2">
      <c r="B41" s="65"/>
      <c r="C41" s="68"/>
      <c r="D41" s="67"/>
      <c r="E41" s="68"/>
      <c r="F41" s="67"/>
      <c r="G41" s="233"/>
      <c r="H41" s="234"/>
      <c r="I41" s="233"/>
      <c r="J41" s="234"/>
      <c r="K41" s="321"/>
      <c r="L41" s="489"/>
      <c r="M41" s="233"/>
      <c r="N41" s="489"/>
      <c r="O41" s="233"/>
      <c r="P41" s="489"/>
      <c r="Q41" s="233"/>
      <c r="R41" s="489"/>
      <c r="S41" s="233"/>
      <c r="T41" s="489"/>
      <c r="U41" s="233"/>
      <c r="V41" s="489"/>
      <c r="W41" s="233"/>
      <c r="X41" s="489"/>
      <c r="Y41" s="233"/>
      <c r="Z41" s="489"/>
      <c r="AC41" s="66"/>
    </row>
    <row r="42" spans="1:31" x14ac:dyDescent="0.2">
      <c r="A42" s="3" t="s">
        <v>56</v>
      </c>
      <c r="B42" s="61"/>
      <c r="C42" s="24"/>
      <c r="D42" s="24"/>
      <c r="E42" s="24"/>
      <c r="F42" s="24"/>
      <c r="G42" s="235"/>
      <c r="H42" s="235"/>
      <c r="I42" s="235"/>
      <c r="J42" s="235"/>
      <c r="K42" s="235"/>
      <c r="L42" s="235"/>
      <c r="M42" s="235"/>
      <c r="N42" s="235"/>
      <c r="O42" s="235"/>
      <c r="P42" s="235"/>
      <c r="Q42" s="235"/>
      <c r="R42" s="235"/>
      <c r="S42" s="235"/>
      <c r="T42" s="235"/>
      <c r="U42" s="235"/>
      <c r="V42" s="235"/>
      <c r="W42" s="235"/>
      <c r="X42" s="235"/>
      <c r="Y42" s="235"/>
      <c r="Z42" s="235"/>
      <c r="AE42" s="1" t="s">
        <v>23</v>
      </c>
    </row>
    <row r="43" spans="1:31" ht="12.75" customHeight="1" thickBot="1" x14ac:dyDescent="0.25">
      <c r="A43" s="3"/>
      <c r="B43" s="70"/>
      <c r="C43" s="71"/>
      <c r="D43" s="71"/>
      <c r="E43" s="71"/>
      <c r="F43" s="71"/>
      <c r="G43" s="252"/>
      <c r="H43" s="252"/>
      <c r="I43" s="252"/>
      <c r="J43" s="252"/>
      <c r="K43" s="252"/>
      <c r="L43" s="252"/>
      <c r="M43" s="252"/>
      <c r="N43" s="252"/>
      <c r="O43" s="252"/>
      <c r="P43" s="252"/>
      <c r="Q43" s="252"/>
      <c r="R43" s="252"/>
      <c r="S43" s="252"/>
      <c r="T43" s="252"/>
      <c r="U43" s="252"/>
      <c r="V43" s="252"/>
      <c r="W43" s="252"/>
      <c r="X43" s="252"/>
      <c r="Y43" s="252"/>
      <c r="Z43" s="252"/>
      <c r="AB43" s="71"/>
      <c r="AC43" s="71"/>
    </row>
    <row r="44" spans="1:31" ht="14.25" thickTop="1" thickBot="1" x14ac:dyDescent="0.25">
      <c r="A44" s="3"/>
      <c r="B44" s="80" t="s">
        <v>57</v>
      </c>
      <c r="C44" s="1498" t="s">
        <v>33</v>
      </c>
      <c r="D44" s="1499"/>
      <c r="E44" s="1501" t="s">
        <v>34</v>
      </c>
      <c r="F44" s="1501"/>
      <c r="G44" s="1500" t="s">
        <v>106</v>
      </c>
      <c r="H44" s="1495"/>
      <c r="I44" s="1494" t="s">
        <v>118</v>
      </c>
      <c r="J44" s="1494"/>
      <c r="K44" s="1500" t="s">
        <v>121</v>
      </c>
      <c r="L44" s="1494"/>
      <c r="M44" s="1500" t="s">
        <v>127</v>
      </c>
      <c r="N44" s="1495"/>
      <c r="O44" s="1494" t="s">
        <v>174</v>
      </c>
      <c r="P44" s="1495"/>
      <c r="Q44" s="1494" t="s">
        <v>193</v>
      </c>
      <c r="R44" s="1495"/>
      <c r="S44" s="1494" t="s">
        <v>218</v>
      </c>
      <c r="T44" s="1495"/>
      <c r="U44" s="1494" t="s">
        <v>221</v>
      </c>
      <c r="V44" s="1495"/>
      <c r="W44" s="1494" t="s">
        <v>232</v>
      </c>
      <c r="X44" s="1495"/>
      <c r="Y44" s="1494" t="s">
        <v>241</v>
      </c>
      <c r="Z44" s="1508"/>
      <c r="AA44" s="657"/>
      <c r="AB44" s="1529" t="s">
        <v>134</v>
      </c>
      <c r="AC44" s="1530"/>
    </row>
    <row r="45" spans="1:31" x14ac:dyDescent="0.2">
      <c r="A45" s="3"/>
      <c r="B45" s="81" t="s">
        <v>58</v>
      </c>
      <c r="C45" s="134"/>
      <c r="D45" s="135"/>
      <c r="E45" s="7"/>
      <c r="F45" s="7"/>
      <c r="G45" s="261"/>
      <c r="H45" s="389"/>
      <c r="I45" s="231"/>
      <c r="J45" s="231"/>
      <c r="K45" s="261"/>
      <c r="L45" s="231"/>
      <c r="M45" s="261"/>
      <c r="N45" s="389"/>
      <c r="O45" s="231"/>
      <c r="P45" s="389"/>
      <c r="Q45" s="231"/>
      <c r="R45" s="389"/>
      <c r="S45" s="231"/>
      <c r="T45" s="389"/>
      <c r="U45" s="231"/>
      <c r="V45" s="389"/>
      <c r="W45" s="231"/>
      <c r="X45" s="389"/>
      <c r="Y45" s="231"/>
      <c r="Z45" s="104"/>
      <c r="AA45" s="657"/>
      <c r="AB45" s="744"/>
      <c r="AC45" s="745"/>
    </row>
    <row r="46" spans="1:31" x14ac:dyDescent="0.2">
      <c r="A46" s="3"/>
      <c r="B46" s="82" t="s">
        <v>59</v>
      </c>
      <c r="C46" s="132"/>
      <c r="D46" s="139">
        <v>2193953</v>
      </c>
      <c r="E46" s="16"/>
      <c r="F46" s="153">
        <v>2292811</v>
      </c>
      <c r="G46" s="260"/>
      <c r="H46" s="219">
        <v>2252560</v>
      </c>
      <c r="I46" s="387"/>
      <c r="J46" s="488">
        <v>2461006</v>
      </c>
      <c r="K46" s="260"/>
      <c r="L46" s="488">
        <v>2510468</v>
      </c>
      <c r="M46" s="260"/>
      <c r="N46" s="219">
        <v>2563708</v>
      </c>
      <c r="O46" s="387"/>
      <c r="P46" s="219">
        <v>2522595</v>
      </c>
      <c r="Q46" s="387"/>
      <c r="R46" s="219">
        <v>2544198</v>
      </c>
      <c r="S46" s="387"/>
      <c r="T46" s="219">
        <v>2636355</v>
      </c>
      <c r="U46" s="387"/>
      <c r="V46" s="219">
        <v>2795772</v>
      </c>
      <c r="W46" s="387"/>
      <c r="X46" s="219">
        <v>2851487</v>
      </c>
      <c r="Y46" s="387"/>
      <c r="Z46" s="1353">
        <v>2966693</v>
      </c>
      <c r="AA46" s="657"/>
      <c r="AB46" s="7"/>
      <c r="AC46" s="746">
        <f t="shared" ref="AC46" si="8">AVERAGE(X46,V46,T46,R46,Z46)</f>
        <v>2758901</v>
      </c>
    </row>
    <row r="47" spans="1:31" x14ac:dyDescent="0.2">
      <c r="A47" s="3"/>
      <c r="B47" s="1044" t="s">
        <v>196</v>
      </c>
      <c r="C47" s="132"/>
      <c r="D47" s="139"/>
      <c r="E47" s="16"/>
      <c r="F47" s="153"/>
      <c r="G47" s="260"/>
      <c r="H47" s="219"/>
      <c r="I47" s="387"/>
      <c r="J47" s="488"/>
      <c r="K47" s="260"/>
      <c r="L47" s="488"/>
      <c r="M47" s="260"/>
      <c r="N47" s="219"/>
      <c r="O47" s="387"/>
      <c r="P47" s="219"/>
      <c r="Q47" s="387"/>
      <c r="R47" s="219"/>
      <c r="S47" s="387"/>
      <c r="T47" s="219"/>
      <c r="U47" s="387"/>
      <c r="V47" s="219"/>
      <c r="W47" s="387"/>
      <c r="X47" s="219"/>
      <c r="Y47" s="387"/>
      <c r="Z47" s="1353"/>
      <c r="AA47" s="657"/>
      <c r="AB47" s="24"/>
      <c r="AC47" s="746"/>
    </row>
    <row r="48" spans="1:31" ht="36" x14ac:dyDescent="0.2">
      <c r="A48" s="3"/>
      <c r="B48" s="83" t="s">
        <v>197</v>
      </c>
      <c r="C48" s="134"/>
      <c r="D48" s="180">
        <v>72853</v>
      </c>
      <c r="E48" s="7"/>
      <c r="F48" s="187">
        <v>76520</v>
      </c>
      <c r="G48" s="261"/>
      <c r="H48" s="433">
        <v>77281</v>
      </c>
      <c r="I48" s="231"/>
      <c r="J48" s="313">
        <v>79070</v>
      </c>
      <c r="K48" s="261"/>
      <c r="L48" s="313">
        <v>81267</v>
      </c>
      <c r="M48" s="261"/>
      <c r="N48" s="433">
        <v>65853</v>
      </c>
      <c r="O48" s="231"/>
      <c r="P48" s="433">
        <v>66344</v>
      </c>
      <c r="Q48" s="231"/>
      <c r="R48" s="433">
        <v>73384</v>
      </c>
      <c r="S48" s="231"/>
      <c r="T48" s="433">
        <v>94184</v>
      </c>
      <c r="U48" s="231"/>
      <c r="V48" s="433">
        <v>94076</v>
      </c>
      <c r="W48" s="231"/>
      <c r="X48" s="433">
        <v>447276</v>
      </c>
      <c r="Y48" s="231"/>
      <c r="Z48" s="1347">
        <v>585376</v>
      </c>
      <c r="AA48" s="657"/>
      <c r="AB48" s="748"/>
      <c r="AC48" s="746">
        <f t="shared" ref="AC48:AC49" si="9">AVERAGE(X48,V48,T48,R48,Z48)</f>
        <v>258859.2</v>
      </c>
    </row>
    <row r="49" spans="1:29" x14ac:dyDescent="0.2">
      <c r="A49" s="3"/>
      <c r="B49" s="84" t="s">
        <v>60</v>
      </c>
      <c r="C49" s="141"/>
      <c r="D49" s="181">
        <f>SUM(D46:D48)</f>
        <v>2266806</v>
      </c>
      <c r="E49" s="59"/>
      <c r="F49" s="188">
        <f>SUM(F46:F48)</f>
        <v>2369331</v>
      </c>
      <c r="G49" s="264"/>
      <c r="H49" s="434">
        <f>SUM(H46:H48)</f>
        <v>2329841</v>
      </c>
      <c r="I49" s="388"/>
      <c r="J49" s="474">
        <f>SUM(J46:J48)</f>
        <v>2540076</v>
      </c>
      <c r="K49" s="264"/>
      <c r="L49" s="474">
        <f>SUM(L46:L48)</f>
        <v>2591735</v>
      </c>
      <c r="M49" s="264"/>
      <c r="N49" s="434">
        <f>SUM(N46:N48)</f>
        <v>2629561</v>
      </c>
      <c r="O49" s="388"/>
      <c r="P49" s="434">
        <f>SUM(P46:P48)</f>
        <v>2588939</v>
      </c>
      <c r="Q49" s="388"/>
      <c r="R49" s="434">
        <f>SUM(R46:R48)</f>
        <v>2617582</v>
      </c>
      <c r="S49" s="388"/>
      <c r="T49" s="434">
        <f>SUM(T46:T48)</f>
        <v>2730539</v>
      </c>
      <c r="U49" s="388"/>
      <c r="V49" s="434">
        <f>SUM(V46:V48)</f>
        <v>2889848</v>
      </c>
      <c r="W49" s="388"/>
      <c r="X49" s="434">
        <f>SUM(X46:X48)</f>
        <v>3298763</v>
      </c>
      <c r="Y49" s="388"/>
      <c r="Z49" s="1348">
        <f>SUM(Z46:Z48)</f>
        <v>3552069</v>
      </c>
      <c r="AA49" s="657"/>
      <c r="AB49" s="748"/>
      <c r="AC49" s="804">
        <f t="shared" si="9"/>
        <v>3017760.2</v>
      </c>
    </row>
    <row r="50" spans="1:29" x14ac:dyDescent="0.2">
      <c r="A50" s="3"/>
      <c r="B50" s="85" t="s">
        <v>61</v>
      </c>
      <c r="C50" s="134"/>
      <c r="D50" s="180"/>
      <c r="E50" s="7"/>
      <c r="F50" s="187"/>
      <c r="G50" s="261"/>
      <c r="H50" s="433"/>
      <c r="I50" s="231"/>
      <c r="J50" s="313"/>
      <c r="K50" s="261"/>
      <c r="L50" s="313"/>
      <c r="M50" s="261"/>
      <c r="N50" s="433"/>
      <c r="O50" s="231"/>
      <c r="P50" s="433"/>
      <c r="Q50" s="231"/>
      <c r="R50" s="433"/>
      <c r="S50" s="231"/>
      <c r="T50" s="433"/>
      <c r="U50" s="231"/>
      <c r="V50" s="433"/>
      <c r="W50" s="231"/>
      <c r="X50" s="433"/>
      <c r="Y50" s="231"/>
      <c r="Z50" s="1347"/>
      <c r="AA50" s="657"/>
      <c r="AB50" s="7"/>
      <c r="AC50" s="746"/>
    </row>
    <row r="51" spans="1:29" x14ac:dyDescent="0.2">
      <c r="A51" s="3"/>
      <c r="B51" s="82" t="s">
        <v>59</v>
      </c>
      <c r="C51" s="134"/>
      <c r="D51" s="180">
        <v>4867962</v>
      </c>
      <c r="E51" s="7"/>
      <c r="F51" s="187">
        <v>5138770</v>
      </c>
      <c r="G51" s="261"/>
      <c r="H51" s="433">
        <v>5307862</v>
      </c>
      <c r="I51" s="231"/>
      <c r="J51" s="313">
        <v>5757673</v>
      </c>
      <c r="K51" s="261"/>
      <c r="L51" s="313">
        <v>5971506</v>
      </c>
      <c r="M51" s="261"/>
      <c r="N51" s="433">
        <v>6099535</v>
      </c>
      <c r="O51" s="231"/>
      <c r="P51" s="433">
        <v>5647235</v>
      </c>
      <c r="Q51" s="231"/>
      <c r="R51" s="433">
        <v>5742253</v>
      </c>
      <c r="S51" s="231"/>
      <c r="T51" s="433">
        <v>5937829</v>
      </c>
      <c r="U51" s="231"/>
      <c r="V51" s="433">
        <v>6115075</v>
      </c>
      <c r="W51" s="231"/>
      <c r="X51" s="433">
        <v>6205429</v>
      </c>
      <c r="Y51" s="231"/>
      <c r="Z51" s="1347">
        <v>6391630</v>
      </c>
      <c r="AA51" s="657"/>
      <c r="AB51" s="748"/>
      <c r="AC51" s="746">
        <f t="shared" ref="AC51:AC55" si="10">AVERAGE(X51,V51,T51,R51,Z51)</f>
        <v>6078443.2000000002</v>
      </c>
    </row>
    <row r="52" spans="1:29" x14ac:dyDescent="0.2">
      <c r="A52" s="3"/>
      <c r="B52" s="1044" t="s">
        <v>196</v>
      </c>
      <c r="C52" s="134"/>
      <c r="D52" s="180"/>
      <c r="E52" s="7"/>
      <c r="F52" s="187"/>
      <c r="G52" s="261"/>
      <c r="H52" s="1180"/>
      <c r="I52" s="231"/>
      <c r="J52" s="313">
        <v>28539</v>
      </c>
      <c r="K52" s="261"/>
      <c r="L52" s="313">
        <v>28729</v>
      </c>
      <c r="M52" s="261"/>
      <c r="N52" s="433">
        <v>28883</v>
      </c>
      <c r="O52" s="231"/>
      <c r="P52" s="433">
        <v>28897</v>
      </c>
      <c r="Q52" s="231"/>
      <c r="R52" s="433">
        <v>129020</v>
      </c>
      <c r="S52" s="231"/>
      <c r="T52" s="433">
        <v>129822</v>
      </c>
      <c r="U52" s="231"/>
      <c r="V52" s="433">
        <v>130136</v>
      </c>
      <c r="W52" s="231"/>
      <c r="X52" s="433">
        <v>130408</v>
      </c>
      <c r="Y52" s="231"/>
      <c r="Z52" s="1347">
        <v>130896</v>
      </c>
      <c r="AA52" s="657"/>
      <c r="AB52" s="748"/>
      <c r="AC52" s="746">
        <f t="shared" si="10"/>
        <v>130056.4</v>
      </c>
    </row>
    <row r="53" spans="1:29" ht="36" x14ac:dyDescent="0.2">
      <c r="A53" s="3"/>
      <c r="B53" s="83" t="s">
        <v>197</v>
      </c>
      <c r="C53" s="134"/>
      <c r="D53" s="180">
        <v>4094200</v>
      </c>
      <c r="E53" s="7"/>
      <c r="F53" s="187">
        <v>2085982</v>
      </c>
      <c r="G53" s="261"/>
      <c r="H53" s="433">
        <v>2104958</v>
      </c>
      <c r="I53" s="231"/>
      <c r="J53" s="313">
        <v>2281053</v>
      </c>
      <c r="K53" s="261"/>
      <c r="L53" s="313">
        <v>2330254</v>
      </c>
      <c r="M53" s="261"/>
      <c r="N53" s="433">
        <v>1521750</v>
      </c>
      <c r="O53" s="231"/>
      <c r="P53" s="433">
        <v>1490069</v>
      </c>
      <c r="Q53" s="231"/>
      <c r="R53" s="433">
        <v>1579677</v>
      </c>
      <c r="S53" s="231"/>
      <c r="T53" s="433">
        <v>1599696</v>
      </c>
      <c r="U53" s="231"/>
      <c r="V53" s="433">
        <v>1645343</v>
      </c>
      <c r="W53" s="231"/>
      <c r="X53" s="433">
        <v>2380945</v>
      </c>
      <c r="Y53" s="231"/>
      <c r="Z53" s="1347">
        <v>2230185</v>
      </c>
      <c r="AA53" s="657"/>
      <c r="AB53" s="748"/>
      <c r="AC53" s="746">
        <f t="shared" si="10"/>
        <v>1887169.2</v>
      </c>
    </row>
    <row r="54" spans="1:29" x14ac:dyDescent="0.2">
      <c r="A54" s="3"/>
      <c r="B54" s="84" t="s">
        <v>62</v>
      </c>
      <c r="C54" s="141"/>
      <c r="D54" s="181">
        <f>SUM(D51:D53)</f>
        <v>8962162</v>
      </c>
      <c r="E54" s="59"/>
      <c r="F54" s="188">
        <f>SUM(F51:F53)</f>
        <v>7224752</v>
      </c>
      <c r="G54" s="264"/>
      <c r="H54" s="434">
        <f>SUM(H51:H53)</f>
        <v>7412820</v>
      </c>
      <c r="I54" s="388"/>
      <c r="J54" s="474">
        <f>SUM(J51:J53)</f>
        <v>8067265</v>
      </c>
      <c r="K54" s="264"/>
      <c r="L54" s="474">
        <f>SUM(L51:L53)</f>
        <v>8330489</v>
      </c>
      <c r="M54" s="264"/>
      <c r="N54" s="434">
        <f>SUM(N51:N53)</f>
        <v>7650168</v>
      </c>
      <c r="O54" s="388"/>
      <c r="P54" s="434">
        <f>SUM(P51:P53)</f>
        <v>7166201</v>
      </c>
      <c r="Q54" s="388"/>
      <c r="R54" s="434">
        <f>SUM(R51:R53)</f>
        <v>7450950</v>
      </c>
      <c r="S54" s="388"/>
      <c r="T54" s="434">
        <f>SUM(T51:T53)</f>
        <v>7667347</v>
      </c>
      <c r="U54" s="388"/>
      <c r="V54" s="434">
        <f>SUM(V51:V53)</f>
        <v>7890554</v>
      </c>
      <c r="W54" s="388"/>
      <c r="X54" s="434">
        <f>SUM(X51:X53)</f>
        <v>8716782</v>
      </c>
      <c r="Y54" s="388"/>
      <c r="Z54" s="1348">
        <f>SUM(Z51:Z53)</f>
        <v>8752711</v>
      </c>
      <c r="AA54" s="657"/>
      <c r="AB54" s="318"/>
      <c r="AC54" s="804">
        <f t="shared" si="10"/>
        <v>8095668.7999999998</v>
      </c>
    </row>
    <row r="55" spans="1:29" ht="13.5" thickBot="1" x14ac:dyDescent="0.25">
      <c r="A55" s="3"/>
      <c r="B55" s="86" t="s">
        <v>63</v>
      </c>
      <c r="C55" s="134"/>
      <c r="D55" s="181">
        <f>SUM(D49,D54)</f>
        <v>11228968</v>
      </c>
      <c r="E55" s="7"/>
      <c r="F55" s="188">
        <f>SUM(F49,F54)</f>
        <v>9594083</v>
      </c>
      <c r="G55" s="261"/>
      <c r="H55" s="434">
        <f>SUM(H49,H54)</f>
        <v>9742661</v>
      </c>
      <c r="I55" s="231"/>
      <c r="J55" s="474">
        <f>SUM(J49,J54)</f>
        <v>10607341</v>
      </c>
      <c r="K55" s="261"/>
      <c r="L55" s="474">
        <f>SUM(L49,L54)</f>
        <v>10922224</v>
      </c>
      <c r="M55" s="261"/>
      <c r="N55" s="434">
        <f>SUM(N49,N54)</f>
        <v>10279729</v>
      </c>
      <c r="O55" s="231"/>
      <c r="P55" s="434">
        <f>SUM(P49,P54)</f>
        <v>9755140</v>
      </c>
      <c r="Q55" s="231"/>
      <c r="R55" s="434">
        <f>SUM(R49,R54)</f>
        <v>10068532</v>
      </c>
      <c r="S55" s="231"/>
      <c r="T55" s="434">
        <f>SUM(T49,T54)</f>
        <v>10397886</v>
      </c>
      <c r="U55" s="231"/>
      <c r="V55" s="434">
        <f>SUM(V49,V54)</f>
        <v>10780402</v>
      </c>
      <c r="W55" s="231"/>
      <c r="X55" s="1208">
        <f>SUM(X49,X54)</f>
        <v>12015545</v>
      </c>
      <c r="Y55" s="231"/>
      <c r="Z55" s="1348">
        <f>SUM(Z49,Z54)</f>
        <v>12304780</v>
      </c>
      <c r="AA55" s="657"/>
      <c r="AB55" s="849"/>
      <c r="AC55" s="853">
        <f t="shared" si="10"/>
        <v>11113429</v>
      </c>
    </row>
    <row r="56" spans="1:29" ht="12" x14ac:dyDescent="0.2">
      <c r="B56" s="87" t="s">
        <v>206</v>
      </c>
      <c r="C56" s="142"/>
      <c r="D56" s="143"/>
      <c r="E56" s="54"/>
      <c r="F56" s="54"/>
      <c r="G56" s="265"/>
      <c r="H56" s="435"/>
      <c r="I56" s="138"/>
      <c r="J56" s="138"/>
      <c r="K56" s="265"/>
      <c r="L56" s="138"/>
      <c r="M56" s="265"/>
      <c r="N56" s="435"/>
      <c r="O56" s="138"/>
      <c r="P56" s="435"/>
      <c r="Q56" s="138"/>
      <c r="R56" s="435"/>
      <c r="S56" s="138"/>
      <c r="T56" s="435"/>
      <c r="U56" s="138"/>
      <c r="V56" s="435"/>
      <c r="W56" s="138"/>
      <c r="X56" s="435"/>
      <c r="Y56" s="138"/>
      <c r="Z56" s="236"/>
      <c r="AA56" s="657"/>
      <c r="AB56" s="318"/>
      <c r="AC56" s="747"/>
    </row>
    <row r="57" spans="1:29" ht="11.45" customHeight="1" x14ac:dyDescent="0.2">
      <c r="B57" s="82" t="s">
        <v>14</v>
      </c>
      <c r="C57" s="149"/>
      <c r="D57" s="182">
        <f>2180751+89025</f>
        <v>2269776</v>
      </c>
      <c r="E57" s="7"/>
      <c r="F57" s="328">
        <f>2440992</f>
        <v>2440992</v>
      </c>
      <c r="G57" s="261"/>
      <c r="H57" s="546">
        <v>2357599</v>
      </c>
      <c r="I57" s="231"/>
      <c r="J57" s="511">
        <v>2483280.14</v>
      </c>
      <c r="K57" s="261"/>
      <c r="L57" s="690">
        <v>2587830</v>
      </c>
      <c r="M57" s="261"/>
      <c r="N57" s="1010">
        <v>2471554</v>
      </c>
      <c r="O57" s="231"/>
      <c r="P57" s="1248">
        <v>2544427</v>
      </c>
      <c r="Q57" s="327"/>
      <c r="R57" s="1248">
        <v>2495272</v>
      </c>
      <c r="S57" s="327"/>
      <c r="T57" s="1248">
        <v>2655566</v>
      </c>
      <c r="U57" s="327"/>
      <c r="V57" s="1248">
        <v>3016083</v>
      </c>
      <c r="W57" s="327"/>
      <c r="X57" s="1248">
        <v>3267034.76</v>
      </c>
      <c r="Y57" s="327"/>
      <c r="Z57" s="1330"/>
      <c r="AA57" s="657"/>
      <c r="AB57" s="748"/>
      <c r="AC57" s="746">
        <f>AVERAGE(X57,V57,T57,R57,P57)</f>
        <v>2795676.5520000001</v>
      </c>
    </row>
    <row r="58" spans="1:29" ht="11.45" customHeight="1" x14ac:dyDescent="0.2">
      <c r="B58" s="310" t="s">
        <v>15</v>
      </c>
      <c r="C58" s="147"/>
      <c r="D58" s="183">
        <f>3421838+866824+1272521+260163</f>
        <v>5821346</v>
      </c>
      <c r="E58" s="13"/>
      <c r="F58" s="386">
        <f>4358372+1478285</f>
        <v>5836657</v>
      </c>
      <c r="G58" s="296"/>
      <c r="H58" s="503">
        <v>5724881</v>
      </c>
      <c r="I58" s="421"/>
      <c r="J58" s="328">
        <f>1589069+4618564</f>
        <v>6207633</v>
      </c>
      <c r="K58" s="296"/>
      <c r="L58" s="328">
        <f>20106+23524+130978+179442+645349+3994915+72103+1451562+65634</f>
        <v>6583613</v>
      </c>
      <c r="M58" s="296"/>
      <c r="N58" s="1117">
        <f>0+4575466+1434365</f>
        <v>6009831</v>
      </c>
      <c r="O58" s="421"/>
      <c r="P58" s="1267">
        <f>4289409+145370+1561783+5000+12529</f>
        <v>6014091</v>
      </c>
      <c r="Q58" s="327"/>
      <c r="R58" s="1267">
        <f>75844.51+4544778.65+1553870.06+32610.4</f>
        <v>6207103.620000001</v>
      </c>
      <c r="S58" s="327"/>
      <c r="T58" s="1267">
        <f>218671.26+4563007.42+8000+1681242.44+11740.19</f>
        <v>6482661.3099999996</v>
      </c>
      <c r="U58" s="327"/>
      <c r="V58" s="1267">
        <v>7148223</v>
      </c>
      <c r="W58" s="327"/>
      <c r="X58" s="1267">
        <v>6565320.6100000003</v>
      </c>
      <c r="Y58" s="327"/>
      <c r="Z58" s="1335"/>
      <c r="AA58" s="657"/>
      <c r="AB58" s="318"/>
      <c r="AC58" s="746">
        <f>AVERAGE(X58,V58,T58,R58,P58)</f>
        <v>6483479.9079999998</v>
      </c>
    </row>
    <row r="59" spans="1:29" thickBot="1" x14ac:dyDescent="0.25">
      <c r="B59" s="311" t="s">
        <v>32</v>
      </c>
      <c r="C59" s="144"/>
      <c r="D59" s="157"/>
      <c r="E59" s="19"/>
      <c r="F59" s="306"/>
      <c r="G59" s="266"/>
      <c r="H59" s="436"/>
      <c r="I59" s="422"/>
      <c r="J59" s="332"/>
      <c r="K59" s="266"/>
      <c r="L59" s="332"/>
      <c r="M59" s="266"/>
      <c r="N59" s="436"/>
      <c r="O59" s="422"/>
      <c r="P59" s="436"/>
      <c r="Q59" s="422"/>
      <c r="R59" s="436"/>
      <c r="S59" s="422"/>
      <c r="T59" s="436"/>
      <c r="U59" s="422"/>
      <c r="V59" s="436"/>
      <c r="W59" s="422"/>
      <c r="X59" s="436"/>
      <c r="Y59" s="422"/>
      <c r="Z59" s="237"/>
      <c r="AA59" s="657"/>
      <c r="AB59" s="849"/>
      <c r="AC59" s="850"/>
    </row>
    <row r="60" spans="1:29" ht="12" x14ac:dyDescent="0.2">
      <c r="B60" s="312"/>
      <c r="C60" s="145" t="s">
        <v>97</v>
      </c>
      <c r="D60" s="146" t="s">
        <v>104</v>
      </c>
      <c r="E60" s="53" t="s">
        <v>97</v>
      </c>
      <c r="F60" s="155" t="s">
        <v>104</v>
      </c>
      <c r="G60" s="267" t="s">
        <v>97</v>
      </c>
      <c r="H60" s="437" t="s">
        <v>104</v>
      </c>
      <c r="I60" s="423" t="s">
        <v>97</v>
      </c>
      <c r="J60" s="475" t="s">
        <v>104</v>
      </c>
      <c r="K60" s="267" t="s">
        <v>97</v>
      </c>
      <c r="L60" s="475" t="s">
        <v>104</v>
      </c>
      <c r="M60" s="267" t="s">
        <v>97</v>
      </c>
      <c r="N60" s="437" t="s">
        <v>104</v>
      </c>
      <c r="O60" s="423" t="s">
        <v>97</v>
      </c>
      <c r="P60" s="437" t="s">
        <v>104</v>
      </c>
      <c r="Q60" s="423" t="s">
        <v>97</v>
      </c>
      <c r="R60" s="437" t="s">
        <v>104</v>
      </c>
      <c r="S60" s="423" t="s">
        <v>97</v>
      </c>
      <c r="T60" s="437" t="s">
        <v>104</v>
      </c>
      <c r="U60" s="423" t="s">
        <v>97</v>
      </c>
      <c r="V60" s="437" t="s">
        <v>104</v>
      </c>
      <c r="W60" s="423" t="s">
        <v>97</v>
      </c>
      <c r="X60" s="437" t="s">
        <v>104</v>
      </c>
      <c r="Y60" s="423" t="s">
        <v>97</v>
      </c>
      <c r="Z60" s="250" t="s">
        <v>104</v>
      </c>
      <c r="AA60" s="657"/>
      <c r="AB60" s="749" t="s">
        <v>97</v>
      </c>
      <c r="AC60" s="250" t="s">
        <v>104</v>
      </c>
    </row>
    <row r="61" spans="1:29" ht="12" x14ac:dyDescent="0.2">
      <c r="B61" s="90" t="s">
        <v>53</v>
      </c>
      <c r="C61" s="764">
        <v>35</v>
      </c>
      <c r="D61" s="545">
        <v>1655291.75</v>
      </c>
      <c r="E61" s="64">
        <v>42</v>
      </c>
      <c r="F61" s="517">
        <v>2847528.93</v>
      </c>
      <c r="G61" s="768">
        <v>34</v>
      </c>
      <c r="H61" s="454">
        <v>2824491</v>
      </c>
      <c r="I61" s="771">
        <v>66</v>
      </c>
      <c r="J61" s="636">
        <v>18126757.030000001</v>
      </c>
      <c r="K61" s="771">
        <v>57</v>
      </c>
      <c r="L61" s="513">
        <v>3018291</v>
      </c>
      <c r="M61" s="1093">
        <v>40</v>
      </c>
      <c r="N61" s="503">
        <v>1540915</v>
      </c>
      <c r="O61" s="1093">
        <v>30</v>
      </c>
      <c r="P61" s="503">
        <v>1439671</v>
      </c>
      <c r="Q61" s="1093">
        <v>45</v>
      </c>
      <c r="R61" s="503">
        <v>9534145</v>
      </c>
      <c r="S61" s="1093">
        <v>39</v>
      </c>
      <c r="T61" s="503">
        <v>2291365</v>
      </c>
      <c r="U61" s="1093">
        <f>62</f>
        <v>62</v>
      </c>
      <c r="V61" s="503">
        <v>4622535</v>
      </c>
      <c r="W61" s="1093">
        <v>61</v>
      </c>
      <c r="X61" s="503">
        <v>3455132</v>
      </c>
      <c r="Y61" s="992"/>
      <c r="Z61" s="385"/>
      <c r="AA61" s="657"/>
      <c r="AB61" s="855">
        <f t="shared" ref="AB61" si="11">AVERAGE(W61,U61,S61,Q61,Y61)</f>
        <v>51.75</v>
      </c>
      <c r="AC61" s="854">
        <f t="shared" ref="AC61" si="12">AVERAGE(X61,V61,T61,R61,Z61)</f>
        <v>4975794.25</v>
      </c>
    </row>
    <row r="62" spans="1:29" ht="12" x14ac:dyDescent="0.2">
      <c r="B62" s="91"/>
      <c r="C62" s="765"/>
      <c r="D62" s="148"/>
      <c r="E62" s="767"/>
      <c r="F62" s="263"/>
      <c r="G62" s="769"/>
      <c r="H62" s="450"/>
      <c r="I62" s="772"/>
      <c r="J62" s="450"/>
      <c r="K62" s="772"/>
      <c r="L62" s="484"/>
      <c r="M62" s="1095"/>
      <c r="N62" s="644"/>
      <c r="O62" s="1095"/>
      <c r="P62" s="644"/>
      <c r="Q62" s="1095"/>
      <c r="R62" s="644"/>
      <c r="S62" s="1095"/>
      <c r="T62" s="644"/>
      <c r="U62" s="1095"/>
      <c r="V62" s="644"/>
      <c r="W62" s="1095"/>
      <c r="X62" s="644"/>
      <c r="Y62" s="1029"/>
      <c r="Z62" s="251"/>
      <c r="AA62" s="657"/>
      <c r="AB62" s="855"/>
      <c r="AC62" s="854"/>
    </row>
    <row r="63" spans="1:29" thickBot="1" x14ac:dyDescent="0.25">
      <c r="B63" s="302" t="s">
        <v>52</v>
      </c>
      <c r="C63" s="766">
        <v>27</v>
      </c>
      <c r="D63" s="551">
        <v>1300851</v>
      </c>
      <c r="E63" s="751">
        <v>25</v>
      </c>
      <c r="F63" s="537">
        <v>1568014</v>
      </c>
      <c r="G63" s="770">
        <v>27</v>
      </c>
      <c r="H63" s="604">
        <v>1707054</v>
      </c>
      <c r="I63" s="773">
        <v>74</v>
      </c>
      <c r="J63" s="604">
        <v>2988255</v>
      </c>
      <c r="K63" s="773">
        <v>50</v>
      </c>
      <c r="L63" s="575">
        <v>2855594</v>
      </c>
      <c r="M63" s="770">
        <v>40</v>
      </c>
      <c r="N63" s="632">
        <v>1882156</v>
      </c>
      <c r="O63" s="770">
        <v>29</v>
      </c>
      <c r="P63" s="632">
        <v>1327458</v>
      </c>
      <c r="Q63" s="770">
        <v>37</v>
      </c>
      <c r="R63" s="632">
        <v>2425820</v>
      </c>
      <c r="S63" s="770">
        <v>27</v>
      </c>
      <c r="T63" s="632">
        <v>1463992</v>
      </c>
      <c r="U63" s="770">
        <f>35</f>
        <v>35</v>
      </c>
      <c r="V63" s="632">
        <v>3264082</v>
      </c>
      <c r="W63" s="770">
        <v>48</v>
      </c>
      <c r="X63" s="632">
        <v>4160941</v>
      </c>
      <c r="Y63" s="993"/>
      <c r="Z63" s="368"/>
      <c r="AA63" s="657"/>
      <c r="AB63" s="1016">
        <f t="shared" ref="AB63" si="13">AVERAGE(W63,U63,S63,Q63,Y63)</f>
        <v>36.75</v>
      </c>
      <c r="AC63" s="854">
        <f t="shared" ref="AC63" si="14">AVERAGE(X63,V63,T63,R63,Z63)</f>
        <v>2828708.75</v>
      </c>
    </row>
    <row r="64" spans="1:29" ht="12" x14ac:dyDescent="0.2">
      <c r="B64" s="87" t="s">
        <v>68</v>
      </c>
      <c r="C64" s="185"/>
      <c r="D64" s="193"/>
      <c r="E64" s="94"/>
      <c r="F64" s="293"/>
      <c r="G64" s="297"/>
      <c r="H64" s="439"/>
      <c r="I64" s="424"/>
      <c r="J64" s="476"/>
      <c r="K64" s="297"/>
      <c r="L64" s="476"/>
      <c r="M64" s="297"/>
      <c r="N64" s="439"/>
      <c r="O64" s="424"/>
      <c r="P64" s="439"/>
      <c r="Q64" s="424"/>
      <c r="R64" s="439"/>
      <c r="S64" s="424"/>
      <c r="T64" s="439"/>
      <c r="U64" s="424"/>
      <c r="V64" s="439"/>
      <c r="W64" s="424"/>
      <c r="X64" s="439"/>
      <c r="Y64" s="424"/>
      <c r="Z64" s="238"/>
      <c r="AA64" s="657"/>
      <c r="AB64" s="851"/>
      <c r="AC64" s="852"/>
    </row>
    <row r="65" spans="1:29" ht="12" x14ac:dyDescent="0.2">
      <c r="B65" s="303" t="s">
        <v>69</v>
      </c>
      <c r="C65" s="186"/>
      <c r="D65" s="194"/>
      <c r="E65" s="25"/>
      <c r="F65" s="26"/>
      <c r="G65" s="269"/>
      <c r="H65" s="547"/>
      <c r="I65" s="239"/>
      <c r="J65" s="229"/>
      <c r="K65" s="269"/>
      <c r="L65" s="229"/>
      <c r="M65" s="269"/>
      <c r="N65" s="440"/>
      <c r="O65" s="239"/>
      <c r="P65" s="440"/>
      <c r="Q65" s="239"/>
      <c r="R65" s="440"/>
      <c r="S65" s="239"/>
      <c r="T65" s="440"/>
      <c r="U65" s="239"/>
      <c r="V65" s="440"/>
      <c r="W65" s="239"/>
      <c r="X65" s="440"/>
      <c r="Y65" s="239"/>
      <c r="Z65" s="240"/>
      <c r="AA65" s="657"/>
      <c r="AC65" s="652"/>
    </row>
    <row r="66" spans="1:29" ht="12" x14ac:dyDescent="0.2">
      <c r="B66" s="304" t="s">
        <v>70</v>
      </c>
      <c r="C66" s="149"/>
      <c r="D66" s="158">
        <f>34277.38+1509928.5</f>
        <v>1544205.88</v>
      </c>
      <c r="E66" s="17"/>
      <c r="F66" s="532">
        <f>85680.38+493092.15</f>
        <v>578772.53</v>
      </c>
      <c r="G66" s="268"/>
      <c r="H66" s="548">
        <f>474174.07+379178.86</f>
        <v>853352.92999999993</v>
      </c>
      <c r="I66" s="425"/>
      <c r="J66" s="533">
        <f>136205.36+755149.17</f>
        <v>891354.53</v>
      </c>
      <c r="K66" s="268"/>
      <c r="L66" s="535">
        <f>319337.44+1564556.87</f>
        <v>1883894.31</v>
      </c>
      <c r="M66" s="268"/>
      <c r="N66" s="1024">
        <f>148727+902875</f>
        <v>1051602</v>
      </c>
      <c r="O66" s="425"/>
      <c r="P66" s="1024">
        <f>257910+1176944</f>
        <v>1434854</v>
      </c>
      <c r="Q66" s="425"/>
      <c r="R66" s="1024">
        <f>232612.17+701638.87</f>
        <v>934251.04</v>
      </c>
      <c r="S66" s="425"/>
      <c r="T66" s="1024">
        <f>248130+1783553.6</f>
        <v>2031683.6</v>
      </c>
      <c r="U66" s="425"/>
      <c r="V66" s="1024">
        <f>1225807.19+90721.22</f>
        <v>1316528.4099999999</v>
      </c>
      <c r="W66" s="425"/>
      <c r="X66" s="1024">
        <f>161739.91+928721.42</f>
        <v>1090461.33</v>
      </c>
      <c r="Y66" s="425"/>
      <c r="Z66" s="1332"/>
      <c r="AA66" s="657"/>
      <c r="AB66" s="318"/>
      <c r="AC66" s="750">
        <f t="shared" ref="AC66:AC67" si="15">AVERAGE(X66,V66,T66,R66,P66)</f>
        <v>1361555.676</v>
      </c>
    </row>
    <row r="67" spans="1:29" thickBot="1" x14ac:dyDescent="0.25">
      <c r="B67" s="305" t="s">
        <v>71</v>
      </c>
      <c r="C67" s="151"/>
      <c r="D67" s="159">
        <v>568220.72</v>
      </c>
      <c r="E67" s="14"/>
      <c r="F67" s="307">
        <v>622841.39</v>
      </c>
      <c r="G67" s="270"/>
      <c r="H67" s="307">
        <v>651242.18000000005</v>
      </c>
      <c r="I67" s="270"/>
      <c r="J67" s="534">
        <v>756169.14</v>
      </c>
      <c r="K67" s="270"/>
      <c r="L67" s="622">
        <v>728614.18</v>
      </c>
      <c r="M67" s="270"/>
      <c r="N67" s="534">
        <v>564664.18999999994</v>
      </c>
      <c r="O67" s="426"/>
      <c r="P67" s="534">
        <v>606666</v>
      </c>
      <c r="Q67" s="426"/>
      <c r="R67" s="534">
        <v>653886.44999999995</v>
      </c>
      <c r="S67" s="426"/>
      <c r="T67" s="534">
        <v>600373.94999999995</v>
      </c>
      <c r="U67" s="426"/>
      <c r="V67" s="534">
        <v>636034.16</v>
      </c>
      <c r="W67" s="426"/>
      <c r="X67" s="534">
        <f>690303.93</f>
        <v>690303.93</v>
      </c>
      <c r="Y67" s="426"/>
      <c r="Z67" s="1336"/>
      <c r="AB67" s="659"/>
      <c r="AC67" s="750">
        <f t="shared" si="15"/>
        <v>637452.89800000004</v>
      </c>
    </row>
    <row r="68" spans="1:29" ht="14.25" customHeight="1" thickTop="1" x14ac:dyDescent="0.2">
      <c r="B68" s="61"/>
      <c r="C68" s="25"/>
      <c r="D68" s="62"/>
      <c r="E68" s="25"/>
      <c r="F68" s="26"/>
      <c r="G68" s="239"/>
      <c r="H68" s="530"/>
      <c r="I68" s="531"/>
      <c r="J68" s="530"/>
      <c r="K68" s="239"/>
      <c r="L68" s="530"/>
      <c r="M68" s="239"/>
      <c r="N68" s="530"/>
      <c r="O68" s="239"/>
      <c r="P68" s="530"/>
      <c r="Q68" s="239"/>
      <c r="R68" s="530"/>
      <c r="S68" s="623"/>
      <c r="T68" s="530"/>
      <c r="U68" s="623"/>
      <c r="V68" s="530"/>
      <c r="W68" s="623"/>
      <c r="X68" s="530"/>
      <c r="Y68" s="623"/>
      <c r="Z68" s="530"/>
      <c r="AB68" s="66"/>
      <c r="AC68" s="664"/>
    </row>
    <row r="69" spans="1:29" x14ac:dyDescent="0.2">
      <c r="A69" s="3" t="s">
        <v>64</v>
      </c>
      <c r="B69" s="61"/>
      <c r="C69" s="25"/>
      <c r="D69" s="62"/>
      <c r="E69" s="25"/>
      <c r="F69" s="26"/>
      <c r="G69" s="239"/>
      <c r="H69" s="229"/>
      <c r="I69" s="239"/>
      <c r="J69" s="229"/>
      <c r="K69" s="239"/>
      <c r="L69" s="229"/>
      <c r="M69" s="239"/>
      <c r="N69" s="229"/>
      <c r="O69" s="239"/>
      <c r="P69" s="229"/>
      <c r="Q69" s="239"/>
      <c r="R69" s="229"/>
      <c r="S69" s="239"/>
      <c r="T69" s="229"/>
      <c r="U69" s="239"/>
      <c r="V69" s="229"/>
      <c r="W69" s="239"/>
      <c r="X69" s="229"/>
      <c r="Y69" s="239"/>
      <c r="Z69" s="229"/>
    </row>
    <row r="70" spans="1:29" thickBot="1" x14ac:dyDescent="0.25">
      <c r="B70" s="61"/>
      <c r="C70" s="25"/>
      <c r="D70" s="62"/>
      <c r="E70" s="25"/>
      <c r="F70" s="26"/>
      <c r="G70" s="239"/>
      <c r="H70" s="229"/>
      <c r="I70" s="239"/>
      <c r="J70" s="229"/>
      <c r="K70" s="239"/>
      <c r="L70" s="229"/>
      <c r="M70" s="239"/>
      <c r="N70" s="229"/>
      <c r="O70" s="239"/>
      <c r="P70" s="229"/>
      <c r="Q70" s="239"/>
      <c r="R70" s="229"/>
      <c r="S70" s="239"/>
      <c r="T70" s="229"/>
      <c r="U70" s="239"/>
      <c r="V70" s="229"/>
      <c r="W70" s="239"/>
      <c r="X70" s="229"/>
      <c r="Y70" s="239"/>
      <c r="Z70" s="229"/>
      <c r="AB70" s="71"/>
    </row>
    <row r="71" spans="1:29" ht="13.5" thickTop="1" thickBot="1" x14ac:dyDescent="0.25">
      <c r="B71" s="102"/>
      <c r="C71" s="1498" t="s">
        <v>33</v>
      </c>
      <c r="D71" s="1499"/>
      <c r="E71" s="1501" t="s">
        <v>34</v>
      </c>
      <c r="F71" s="1501"/>
      <c r="G71" s="1500" t="s">
        <v>106</v>
      </c>
      <c r="H71" s="1495"/>
      <c r="I71" s="1494" t="s">
        <v>118</v>
      </c>
      <c r="J71" s="1494"/>
      <c r="K71" s="1500" t="s">
        <v>121</v>
      </c>
      <c r="L71" s="1494"/>
      <c r="M71" s="1500" t="s">
        <v>127</v>
      </c>
      <c r="N71" s="1495"/>
      <c r="O71" s="1500" t="s">
        <v>174</v>
      </c>
      <c r="P71" s="1495"/>
      <c r="Q71" s="1494" t="s">
        <v>193</v>
      </c>
      <c r="R71" s="1495"/>
      <c r="S71" s="1494" t="s">
        <v>218</v>
      </c>
      <c r="T71" s="1495"/>
      <c r="U71" s="1494" t="s">
        <v>221</v>
      </c>
      <c r="V71" s="1495"/>
      <c r="W71" s="1494" t="s">
        <v>232</v>
      </c>
      <c r="X71" s="1495"/>
      <c r="Y71" s="1494" t="s">
        <v>241</v>
      </c>
      <c r="Z71" s="1508"/>
      <c r="AB71" s="1521" t="s">
        <v>134</v>
      </c>
      <c r="AC71" s="1531"/>
    </row>
    <row r="72" spans="1:29" ht="12" x14ac:dyDescent="0.2">
      <c r="B72" s="103" t="s">
        <v>37</v>
      </c>
      <c r="C72" s="132"/>
      <c r="D72" s="133"/>
      <c r="E72" s="16"/>
      <c r="F72" s="16"/>
      <c r="G72" s="260"/>
      <c r="H72" s="407"/>
      <c r="I72" s="387"/>
      <c r="J72" s="387"/>
      <c r="K72" s="260"/>
      <c r="L72" s="387"/>
      <c r="M72" s="260"/>
      <c r="N72" s="407"/>
      <c r="O72" s="387"/>
      <c r="P72" s="435"/>
      <c r="Q72" s="387"/>
      <c r="R72" s="407"/>
      <c r="S72" s="387"/>
      <c r="T72" s="407"/>
      <c r="U72" s="387"/>
      <c r="V72" s="407"/>
      <c r="W72" s="387"/>
      <c r="X72" s="407"/>
      <c r="Y72" s="387"/>
      <c r="Z72" s="230"/>
      <c r="AA72" s="657"/>
      <c r="AC72" s="652"/>
    </row>
    <row r="73" spans="1:29" ht="12" x14ac:dyDescent="0.2">
      <c r="B73" s="114" t="s">
        <v>38</v>
      </c>
      <c r="C73" s="134"/>
      <c r="D73" s="168"/>
      <c r="E73" s="7"/>
      <c r="F73" s="99"/>
      <c r="G73" s="261"/>
      <c r="H73" s="408"/>
      <c r="I73" s="231"/>
      <c r="J73" s="244"/>
      <c r="K73" s="261"/>
      <c r="L73" s="244"/>
      <c r="M73" s="261"/>
      <c r="N73" s="408"/>
      <c r="O73" s="231"/>
      <c r="P73" s="408"/>
      <c r="Q73" s="231"/>
      <c r="R73" s="408"/>
      <c r="S73" s="231"/>
      <c r="T73" s="408"/>
      <c r="U73" s="231"/>
      <c r="V73" s="408"/>
      <c r="W73" s="231"/>
      <c r="X73" s="408"/>
      <c r="Y73" s="231"/>
      <c r="Z73" s="221"/>
      <c r="AA73" s="657"/>
      <c r="AC73" s="652"/>
    </row>
    <row r="74" spans="1:29" ht="12" x14ac:dyDescent="0.2">
      <c r="B74" s="115" t="s">
        <v>39</v>
      </c>
      <c r="C74" s="134"/>
      <c r="D74" s="168">
        <v>14</v>
      </c>
      <c r="E74" s="7"/>
      <c r="F74" s="99">
        <v>15</v>
      </c>
      <c r="G74" s="261"/>
      <c r="H74" s="408">
        <v>12</v>
      </c>
      <c r="I74" s="231"/>
      <c r="J74" s="244">
        <v>13</v>
      </c>
      <c r="K74" s="261"/>
      <c r="L74" s="244">
        <v>16</v>
      </c>
      <c r="M74" s="261"/>
      <c r="N74" s="408">
        <v>15</v>
      </c>
      <c r="O74" s="231"/>
      <c r="P74" s="408">
        <v>17</v>
      </c>
      <c r="Q74" s="231"/>
      <c r="R74" s="408">
        <v>16</v>
      </c>
      <c r="S74" s="231"/>
      <c r="T74" s="408">
        <v>18</v>
      </c>
      <c r="U74" s="231"/>
      <c r="V74" s="408">
        <v>18</v>
      </c>
      <c r="W74" s="231"/>
      <c r="X74" s="408">
        <f>19+2</f>
        <v>21</v>
      </c>
      <c r="Y74" s="231"/>
      <c r="Z74" s="221">
        <v>19</v>
      </c>
      <c r="AA74" s="657"/>
      <c r="AC74" s="658">
        <f t="shared" ref="AC74:AC75" si="16">AVERAGE(X74,V74,T74,R74,Z74)</f>
        <v>18.399999999999999</v>
      </c>
    </row>
    <row r="75" spans="1:29" ht="12" x14ac:dyDescent="0.2">
      <c r="B75" s="115" t="s">
        <v>161</v>
      </c>
      <c r="C75" s="134"/>
      <c r="D75" s="168">
        <v>0</v>
      </c>
      <c r="E75" s="7"/>
      <c r="F75" s="99">
        <v>0</v>
      </c>
      <c r="G75" s="261"/>
      <c r="H75" s="408">
        <v>1</v>
      </c>
      <c r="I75" s="231"/>
      <c r="J75" s="244">
        <v>1</v>
      </c>
      <c r="K75" s="261"/>
      <c r="L75" s="244">
        <v>1</v>
      </c>
      <c r="M75" s="261"/>
      <c r="N75" s="408">
        <v>1</v>
      </c>
      <c r="O75" s="231"/>
      <c r="P75" s="408">
        <v>1</v>
      </c>
      <c r="Q75" s="231"/>
      <c r="R75" s="408">
        <v>0</v>
      </c>
      <c r="S75" s="231"/>
      <c r="T75" s="408">
        <v>0</v>
      </c>
      <c r="U75" s="231"/>
      <c r="V75" s="408">
        <v>1</v>
      </c>
      <c r="W75" s="231"/>
      <c r="X75" s="408">
        <v>1</v>
      </c>
      <c r="Y75" s="231"/>
      <c r="Z75" s="221">
        <v>1</v>
      </c>
      <c r="AA75" s="657"/>
      <c r="AB75" s="663"/>
      <c r="AC75" s="658">
        <f t="shared" si="16"/>
        <v>0.6</v>
      </c>
    </row>
    <row r="76" spans="1:29" ht="12" x14ac:dyDescent="0.2">
      <c r="B76" s="114" t="s">
        <v>40</v>
      </c>
      <c r="C76" s="134"/>
      <c r="D76" s="136"/>
      <c r="E76" s="7"/>
      <c r="F76" s="12"/>
      <c r="G76" s="261"/>
      <c r="H76" s="217"/>
      <c r="I76" s="231"/>
      <c r="J76" s="105"/>
      <c r="K76" s="261"/>
      <c r="L76" s="105"/>
      <c r="M76" s="261"/>
      <c r="N76" s="217"/>
      <c r="O76" s="231"/>
      <c r="P76" s="217"/>
      <c r="Q76" s="231"/>
      <c r="R76" s="217"/>
      <c r="S76" s="231"/>
      <c r="T76" s="217"/>
      <c r="U76" s="231"/>
      <c r="V76" s="217"/>
      <c r="W76" s="231"/>
      <c r="X76" s="217"/>
      <c r="Y76" s="231"/>
      <c r="Z76" s="232"/>
      <c r="AA76" s="657"/>
      <c r="AB76" s="663"/>
      <c r="AC76" s="658"/>
    </row>
    <row r="77" spans="1:29" ht="12" x14ac:dyDescent="0.2">
      <c r="B77" s="115" t="s">
        <v>39</v>
      </c>
      <c r="C77" s="134"/>
      <c r="D77" s="136">
        <v>28</v>
      </c>
      <c r="E77" s="7"/>
      <c r="F77" s="12">
        <v>28</v>
      </c>
      <c r="G77" s="261"/>
      <c r="H77" s="217">
        <v>28</v>
      </c>
      <c r="I77" s="231"/>
      <c r="J77" s="105">
        <v>28</v>
      </c>
      <c r="K77" s="261"/>
      <c r="L77" s="105">
        <v>26</v>
      </c>
      <c r="M77" s="261"/>
      <c r="N77" s="217">
        <v>26</v>
      </c>
      <c r="O77" s="231"/>
      <c r="P77" s="217">
        <v>26</v>
      </c>
      <c r="Q77" s="231"/>
      <c r="R77" s="217">
        <v>26</v>
      </c>
      <c r="S77" s="231"/>
      <c r="T77" s="217">
        <v>27</v>
      </c>
      <c r="U77" s="231"/>
      <c r="V77" s="217">
        <v>28</v>
      </c>
      <c r="W77" s="231"/>
      <c r="X77" s="217">
        <v>31</v>
      </c>
      <c r="Y77" s="231"/>
      <c r="Z77" s="232">
        <v>29</v>
      </c>
      <c r="AA77" s="657"/>
      <c r="AC77" s="658">
        <f t="shared" ref="AC77:AC79" si="17">AVERAGE(X77,V77,T77,R77,Z77)</f>
        <v>28.2</v>
      </c>
    </row>
    <row r="78" spans="1:29" ht="12" x14ac:dyDescent="0.2">
      <c r="B78" s="116" t="s">
        <v>161</v>
      </c>
      <c r="C78" s="134"/>
      <c r="D78" s="136">
        <v>1</v>
      </c>
      <c r="E78" s="7"/>
      <c r="F78" s="12">
        <v>1</v>
      </c>
      <c r="G78" s="261"/>
      <c r="H78" s="217">
        <v>2</v>
      </c>
      <c r="I78" s="231"/>
      <c r="J78" s="105">
        <v>1</v>
      </c>
      <c r="K78" s="261"/>
      <c r="L78" s="105">
        <v>1</v>
      </c>
      <c r="M78" s="261"/>
      <c r="N78" s="217">
        <v>2</v>
      </c>
      <c r="O78" s="231"/>
      <c r="P78" s="217">
        <v>1</v>
      </c>
      <c r="Q78" s="231"/>
      <c r="R78" s="217">
        <v>1</v>
      </c>
      <c r="S78" s="231"/>
      <c r="T78" s="217">
        <v>0</v>
      </c>
      <c r="U78" s="231"/>
      <c r="V78" s="217">
        <v>1</v>
      </c>
      <c r="W78" s="231"/>
      <c r="X78" s="217">
        <v>0</v>
      </c>
      <c r="Y78" s="231"/>
      <c r="Z78" s="232">
        <v>0</v>
      </c>
      <c r="AA78" s="657"/>
      <c r="AB78" s="663"/>
      <c r="AC78" s="658">
        <f t="shared" si="17"/>
        <v>0.4</v>
      </c>
    </row>
    <row r="79" spans="1:29" thickBot="1" x14ac:dyDescent="0.25">
      <c r="B79" s="107" t="s">
        <v>13</v>
      </c>
      <c r="C79" s="196"/>
      <c r="D79" s="208">
        <f>SUM(D74:D78)</f>
        <v>43</v>
      </c>
      <c r="E79" s="120"/>
      <c r="F79" s="47">
        <f>SUM(F74:F78)</f>
        <v>44</v>
      </c>
      <c r="G79" s="288"/>
      <c r="H79" s="208">
        <f>SUM(H74:H78)</f>
        <v>43</v>
      </c>
      <c r="I79" s="396"/>
      <c r="J79" s="47">
        <f>SUM(J74:J78)</f>
        <v>43</v>
      </c>
      <c r="K79" s="288"/>
      <c r="L79" s="47">
        <f>SUM(L74:L78)</f>
        <v>44</v>
      </c>
      <c r="M79" s="288"/>
      <c r="N79" s="208">
        <f>SUM(N74:N78)</f>
        <v>44</v>
      </c>
      <c r="O79" s="396"/>
      <c r="P79" s="208">
        <f>SUM(P74:P78)</f>
        <v>45</v>
      </c>
      <c r="Q79" s="396"/>
      <c r="R79" s="409">
        <f>SUM(R74:R78)</f>
        <v>43</v>
      </c>
      <c r="S79" s="396"/>
      <c r="T79" s="409">
        <f>SUM(T74:T78)</f>
        <v>45</v>
      </c>
      <c r="U79" s="396"/>
      <c r="V79" s="409">
        <f>SUM(V74:V78)</f>
        <v>48</v>
      </c>
      <c r="W79" s="396"/>
      <c r="X79" s="409">
        <f>SUM(X74:X78)</f>
        <v>53</v>
      </c>
      <c r="Y79" s="396"/>
      <c r="Z79" s="1359">
        <f>SUM(Z74:Z78)</f>
        <v>49</v>
      </c>
      <c r="AB79" s="659"/>
      <c r="AC79" s="786">
        <f t="shared" si="17"/>
        <v>47.6</v>
      </c>
    </row>
    <row r="80" spans="1:29" thickTop="1" x14ac:dyDescent="0.2">
      <c r="B80" s="127" t="s">
        <v>100</v>
      </c>
      <c r="C80" s="567" t="s">
        <v>97</v>
      </c>
      <c r="D80" s="568" t="s">
        <v>98</v>
      </c>
      <c r="E80" s="128" t="s">
        <v>97</v>
      </c>
      <c r="F80" s="195" t="s">
        <v>98</v>
      </c>
      <c r="G80" s="275" t="s">
        <v>97</v>
      </c>
      <c r="H80" s="410" t="s">
        <v>98</v>
      </c>
      <c r="I80" s="427" t="s">
        <v>97</v>
      </c>
      <c r="J80" s="477" t="s">
        <v>98</v>
      </c>
      <c r="K80" s="275" t="s">
        <v>97</v>
      </c>
      <c r="L80" s="495" t="s">
        <v>98</v>
      </c>
      <c r="M80" s="275" t="s">
        <v>97</v>
      </c>
      <c r="N80" s="410" t="s">
        <v>98</v>
      </c>
      <c r="O80" s="397" t="s">
        <v>97</v>
      </c>
      <c r="P80" s="410" t="s">
        <v>98</v>
      </c>
      <c r="Q80" s="397" t="s">
        <v>97</v>
      </c>
      <c r="R80" s="410" t="s">
        <v>98</v>
      </c>
      <c r="S80" s="397" t="s">
        <v>97</v>
      </c>
      <c r="T80" s="410" t="s">
        <v>98</v>
      </c>
      <c r="U80" s="397" t="s">
        <v>97</v>
      </c>
      <c r="V80" s="410" t="s">
        <v>98</v>
      </c>
      <c r="W80" s="397" t="s">
        <v>97</v>
      </c>
      <c r="X80" s="410" t="s">
        <v>98</v>
      </c>
      <c r="Y80" s="397" t="s">
        <v>97</v>
      </c>
      <c r="Z80" s="539" t="s">
        <v>98</v>
      </c>
      <c r="AB80" s="741" t="s">
        <v>97</v>
      </c>
      <c r="AC80" s="648" t="s">
        <v>98</v>
      </c>
    </row>
    <row r="81" spans="2:29" ht="12" x14ac:dyDescent="0.2">
      <c r="B81" s="115" t="s">
        <v>81</v>
      </c>
      <c r="C81" s="359">
        <v>42</v>
      </c>
      <c r="D81" s="372">
        <f>C81/$D$79</f>
        <v>0.97674418604651159</v>
      </c>
      <c r="E81" s="125">
        <f>42+1</f>
        <v>43</v>
      </c>
      <c r="F81" s="206">
        <f t="shared" ref="F81:F88" si="18">E81/$F$79</f>
        <v>0.97727272727272729</v>
      </c>
      <c r="G81" s="359">
        <v>42</v>
      </c>
      <c r="H81" s="372">
        <f>G81/$H$79</f>
        <v>0.97674418604651159</v>
      </c>
      <c r="I81" s="359">
        <f>29+13</f>
        <v>42</v>
      </c>
      <c r="J81" s="485">
        <f t="shared" ref="J81:J88" si="19">I81/$J$79</f>
        <v>0.97674418604651159</v>
      </c>
      <c r="K81" s="359">
        <v>43</v>
      </c>
      <c r="L81" s="206">
        <f t="shared" ref="L81:L88" si="20">K81/$L$79</f>
        <v>0.97727272727272729</v>
      </c>
      <c r="M81" s="359">
        <f>1+2+25+15</f>
        <v>43</v>
      </c>
      <c r="N81" s="372">
        <f t="shared" ref="N81:N86" si="21">M81/N$79</f>
        <v>0.97727272727272729</v>
      </c>
      <c r="O81" s="353">
        <v>45</v>
      </c>
      <c r="P81" s="372">
        <f t="shared" ref="P81:P86" si="22">O81/P$79</f>
        <v>1</v>
      </c>
      <c r="Q81" s="353">
        <v>41</v>
      </c>
      <c r="R81" s="372">
        <f t="shared" ref="R81:T88" si="23">Q81/R$79</f>
        <v>0.95348837209302328</v>
      </c>
      <c r="S81" s="353">
        <f>17</f>
        <v>17</v>
      </c>
      <c r="T81" s="372">
        <f t="shared" si="23"/>
        <v>0.37777777777777777</v>
      </c>
      <c r="U81" s="353">
        <v>44</v>
      </c>
      <c r="V81" s="372">
        <f t="shared" ref="V81:V88" si="24">U81/V$79</f>
        <v>0.91666666666666663</v>
      </c>
      <c r="W81" s="353">
        <f>1+45+2</f>
        <v>48</v>
      </c>
      <c r="X81" s="372">
        <f t="shared" ref="X81:X88" si="25">W81/X$79</f>
        <v>0.90566037735849059</v>
      </c>
      <c r="Y81" s="353">
        <v>45</v>
      </c>
      <c r="Z81" s="1397">
        <f t="shared" ref="Z81:Z88" si="26">Y81/Z$79</f>
        <v>0.91836734693877553</v>
      </c>
      <c r="AB81" s="687">
        <f t="shared" ref="AB81:AB88" si="27">AVERAGE(W81,U81,S81,Q81,Y81)</f>
        <v>39</v>
      </c>
      <c r="AC81" s="685">
        <f>AVERAGE(X81,V81,T81,R81,Z81)</f>
        <v>0.81439210816694685</v>
      </c>
    </row>
    <row r="82" spans="2:29" ht="12" x14ac:dyDescent="0.2">
      <c r="B82" s="121" t="s">
        <v>82</v>
      </c>
      <c r="C82" s="359">
        <v>0</v>
      </c>
      <c r="D82" s="372">
        <f t="shared" ref="D82:D100" si="28">C82/$D$79</f>
        <v>0</v>
      </c>
      <c r="E82" s="125">
        <v>0</v>
      </c>
      <c r="F82" s="206">
        <f t="shared" si="18"/>
        <v>0</v>
      </c>
      <c r="G82" s="359">
        <v>0</v>
      </c>
      <c r="H82" s="372">
        <f t="shared" ref="H82:H88" si="29">G82/$H$79</f>
        <v>0</v>
      </c>
      <c r="I82" s="359">
        <v>0</v>
      </c>
      <c r="J82" s="485">
        <f t="shared" si="19"/>
        <v>0</v>
      </c>
      <c r="K82" s="359">
        <v>0</v>
      </c>
      <c r="L82" s="206">
        <f t="shared" si="20"/>
        <v>0</v>
      </c>
      <c r="M82" s="359"/>
      <c r="N82" s="372">
        <f t="shared" si="21"/>
        <v>0</v>
      </c>
      <c r="O82" s="353">
        <v>0</v>
      </c>
      <c r="P82" s="372">
        <f t="shared" si="22"/>
        <v>0</v>
      </c>
      <c r="Q82" s="353">
        <v>0</v>
      </c>
      <c r="R82" s="372">
        <f t="shared" si="23"/>
        <v>0</v>
      </c>
      <c r="S82" s="353">
        <f>0</f>
        <v>0</v>
      </c>
      <c r="T82" s="372">
        <f t="shared" si="23"/>
        <v>0</v>
      </c>
      <c r="U82" s="353">
        <v>0</v>
      </c>
      <c r="V82" s="372">
        <f t="shared" si="24"/>
        <v>0</v>
      </c>
      <c r="W82" s="353">
        <v>0</v>
      </c>
      <c r="X82" s="372">
        <f t="shared" si="25"/>
        <v>0</v>
      </c>
      <c r="Y82" s="353">
        <v>0</v>
      </c>
      <c r="Z82" s="1397">
        <f t="shared" si="26"/>
        <v>0</v>
      </c>
      <c r="AA82" s="657"/>
      <c r="AB82" s="688">
        <f t="shared" si="27"/>
        <v>0</v>
      </c>
      <c r="AC82" s="685">
        <f t="shared" ref="AC82:AC88" si="30">AVERAGE(X82,V82,T82,R82,Z82)</f>
        <v>0</v>
      </c>
    </row>
    <row r="83" spans="2:29" ht="12" x14ac:dyDescent="0.2">
      <c r="B83" s="121" t="s">
        <v>83</v>
      </c>
      <c r="C83" s="359">
        <v>0</v>
      </c>
      <c r="D83" s="372">
        <f t="shared" si="28"/>
        <v>0</v>
      </c>
      <c r="E83" s="125">
        <v>0</v>
      </c>
      <c r="F83" s="206">
        <f t="shared" si="18"/>
        <v>0</v>
      </c>
      <c r="G83" s="359">
        <v>0</v>
      </c>
      <c r="H83" s="372">
        <f t="shared" si="29"/>
        <v>0</v>
      </c>
      <c r="I83" s="359">
        <v>0</v>
      </c>
      <c r="J83" s="485">
        <f t="shared" si="19"/>
        <v>0</v>
      </c>
      <c r="K83" s="359">
        <v>0</v>
      </c>
      <c r="L83" s="206">
        <f t="shared" si="20"/>
        <v>0</v>
      </c>
      <c r="M83" s="359"/>
      <c r="N83" s="372">
        <f t="shared" si="21"/>
        <v>0</v>
      </c>
      <c r="O83" s="353">
        <v>0</v>
      </c>
      <c r="P83" s="372">
        <f t="shared" si="22"/>
        <v>0</v>
      </c>
      <c r="Q83" s="353">
        <v>0</v>
      </c>
      <c r="R83" s="372">
        <f t="shared" si="23"/>
        <v>0</v>
      </c>
      <c r="S83" s="353">
        <f>1</f>
        <v>1</v>
      </c>
      <c r="T83" s="372">
        <f t="shared" si="23"/>
        <v>2.2222222222222223E-2</v>
      </c>
      <c r="U83" s="353">
        <v>1</v>
      </c>
      <c r="V83" s="372">
        <f t="shared" si="24"/>
        <v>2.0833333333333332E-2</v>
      </c>
      <c r="W83" s="353">
        <v>1</v>
      </c>
      <c r="X83" s="372">
        <f t="shared" si="25"/>
        <v>1.8867924528301886E-2</v>
      </c>
      <c r="Y83" s="353">
        <v>1</v>
      </c>
      <c r="Z83" s="1397">
        <f t="shared" si="26"/>
        <v>2.0408163265306121E-2</v>
      </c>
      <c r="AA83" s="657"/>
      <c r="AB83" s="688">
        <f t="shared" si="27"/>
        <v>0.8</v>
      </c>
      <c r="AC83" s="685">
        <f t="shared" si="30"/>
        <v>1.6466328669832712E-2</v>
      </c>
    </row>
    <row r="84" spans="2:29" ht="12" x14ac:dyDescent="0.2">
      <c r="B84" s="121" t="s">
        <v>84</v>
      </c>
      <c r="C84" s="359">
        <v>0</v>
      </c>
      <c r="D84" s="372">
        <f t="shared" si="28"/>
        <v>0</v>
      </c>
      <c r="E84" s="125">
        <v>0</v>
      </c>
      <c r="F84" s="206">
        <f t="shared" si="18"/>
        <v>0</v>
      </c>
      <c r="G84" s="359">
        <v>0</v>
      </c>
      <c r="H84" s="372">
        <f t="shared" si="29"/>
        <v>0</v>
      </c>
      <c r="I84" s="359">
        <v>0</v>
      </c>
      <c r="J84" s="485">
        <f t="shared" si="19"/>
        <v>0</v>
      </c>
      <c r="K84" s="359">
        <v>0</v>
      </c>
      <c r="L84" s="206">
        <f t="shared" si="20"/>
        <v>0</v>
      </c>
      <c r="M84" s="359"/>
      <c r="N84" s="372">
        <f t="shared" si="21"/>
        <v>0</v>
      </c>
      <c r="O84" s="353">
        <v>0</v>
      </c>
      <c r="P84" s="372">
        <f t="shared" si="22"/>
        <v>0</v>
      </c>
      <c r="Q84" s="353">
        <v>0</v>
      </c>
      <c r="R84" s="372">
        <f t="shared" si="23"/>
        <v>0</v>
      </c>
      <c r="S84" s="353">
        <f>0</f>
        <v>0</v>
      </c>
      <c r="T84" s="372">
        <f t="shared" si="23"/>
        <v>0</v>
      </c>
      <c r="U84" s="353">
        <v>0</v>
      </c>
      <c r="V84" s="372">
        <f t="shared" si="24"/>
        <v>0</v>
      </c>
      <c r="W84" s="353">
        <v>0</v>
      </c>
      <c r="X84" s="372">
        <f t="shared" si="25"/>
        <v>0</v>
      </c>
      <c r="Y84" s="353">
        <v>0</v>
      </c>
      <c r="Z84" s="1397">
        <f t="shared" si="26"/>
        <v>0</v>
      </c>
      <c r="AA84" s="657"/>
      <c r="AB84" s="688">
        <f t="shared" si="27"/>
        <v>0</v>
      </c>
      <c r="AC84" s="685">
        <f t="shared" si="30"/>
        <v>0</v>
      </c>
    </row>
    <row r="85" spans="2:29" ht="12" x14ac:dyDescent="0.2">
      <c r="B85" s="121" t="s">
        <v>85</v>
      </c>
      <c r="C85" s="359">
        <v>1</v>
      </c>
      <c r="D85" s="372">
        <f t="shared" si="28"/>
        <v>2.3255813953488372E-2</v>
      </c>
      <c r="E85" s="125">
        <v>1</v>
      </c>
      <c r="F85" s="206">
        <f t="shared" si="18"/>
        <v>2.2727272727272728E-2</v>
      </c>
      <c r="G85" s="359">
        <v>1</v>
      </c>
      <c r="H85" s="372">
        <f t="shared" si="29"/>
        <v>2.3255813953488372E-2</v>
      </c>
      <c r="I85" s="359">
        <v>1</v>
      </c>
      <c r="J85" s="485">
        <f t="shared" si="19"/>
        <v>2.3255813953488372E-2</v>
      </c>
      <c r="K85" s="359">
        <v>1</v>
      </c>
      <c r="L85" s="206">
        <f t="shared" si="20"/>
        <v>2.2727272727272728E-2</v>
      </c>
      <c r="M85" s="359">
        <v>1</v>
      </c>
      <c r="N85" s="372">
        <f t="shared" si="21"/>
        <v>2.2727272727272728E-2</v>
      </c>
      <c r="O85" s="353">
        <v>0</v>
      </c>
      <c r="P85" s="372">
        <f t="shared" si="22"/>
        <v>0</v>
      </c>
      <c r="Q85" s="353">
        <v>0</v>
      </c>
      <c r="R85" s="372">
        <f t="shared" si="23"/>
        <v>0</v>
      </c>
      <c r="S85" s="353">
        <f>1</f>
        <v>1</v>
      </c>
      <c r="T85" s="372">
        <f t="shared" si="23"/>
        <v>2.2222222222222223E-2</v>
      </c>
      <c r="U85" s="353">
        <v>1</v>
      </c>
      <c r="V85" s="372">
        <f t="shared" si="24"/>
        <v>2.0833333333333332E-2</v>
      </c>
      <c r="W85" s="353">
        <v>2</v>
      </c>
      <c r="X85" s="372">
        <f t="shared" si="25"/>
        <v>3.7735849056603772E-2</v>
      </c>
      <c r="Y85" s="353">
        <v>1</v>
      </c>
      <c r="Z85" s="1397">
        <f t="shared" si="26"/>
        <v>2.0408163265306121E-2</v>
      </c>
      <c r="AA85" s="657"/>
      <c r="AB85" s="688">
        <f t="shared" si="27"/>
        <v>1</v>
      </c>
      <c r="AC85" s="685">
        <f t="shared" si="30"/>
        <v>2.0239913575493089E-2</v>
      </c>
    </row>
    <row r="86" spans="2:29" ht="12" x14ac:dyDescent="0.2">
      <c r="B86" s="121" t="s">
        <v>86</v>
      </c>
      <c r="C86" s="359">
        <v>0</v>
      </c>
      <c r="D86" s="372">
        <f t="shared" si="28"/>
        <v>0</v>
      </c>
      <c r="E86" s="125">
        <v>0</v>
      </c>
      <c r="F86" s="206">
        <f t="shared" si="18"/>
        <v>0</v>
      </c>
      <c r="G86" s="359">
        <v>0</v>
      </c>
      <c r="H86" s="372">
        <f t="shared" si="29"/>
        <v>0</v>
      </c>
      <c r="I86" s="359">
        <v>0</v>
      </c>
      <c r="J86" s="485">
        <f t="shared" si="19"/>
        <v>0</v>
      </c>
      <c r="K86" s="359">
        <v>0</v>
      </c>
      <c r="L86" s="206">
        <f t="shared" si="20"/>
        <v>0</v>
      </c>
      <c r="M86" s="359"/>
      <c r="N86" s="372">
        <f t="shared" si="21"/>
        <v>0</v>
      </c>
      <c r="O86" s="353">
        <v>0</v>
      </c>
      <c r="P86" s="372">
        <f t="shared" si="22"/>
        <v>0</v>
      </c>
      <c r="Q86" s="353">
        <v>1</v>
      </c>
      <c r="R86" s="372">
        <f t="shared" si="23"/>
        <v>2.3255813953488372E-2</v>
      </c>
      <c r="S86" s="353">
        <f>0</f>
        <v>0</v>
      </c>
      <c r="T86" s="372">
        <f t="shared" si="23"/>
        <v>0</v>
      </c>
      <c r="U86" s="353">
        <v>1</v>
      </c>
      <c r="V86" s="372">
        <f t="shared" si="24"/>
        <v>2.0833333333333332E-2</v>
      </c>
      <c r="W86" s="353">
        <v>1</v>
      </c>
      <c r="X86" s="372">
        <f t="shared" si="25"/>
        <v>1.8867924528301886E-2</v>
      </c>
      <c r="Y86" s="353">
        <v>1</v>
      </c>
      <c r="Z86" s="1397">
        <f t="shared" si="26"/>
        <v>2.0408163265306121E-2</v>
      </c>
      <c r="AA86" s="657"/>
      <c r="AB86" s="688">
        <f t="shared" si="27"/>
        <v>0.8</v>
      </c>
      <c r="AC86" s="685">
        <f t="shared" si="30"/>
        <v>1.6673047016085941E-2</v>
      </c>
    </row>
    <row r="87" spans="2:29" ht="12" x14ac:dyDescent="0.2">
      <c r="B87" s="121" t="s">
        <v>201</v>
      </c>
      <c r="C87" s="361"/>
      <c r="D87" s="372"/>
      <c r="E87" s="126"/>
      <c r="F87" s="206"/>
      <c r="G87" s="1258"/>
      <c r="H87" s="1253"/>
      <c r="I87" s="1258"/>
      <c r="J87" s="1259"/>
      <c r="K87" s="1258"/>
      <c r="L87" s="1255"/>
      <c r="M87" s="1258"/>
      <c r="N87" s="1253"/>
      <c r="O87" s="1260"/>
      <c r="P87" s="1253"/>
      <c r="Q87" s="360">
        <v>0</v>
      </c>
      <c r="R87" s="372">
        <f t="shared" si="23"/>
        <v>0</v>
      </c>
      <c r="S87" s="360">
        <f>25</f>
        <v>25</v>
      </c>
      <c r="T87" s="372">
        <f t="shared" si="23"/>
        <v>0.55555555555555558</v>
      </c>
      <c r="U87" s="360">
        <v>0</v>
      </c>
      <c r="V87" s="372">
        <f t="shared" si="24"/>
        <v>0</v>
      </c>
      <c r="W87" s="360">
        <v>0</v>
      </c>
      <c r="X87" s="372">
        <f t="shared" si="25"/>
        <v>0</v>
      </c>
      <c r="Y87" s="360">
        <v>0</v>
      </c>
      <c r="Z87" s="1397">
        <f t="shared" si="26"/>
        <v>0</v>
      </c>
      <c r="AA87" s="657"/>
      <c r="AB87" s="688">
        <f t="shared" si="27"/>
        <v>5</v>
      </c>
      <c r="AC87" s="685">
        <f t="shared" si="30"/>
        <v>0.11111111111111112</v>
      </c>
    </row>
    <row r="88" spans="2:29" ht="12" x14ac:dyDescent="0.2">
      <c r="B88" s="121" t="s">
        <v>87</v>
      </c>
      <c r="C88" s="361">
        <v>0</v>
      </c>
      <c r="D88" s="372">
        <f t="shared" si="28"/>
        <v>0</v>
      </c>
      <c r="E88" s="126">
        <v>0</v>
      </c>
      <c r="F88" s="206">
        <f t="shared" si="18"/>
        <v>0</v>
      </c>
      <c r="G88" s="361">
        <v>0</v>
      </c>
      <c r="H88" s="372">
        <f t="shared" si="29"/>
        <v>0</v>
      </c>
      <c r="I88" s="361">
        <v>0</v>
      </c>
      <c r="J88" s="485">
        <f t="shared" si="19"/>
        <v>0</v>
      </c>
      <c r="K88" s="361">
        <v>0</v>
      </c>
      <c r="L88" s="206">
        <f t="shared" si="20"/>
        <v>0</v>
      </c>
      <c r="M88" s="361"/>
      <c r="N88" s="372">
        <f>M88/N$79</f>
        <v>0</v>
      </c>
      <c r="O88" s="360">
        <v>0</v>
      </c>
      <c r="P88" s="372">
        <f>O88/P$79</f>
        <v>0</v>
      </c>
      <c r="Q88" s="360">
        <v>1</v>
      </c>
      <c r="R88" s="372">
        <f t="shared" si="23"/>
        <v>2.3255813953488372E-2</v>
      </c>
      <c r="S88" s="360">
        <f>1</f>
        <v>1</v>
      </c>
      <c r="T88" s="372">
        <f t="shared" si="23"/>
        <v>2.2222222222222223E-2</v>
      </c>
      <c r="U88" s="360">
        <v>1</v>
      </c>
      <c r="V88" s="372">
        <f t="shared" si="24"/>
        <v>2.0833333333333332E-2</v>
      </c>
      <c r="W88" s="360">
        <v>1</v>
      </c>
      <c r="X88" s="372">
        <f t="shared" si="25"/>
        <v>1.8867924528301886E-2</v>
      </c>
      <c r="Y88" s="360">
        <v>1</v>
      </c>
      <c r="Z88" s="1397">
        <f t="shared" si="26"/>
        <v>2.0408163265306121E-2</v>
      </c>
      <c r="AA88" s="657"/>
      <c r="AB88" s="688">
        <f t="shared" si="27"/>
        <v>1</v>
      </c>
      <c r="AC88" s="685">
        <f t="shared" si="30"/>
        <v>2.1117491460530387E-2</v>
      </c>
    </row>
    <row r="89" spans="2:29" ht="12" x14ac:dyDescent="0.2">
      <c r="B89" s="122" t="s">
        <v>101</v>
      </c>
      <c r="C89" s="569"/>
      <c r="D89" s="372"/>
      <c r="E89" s="164"/>
      <c r="F89" s="285"/>
      <c r="G89" s="290"/>
      <c r="H89" s="372"/>
      <c r="I89" s="290"/>
      <c r="J89" s="485"/>
      <c r="K89" s="290"/>
      <c r="L89" s="206"/>
      <c r="M89" s="290"/>
      <c r="N89" s="372"/>
      <c r="O89" s="164"/>
      <c r="P89" s="372"/>
      <c r="Q89" s="164"/>
      <c r="R89" s="372"/>
      <c r="S89" s="164"/>
      <c r="T89" s="372"/>
      <c r="U89" s="164"/>
      <c r="V89" s="372"/>
      <c r="W89" s="164"/>
      <c r="X89" s="372"/>
      <c r="Y89" s="164"/>
      <c r="Z89" s="1397"/>
      <c r="AA89" s="657"/>
      <c r="AB89" s="688"/>
      <c r="AC89" s="685"/>
    </row>
    <row r="90" spans="2:29" ht="12" x14ac:dyDescent="0.2">
      <c r="B90" s="115" t="s">
        <v>88</v>
      </c>
      <c r="C90" s="370">
        <v>39</v>
      </c>
      <c r="D90" s="372">
        <f t="shared" si="28"/>
        <v>0.90697674418604646</v>
      </c>
      <c r="E90" s="99">
        <f>38+1</f>
        <v>39</v>
      </c>
      <c r="F90" s="286">
        <f>E90/$F$79</f>
        <v>0.88636363636363635</v>
      </c>
      <c r="G90" s="370">
        <v>37</v>
      </c>
      <c r="H90" s="372">
        <f>G90/$H$79</f>
        <v>0.86046511627906974</v>
      </c>
      <c r="I90" s="370">
        <v>37</v>
      </c>
      <c r="J90" s="485">
        <f>I90/$J$79</f>
        <v>0.86046511627906974</v>
      </c>
      <c r="K90" s="370">
        <v>38</v>
      </c>
      <c r="L90" s="206">
        <f>K90/$L$79</f>
        <v>0.86363636363636365</v>
      </c>
      <c r="M90" s="370">
        <f>1+1+11+23</f>
        <v>36</v>
      </c>
      <c r="N90" s="372">
        <f>M90/N$79</f>
        <v>0.81818181818181823</v>
      </c>
      <c r="O90" s="428">
        <v>36</v>
      </c>
      <c r="P90" s="372">
        <f>O90/P$79</f>
        <v>0.8</v>
      </c>
      <c r="Q90" s="428">
        <v>34</v>
      </c>
      <c r="R90" s="372">
        <f>Q90/R$79</f>
        <v>0.79069767441860461</v>
      </c>
      <c r="S90" s="428">
        <f>35</f>
        <v>35</v>
      </c>
      <c r="T90" s="372">
        <f>S90/T$79</f>
        <v>0.77777777777777779</v>
      </c>
      <c r="U90" s="428">
        <v>38</v>
      </c>
      <c r="V90" s="372">
        <f>U90/V$79</f>
        <v>0.79166666666666663</v>
      </c>
      <c r="W90" s="428">
        <f>1+38+1</f>
        <v>40</v>
      </c>
      <c r="X90" s="372">
        <f>W90/X$79</f>
        <v>0.75471698113207553</v>
      </c>
      <c r="Y90" s="428">
        <v>36</v>
      </c>
      <c r="Z90" s="1397">
        <f>Y90/Z$79</f>
        <v>0.73469387755102045</v>
      </c>
      <c r="AA90" s="657"/>
      <c r="AB90" s="688">
        <f t="shared" ref="AB90:AB91" si="31">AVERAGE(W90,U90,S90,Q90,Y90)</f>
        <v>36.6</v>
      </c>
      <c r="AC90" s="685">
        <f t="shared" ref="AC90:AC91" si="32">AVERAGE(X90,V90,T90,R90,Z90)</f>
        <v>0.76991059550922902</v>
      </c>
    </row>
    <row r="91" spans="2:29" ht="12" x14ac:dyDescent="0.2">
      <c r="B91" s="115" t="s">
        <v>89</v>
      </c>
      <c r="C91" s="370">
        <v>4</v>
      </c>
      <c r="D91" s="372">
        <f t="shared" si="28"/>
        <v>9.3023255813953487E-2</v>
      </c>
      <c r="E91" s="165">
        <v>5</v>
      </c>
      <c r="F91" s="286">
        <f>E91/$F$79</f>
        <v>0.11363636363636363</v>
      </c>
      <c r="G91" s="370">
        <v>6</v>
      </c>
      <c r="H91" s="372">
        <f>G91/$H$79</f>
        <v>0.13953488372093023</v>
      </c>
      <c r="I91" s="370">
        <v>6</v>
      </c>
      <c r="J91" s="485">
        <f>I91/$J$79</f>
        <v>0.13953488372093023</v>
      </c>
      <c r="K91" s="370">
        <v>6</v>
      </c>
      <c r="L91" s="206">
        <f>K91/$L$79</f>
        <v>0.13636363636363635</v>
      </c>
      <c r="M91" s="370">
        <f>1+4+3</f>
        <v>8</v>
      </c>
      <c r="N91" s="372">
        <f>M91/N$79</f>
        <v>0.18181818181818182</v>
      </c>
      <c r="O91" s="428">
        <v>9</v>
      </c>
      <c r="P91" s="372">
        <f>O91/P$79</f>
        <v>0.2</v>
      </c>
      <c r="Q91" s="428">
        <v>9</v>
      </c>
      <c r="R91" s="372">
        <f>Q91/R$79</f>
        <v>0.20930232558139536</v>
      </c>
      <c r="S91" s="428">
        <f>10</f>
        <v>10</v>
      </c>
      <c r="T91" s="372">
        <f>S91/T$79</f>
        <v>0.22222222222222221</v>
      </c>
      <c r="U91" s="428">
        <v>10</v>
      </c>
      <c r="V91" s="372">
        <f>U91/V$79</f>
        <v>0.20833333333333334</v>
      </c>
      <c r="W91" s="428">
        <f>12+1</f>
        <v>13</v>
      </c>
      <c r="X91" s="372">
        <f>W91/X$79</f>
        <v>0.24528301886792453</v>
      </c>
      <c r="Y91" s="428">
        <v>13</v>
      </c>
      <c r="Z91" s="1397">
        <f>Y91/Z$79</f>
        <v>0.26530612244897961</v>
      </c>
      <c r="AA91" s="657"/>
      <c r="AB91" s="688">
        <f t="shared" si="31"/>
        <v>11</v>
      </c>
      <c r="AC91" s="685">
        <f t="shared" si="32"/>
        <v>0.230089404490771</v>
      </c>
    </row>
    <row r="92" spans="2:29" ht="12" x14ac:dyDescent="0.2">
      <c r="B92" s="122" t="s">
        <v>102</v>
      </c>
      <c r="C92" s="570"/>
      <c r="D92" s="372"/>
      <c r="E92" s="166"/>
      <c r="F92" s="286"/>
      <c r="G92" s="291"/>
      <c r="H92" s="372"/>
      <c r="I92" s="291"/>
      <c r="J92" s="485"/>
      <c r="K92" s="291"/>
      <c r="L92" s="206"/>
      <c r="M92" s="291"/>
      <c r="N92" s="372"/>
      <c r="O92" s="429"/>
      <c r="P92" s="372"/>
      <c r="Q92" s="429"/>
      <c r="R92" s="372"/>
      <c r="S92" s="429"/>
      <c r="T92" s="372"/>
      <c r="U92" s="429"/>
      <c r="V92" s="372"/>
      <c r="W92" s="429"/>
      <c r="X92" s="372"/>
      <c r="Y92" s="429"/>
      <c r="Z92" s="1397"/>
      <c r="AA92" s="657"/>
      <c r="AB92" s="688"/>
      <c r="AC92" s="685"/>
    </row>
    <row r="93" spans="2:29" ht="12" x14ac:dyDescent="0.2">
      <c r="B93" s="115" t="s">
        <v>90</v>
      </c>
      <c r="C93" s="571">
        <v>35</v>
      </c>
      <c r="D93" s="372">
        <f t="shared" si="28"/>
        <v>0.81395348837209303</v>
      </c>
      <c r="E93" s="165">
        <f>35+1</f>
        <v>36</v>
      </c>
      <c r="F93" s="286">
        <f>E93/$F$79</f>
        <v>0.81818181818181823</v>
      </c>
      <c r="G93" s="370">
        <v>36</v>
      </c>
      <c r="H93" s="372">
        <f>G93/$H$79</f>
        <v>0.83720930232558144</v>
      </c>
      <c r="I93" s="370">
        <v>36</v>
      </c>
      <c r="J93" s="485">
        <f>I93/$J$79</f>
        <v>0.83720930232558144</v>
      </c>
      <c r="K93" s="370">
        <v>35</v>
      </c>
      <c r="L93" s="206">
        <f>K93/$L$79</f>
        <v>0.79545454545454541</v>
      </c>
      <c r="M93" s="370">
        <f>1+1+11+19</f>
        <v>32</v>
      </c>
      <c r="N93" s="372">
        <f>M93/N$79</f>
        <v>0.72727272727272729</v>
      </c>
      <c r="O93" s="428">
        <v>34</v>
      </c>
      <c r="P93" s="372">
        <f>O93/P$79</f>
        <v>0.75555555555555554</v>
      </c>
      <c r="Q93" s="428">
        <v>31</v>
      </c>
      <c r="R93" s="372">
        <f>Q93/R$79</f>
        <v>0.72093023255813948</v>
      </c>
      <c r="S93" s="428">
        <f>33</f>
        <v>33</v>
      </c>
      <c r="T93" s="372">
        <f>S93/T$79</f>
        <v>0.73333333333333328</v>
      </c>
      <c r="U93" s="428">
        <v>34</v>
      </c>
      <c r="V93" s="372">
        <f>U93/V$79</f>
        <v>0.70833333333333337</v>
      </c>
      <c r="W93" s="428">
        <f>1+34+1</f>
        <v>36</v>
      </c>
      <c r="X93" s="372">
        <f>W93/X$79</f>
        <v>0.67924528301886788</v>
      </c>
      <c r="Y93" s="428">
        <v>33</v>
      </c>
      <c r="Z93" s="1397">
        <f>Y93/Z$79</f>
        <v>0.67346938775510201</v>
      </c>
      <c r="AA93" s="657"/>
      <c r="AB93" s="688">
        <f t="shared" ref="AB93:AB95" si="33">AVERAGE(W93,U93,S93,Q93,Y93)</f>
        <v>33.4</v>
      </c>
      <c r="AC93" s="685">
        <f t="shared" ref="AC93:AC95" si="34">AVERAGE(X93,V93,T93,R93,Z93)</f>
        <v>0.70306231399975527</v>
      </c>
    </row>
    <row r="94" spans="2:29" ht="12" x14ac:dyDescent="0.2">
      <c r="B94" s="115" t="s">
        <v>91</v>
      </c>
      <c r="C94" s="571">
        <v>5</v>
      </c>
      <c r="D94" s="372">
        <f t="shared" si="28"/>
        <v>0.11627906976744186</v>
      </c>
      <c r="E94" s="165">
        <v>6</v>
      </c>
      <c r="F94" s="286">
        <f>E94/$F$79</f>
        <v>0.13636363636363635</v>
      </c>
      <c r="G94" s="370">
        <v>5</v>
      </c>
      <c r="H94" s="372">
        <f>G94/$H$79</f>
        <v>0.11627906976744186</v>
      </c>
      <c r="I94" s="370">
        <v>5</v>
      </c>
      <c r="J94" s="485">
        <f>I94/$J$79</f>
        <v>0.11627906976744186</v>
      </c>
      <c r="K94" s="370">
        <v>7</v>
      </c>
      <c r="L94" s="206">
        <f>K94/$L$79</f>
        <v>0.15909090909090909</v>
      </c>
      <c r="M94" s="370">
        <f>4+3</f>
        <v>7</v>
      </c>
      <c r="N94" s="372">
        <f>M94/N$79</f>
        <v>0.15909090909090909</v>
      </c>
      <c r="O94" s="428">
        <v>6</v>
      </c>
      <c r="P94" s="372">
        <f>O94/P$79</f>
        <v>0.13333333333333333</v>
      </c>
      <c r="Q94" s="428">
        <v>7</v>
      </c>
      <c r="R94" s="372">
        <f>Q94/R$79</f>
        <v>0.16279069767441862</v>
      </c>
      <c r="S94" s="428">
        <f>7</f>
        <v>7</v>
      </c>
      <c r="T94" s="372">
        <f>S94/T$79</f>
        <v>0.15555555555555556</v>
      </c>
      <c r="U94" s="428">
        <v>7</v>
      </c>
      <c r="V94" s="372">
        <f>U94/V$79</f>
        <v>0.14583333333333334</v>
      </c>
      <c r="W94" s="428">
        <v>8</v>
      </c>
      <c r="X94" s="372">
        <f>W94/X$79</f>
        <v>0.15094339622641509</v>
      </c>
      <c r="Y94" s="428">
        <v>8</v>
      </c>
      <c r="Z94" s="1397">
        <f>Y94/Z$79</f>
        <v>0.16326530612244897</v>
      </c>
      <c r="AA94" s="657"/>
      <c r="AB94" s="688">
        <f t="shared" si="33"/>
        <v>7.4</v>
      </c>
      <c r="AC94" s="685">
        <f t="shared" si="34"/>
        <v>0.15567765778243431</v>
      </c>
    </row>
    <row r="95" spans="2:29" ht="12" x14ac:dyDescent="0.2">
      <c r="B95" s="115" t="s">
        <v>92</v>
      </c>
      <c r="C95" s="571">
        <v>3</v>
      </c>
      <c r="D95" s="372">
        <f t="shared" si="28"/>
        <v>6.9767441860465115E-2</v>
      </c>
      <c r="E95" s="165">
        <v>2</v>
      </c>
      <c r="F95" s="286">
        <f>E95/$F$79</f>
        <v>4.5454545454545456E-2</v>
      </c>
      <c r="G95" s="370">
        <v>2</v>
      </c>
      <c r="H95" s="372">
        <f>G95/$H$79</f>
        <v>4.6511627906976744E-2</v>
      </c>
      <c r="I95" s="370">
        <v>2</v>
      </c>
      <c r="J95" s="485">
        <f>I95/$J$79</f>
        <v>4.6511627906976744E-2</v>
      </c>
      <c r="K95" s="370">
        <v>2</v>
      </c>
      <c r="L95" s="206">
        <f>K95/$L$79</f>
        <v>4.5454545454545456E-2</v>
      </c>
      <c r="M95" s="370">
        <f>1+4</f>
        <v>5</v>
      </c>
      <c r="N95" s="372">
        <f>M95/N$79</f>
        <v>0.11363636363636363</v>
      </c>
      <c r="O95" s="428">
        <v>5</v>
      </c>
      <c r="P95" s="372">
        <f>O95/P$79</f>
        <v>0.1111111111111111</v>
      </c>
      <c r="Q95" s="428">
        <v>5</v>
      </c>
      <c r="R95" s="372">
        <f>Q95/R$79</f>
        <v>0.11627906976744186</v>
      </c>
      <c r="S95" s="428">
        <f>5</f>
        <v>5</v>
      </c>
      <c r="T95" s="372">
        <f>S95/T$79</f>
        <v>0.1111111111111111</v>
      </c>
      <c r="U95" s="428">
        <v>7</v>
      </c>
      <c r="V95" s="372">
        <f>U95/V$79</f>
        <v>0.14583333333333334</v>
      </c>
      <c r="W95" s="428">
        <f>8+1</f>
        <v>9</v>
      </c>
      <c r="X95" s="372">
        <f>W95/X$79</f>
        <v>0.16981132075471697</v>
      </c>
      <c r="Y95" s="428">
        <v>8</v>
      </c>
      <c r="Z95" s="1397">
        <f>Y95/Z$79</f>
        <v>0.16326530612244897</v>
      </c>
      <c r="AA95" s="657"/>
      <c r="AB95" s="688">
        <f t="shared" si="33"/>
        <v>6.8</v>
      </c>
      <c r="AC95" s="685">
        <f t="shared" si="34"/>
        <v>0.14126002821781045</v>
      </c>
    </row>
    <row r="96" spans="2:29" ht="12" x14ac:dyDescent="0.2">
      <c r="B96" s="122" t="s">
        <v>103</v>
      </c>
      <c r="C96" s="570"/>
      <c r="D96" s="372"/>
      <c r="E96" s="166"/>
      <c r="F96" s="286"/>
      <c r="G96" s="291"/>
      <c r="H96" s="372"/>
      <c r="I96" s="291"/>
      <c r="J96" s="485"/>
      <c r="K96" s="291"/>
      <c r="L96" s="206"/>
      <c r="M96" s="291"/>
      <c r="N96" s="372"/>
      <c r="O96" s="429"/>
      <c r="P96" s="372"/>
      <c r="Q96" s="429"/>
      <c r="R96" s="372"/>
      <c r="S96" s="429"/>
      <c r="T96" s="372"/>
      <c r="U96" s="429"/>
      <c r="V96" s="372"/>
      <c r="W96" s="429"/>
      <c r="X96" s="372"/>
      <c r="Y96" s="429"/>
      <c r="Z96" s="1397"/>
      <c r="AB96" s="688"/>
      <c r="AC96" s="685"/>
    </row>
    <row r="97" spans="1:30" ht="12" x14ac:dyDescent="0.2">
      <c r="B97" s="115" t="s">
        <v>93</v>
      </c>
      <c r="C97" s="571">
        <v>41</v>
      </c>
      <c r="D97" s="372">
        <f t="shared" si="28"/>
        <v>0.95348837209302328</v>
      </c>
      <c r="E97" s="165">
        <f>41+1</f>
        <v>42</v>
      </c>
      <c r="F97" s="286">
        <f>E97/$F$79</f>
        <v>0.95454545454545459</v>
      </c>
      <c r="G97" s="370">
        <v>43</v>
      </c>
      <c r="H97" s="372">
        <f>G97/$H$79</f>
        <v>1</v>
      </c>
      <c r="I97" s="370">
        <f>29+13</f>
        <v>42</v>
      </c>
      <c r="J97" s="485">
        <f>I97/$J$79</f>
        <v>0.97674418604651159</v>
      </c>
      <c r="K97" s="370">
        <v>43</v>
      </c>
      <c r="L97" s="206">
        <f>K97/$L$79</f>
        <v>0.97727272727272729</v>
      </c>
      <c r="M97" s="370">
        <f>1+2+15+25</f>
        <v>43</v>
      </c>
      <c r="N97" s="372">
        <f>M97/N$79</f>
        <v>0.97727272727272729</v>
      </c>
      <c r="O97" s="428">
        <v>44</v>
      </c>
      <c r="P97" s="372">
        <f>O97/P$79</f>
        <v>0.97777777777777775</v>
      </c>
      <c r="Q97" s="428">
        <v>42</v>
      </c>
      <c r="R97" s="372">
        <f>Q97/R$79</f>
        <v>0.97674418604651159</v>
      </c>
      <c r="S97" s="428">
        <f>45</f>
        <v>45</v>
      </c>
      <c r="T97" s="372">
        <f>S97/T$79</f>
        <v>1</v>
      </c>
      <c r="U97" s="428">
        <v>47</v>
      </c>
      <c r="V97" s="372">
        <f>U97/V$79</f>
        <v>0.97916666666666663</v>
      </c>
      <c r="W97" s="428">
        <f>1+49+2</f>
        <v>52</v>
      </c>
      <c r="X97" s="372">
        <f>W97/X$79</f>
        <v>0.98113207547169812</v>
      </c>
      <c r="Y97" s="428">
        <v>48</v>
      </c>
      <c r="Z97" s="1397">
        <f>Y97/Z$79</f>
        <v>0.97959183673469385</v>
      </c>
      <c r="AB97" s="688">
        <f t="shared" ref="AB97:AB100" si="35">AVERAGE(W97,U97,S97,Q97,Y97)</f>
        <v>46.8</v>
      </c>
      <c r="AC97" s="685">
        <f t="shared" ref="AC97:AC100" si="36">AVERAGE(X97,V97,T97,R97,Z97)</f>
        <v>0.98332695298391415</v>
      </c>
    </row>
    <row r="98" spans="1:30" ht="12" x14ac:dyDescent="0.2">
      <c r="B98" s="115" t="s">
        <v>94</v>
      </c>
      <c r="C98" s="571">
        <v>1</v>
      </c>
      <c r="D98" s="372">
        <f t="shared" si="28"/>
        <v>2.3255813953488372E-2</v>
      </c>
      <c r="E98" s="165">
        <v>1</v>
      </c>
      <c r="F98" s="286">
        <f>E98/$F$79</f>
        <v>2.2727272727272728E-2</v>
      </c>
      <c r="G98" s="370">
        <v>0</v>
      </c>
      <c r="H98" s="372">
        <f>G98/$H$79</f>
        <v>0</v>
      </c>
      <c r="I98" s="370">
        <v>1</v>
      </c>
      <c r="J98" s="485">
        <f>I98/$J$79</f>
        <v>2.3255813953488372E-2</v>
      </c>
      <c r="K98" s="370">
        <v>1</v>
      </c>
      <c r="L98" s="206">
        <f>K98/$L$79</f>
        <v>2.2727272727272728E-2</v>
      </c>
      <c r="M98" s="370">
        <v>1</v>
      </c>
      <c r="N98" s="372">
        <f>M98/N$79</f>
        <v>2.2727272727272728E-2</v>
      </c>
      <c r="O98" s="428">
        <v>1</v>
      </c>
      <c r="P98" s="372">
        <f>O98/P$79</f>
        <v>2.2222222222222223E-2</v>
      </c>
      <c r="Q98" s="428">
        <v>1</v>
      </c>
      <c r="R98" s="372">
        <f>Q98/R$79</f>
        <v>2.3255813953488372E-2</v>
      </c>
      <c r="S98" s="428">
        <f>0</f>
        <v>0</v>
      </c>
      <c r="T98" s="372">
        <f>S98/T$79</f>
        <v>0</v>
      </c>
      <c r="U98" s="428">
        <v>1</v>
      </c>
      <c r="V98" s="372">
        <f>U98/V$79</f>
        <v>2.0833333333333332E-2</v>
      </c>
      <c r="W98" s="428">
        <v>0</v>
      </c>
      <c r="X98" s="372">
        <f>W98/X$79</f>
        <v>0</v>
      </c>
      <c r="Y98" s="428">
        <v>0</v>
      </c>
      <c r="Z98" s="1397">
        <f>Y98/Z$79</f>
        <v>0</v>
      </c>
      <c r="AB98" s="688">
        <f t="shared" si="35"/>
        <v>0.4</v>
      </c>
      <c r="AC98" s="685">
        <f t="shared" si="36"/>
        <v>8.8178294573643401E-3</v>
      </c>
    </row>
    <row r="99" spans="1:30" ht="12" x14ac:dyDescent="0.2">
      <c r="B99" s="115" t="s">
        <v>95</v>
      </c>
      <c r="C99" s="571">
        <v>1</v>
      </c>
      <c r="D99" s="372">
        <f t="shared" si="28"/>
        <v>2.3255813953488372E-2</v>
      </c>
      <c r="E99" s="165">
        <v>1</v>
      </c>
      <c r="F99" s="286">
        <f>E99/$F$79</f>
        <v>2.2727272727272728E-2</v>
      </c>
      <c r="G99" s="370">
        <v>0</v>
      </c>
      <c r="H99" s="372">
        <f>G99/$H$79</f>
        <v>0</v>
      </c>
      <c r="I99" s="370">
        <v>0</v>
      </c>
      <c r="J99" s="485">
        <f>I99/$J$79</f>
        <v>0</v>
      </c>
      <c r="K99" s="370">
        <v>0</v>
      </c>
      <c r="L99" s="206">
        <f>K99/$L$79</f>
        <v>0</v>
      </c>
      <c r="M99" s="370">
        <v>0</v>
      </c>
      <c r="N99" s="372">
        <f>M99/N$79</f>
        <v>0</v>
      </c>
      <c r="O99" s="428">
        <v>0</v>
      </c>
      <c r="P99" s="372">
        <f>O99/P$79</f>
        <v>0</v>
      </c>
      <c r="Q99" s="428">
        <v>0</v>
      </c>
      <c r="R99" s="372">
        <f>Q99/R$79</f>
        <v>0</v>
      </c>
      <c r="S99" s="428">
        <f>0</f>
        <v>0</v>
      </c>
      <c r="T99" s="372">
        <f>S99/T$79</f>
        <v>0</v>
      </c>
      <c r="U99" s="428">
        <v>0</v>
      </c>
      <c r="V99" s="372">
        <f>U99/V$79</f>
        <v>0</v>
      </c>
      <c r="W99" s="428">
        <v>1</v>
      </c>
      <c r="X99" s="372">
        <f>W99/X$79</f>
        <v>1.8867924528301886E-2</v>
      </c>
      <c r="Y99" s="428">
        <v>0</v>
      </c>
      <c r="Z99" s="1397">
        <f>Y99/Z$79</f>
        <v>0</v>
      </c>
      <c r="AA99" s="657"/>
      <c r="AB99" s="688">
        <f t="shared" si="35"/>
        <v>0.2</v>
      </c>
      <c r="AC99" s="685">
        <f t="shared" si="36"/>
        <v>3.7735849056603774E-3</v>
      </c>
    </row>
    <row r="100" spans="1:30" thickBot="1" x14ac:dyDescent="0.25">
      <c r="B100" s="123" t="s">
        <v>96</v>
      </c>
      <c r="C100" s="572">
        <v>0</v>
      </c>
      <c r="D100" s="453">
        <f t="shared" si="28"/>
        <v>0</v>
      </c>
      <c r="E100" s="167">
        <v>0</v>
      </c>
      <c r="F100" s="287">
        <f>E100/$F$79</f>
        <v>0</v>
      </c>
      <c r="G100" s="371">
        <v>0</v>
      </c>
      <c r="H100" s="453">
        <f>G100/$H$79</f>
        <v>0</v>
      </c>
      <c r="I100" s="371">
        <v>0</v>
      </c>
      <c r="J100" s="486">
        <f>I100/$J$79</f>
        <v>0</v>
      </c>
      <c r="K100" s="371">
        <v>0</v>
      </c>
      <c r="L100" s="207">
        <f>K100/$L$79</f>
        <v>0</v>
      </c>
      <c r="M100" s="371">
        <v>0</v>
      </c>
      <c r="N100" s="453">
        <f>M100/N$79</f>
        <v>0</v>
      </c>
      <c r="O100" s="430">
        <v>0</v>
      </c>
      <c r="P100" s="453">
        <f>O100/P$79</f>
        <v>0</v>
      </c>
      <c r="Q100" s="430">
        <v>0</v>
      </c>
      <c r="R100" s="453">
        <f>Q100/R$79</f>
        <v>0</v>
      </c>
      <c r="S100" s="430">
        <f>0</f>
        <v>0</v>
      </c>
      <c r="T100" s="453">
        <f>S100/T$79</f>
        <v>0</v>
      </c>
      <c r="U100" s="430">
        <v>0</v>
      </c>
      <c r="V100" s="453">
        <f>U100/V$79</f>
        <v>0</v>
      </c>
      <c r="W100" s="430">
        <v>0</v>
      </c>
      <c r="X100" s="453">
        <f>W100/X$79</f>
        <v>0</v>
      </c>
      <c r="Y100" s="430">
        <v>1</v>
      </c>
      <c r="Z100" s="1398">
        <f>Y100/Z$79</f>
        <v>2.0408163265306121E-2</v>
      </c>
      <c r="AA100" s="657"/>
      <c r="AB100" s="688">
        <f t="shared" si="35"/>
        <v>0.2</v>
      </c>
      <c r="AC100" s="857">
        <f t="shared" si="36"/>
        <v>4.081632653061224E-3</v>
      </c>
    </row>
    <row r="101" spans="1:30" thickTop="1" x14ac:dyDescent="0.2">
      <c r="B101" s="669" t="s">
        <v>131</v>
      </c>
      <c r="C101" s="52"/>
      <c r="D101" s="671"/>
      <c r="E101" s="672"/>
      <c r="F101" s="670"/>
      <c r="G101" s="672"/>
      <c r="H101" s="670"/>
      <c r="I101" s="672"/>
      <c r="J101" s="670"/>
      <c r="K101" s="672"/>
      <c r="L101" s="670"/>
      <c r="M101" s="705"/>
      <c r="N101" s="1025"/>
      <c r="O101" s="705"/>
      <c r="P101" s="1025"/>
      <c r="Q101" s="705"/>
      <c r="R101" s="1333"/>
      <c r="S101" s="705"/>
      <c r="T101" s="1333"/>
      <c r="U101" s="705"/>
      <c r="V101" s="1333"/>
      <c r="W101" s="705"/>
      <c r="X101" s="1333"/>
      <c r="Y101" s="705"/>
      <c r="Z101" s="1251"/>
      <c r="AA101" s="657"/>
      <c r="AB101" s="1031"/>
      <c r="AC101" s="652"/>
    </row>
    <row r="102" spans="1:30" ht="12" x14ac:dyDescent="0.2">
      <c r="B102" s="676"/>
      <c r="C102" s="101" t="s">
        <v>97</v>
      </c>
      <c r="D102" s="677" t="s">
        <v>17</v>
      </c>
      <c r="E102" s="101" t="s">
        <v>97</v>
      </c>
      <c r="F102" s="677" t="s">
        <v>17</v>
      </c>
      <c r="G102" s="101" t="s">
        <v>97</v>
      </c>
      <c r="H102" s="677" t="s">
        <v>17</v>
      </c>
      <c r="I102" s="101" t="s">
        <v>97</v>
      </c>
      <c r="J102" s="677" t="s">
        <v>17</v>
      </c>
      <c r="K102" s="101" t="s">
        <v>97</v>
      </c>
      <c r="L102" s="677" t="s">
        <v>17</v>
      </c>
      <c r="M102" s="101" t="s">
        <v>97</v>
      </c>
      <c r="N102" s="677" t="s">
        <v>17</v>
      </c>
      <c r="O102" s="101" t="s">
        <v>97</v>
      </c>
      <c r="P102" s="677" t="s">
        <v>17</v>
      </c>
      <c r="Q102" s="253" t="s">
        <v>97</v>
      </c>
      <c r="R102" s="677" t="s">
        <v>17</v>
      </c>
      <c r="S102" s="253" t="s">
        <v>97</v>
      </c>
      <c r="T102" s="677" t="s">
        <v>17</v>
      </c>
      <c r="U102" s="253" t="s">
        <v>97</v>
      </c>
      <c r="V102" s="677" t="s">
        <v>17</v>
      </c>
      <c r="W102" s="253" t="s">
        <v>97</v>
      </c>
      <c r="X102" s="677" t="s">
        <v>17</v>
      </c>
      <c r="Y102" s="253" t="s">
        <v>97</v>
      </c>
      <c r="Z102" s="684" t="s">
        <v>17</v>
      </c>
      <c r="AA102" s="657"/>
      <c r="AB102" s="1021" t="s">
        <v>97</v>
      </c>
      <c r="AC102" s="684" t="s">
        <v>17</v>
      </c>
      <c r="AD102" s="663"/>
    </row>
    <row r="103" spans="1:30" ht="12" x14ac:dyDescent="0.2">
      <c r="B103" s="680" t="s">
        <v>132</v>
      </c>
      <c r="C103" s="101">
        <v>64</v>
      </c>
      <c r="D103" s="899">
        <v>32.5</v>
      </c>
      <c r="E103" s="253">
        <v>63</v>
      </c>
      <c r="F103" s="706">
        <v>31.5</v>
      </c>
      <c r="G103" s="253">
        <v>53</v>
      </c>
      <c r="H103" s="706">
        <v>26.5</v>
      </c>
      <c r="I103" s="253">
        <v>53</v>
      </c>
      <c r="J103" s="706">
        <v>26.5</v>
      </c>
      <c r="K103" s="101">
        <v>66</v>
      </c>
      <c r="L103" s="706">
        <v>33</v>
      </c>
      <c r="M103" s="840">
        <v>68</v>
      </c>
      <c r="N103" s="717">
        <v>33.700000000000003</v>
      </c>
      <c r="O103" s="840">
        <v>66</v>
      </c>
      <c r="P103" s="717">
        <v>32.9</v>
      </c>
      <c r="Q103" s="840">
        <v>64</v>
      </c>
      <c r="R103" s="440">
        <v>32</v>
      </c>
      <c r="S103" s="840">
        <v>66</v>
      </c>
      <c r="T103" s="440">
        <v>33</v>
      </c>
      <c r="U103" s="840">
        <v>55</v>
      </c>
      <c r="V103" s="440">
        <v>27.5</v>
      </c>
      <c r="W103" s="840">
        <v>52</v>
      </c>
      <c r="X103" s="440">
        <v>26</v>
      </c>
      <c r="Y103" s="840">
        <v>65</v>
      </c>
      <c r="Z103" s="240">
        <v>32.5</v>
      </c>
      <c r="AA103" s="901"/>
      <c r="AB103" s="1382">
        <f t="shared" ref="AB103:AB105" si="37">AVERAGE(W103,U103,S103,Q103,Y103)</f>
        <v>60.4</v>
      </c>
      <c r="AC103" s="896">
        <f>AVERAGE(X103,V103,T103,R103,Z103)</f>
        <v>30.2</v>
      </c>
    </row>
    <row r="104" spans="1:30" ht="12" x14ac:dyDescent="0.2">
      <c r="B104" s="680" t="s">
        <v>133</v>
      </c>
      <c r="C104" s="101">
        <v>4</v>
      </c>
      <c r="D104" s="899">
        <v>2</v>
      </c>
      <c r="E104" s="253">
        <v>4</v>
      </c>
      <c r="F104" s="706">
        <v>2</v>
      </c>
      <c r="G104" s="253">
        <v>4</v>
      </c>
      <c r="H104" s="706">
        <v>2</v>
      </c>
      <c r="I104" s="253">
        <v>4</v>
      </c>
      <c r="J104" s="706">
        <v>2</v>
      </c>
      <c r="K104" s="101">
        <v>4</v>
      </c>
      <c r="L104" s="706">
        <v>2</v>
      </c>
      <c r="M104" s="840">
        <v>4</v>
      </c>
      <c r="N104" s="1030">
        <v>2</v>
      </c>
      <c r="O104" s="840">
        <v>5</v>
      </c>
      <c r="P104" s="1030">
        <v>2.5</v>
      </c>
      <c r="Q104" s="840">
        <v>5</v>
      </c>
      <c r="R104" s="1299">
        <v>2.5</v>
      </c>
      <c r="S104" s="840">
        <v>5</v>
      </c>
      <c r="T104" s="1299">
        <v>2.5</v>
      </c>
      <c r="U104" s="840">
        <v>6</v>
      </c>
      <c r="V104" s="1299">
        <v>3</v>
      </c>
      <c r="W104" s="840">
        <v>7</v>
      </c>
      <c r="X104" s="1299">
        <v>3.5</v>
      </c>
      <c r="Y104" s="840">
        <v>7</v>
      </c>
      <c r="Z104" s="1407">
        <v>3.5</v>
      </c>
      <c r="AA104" s="901"/>
      <c r="AB104" s="1382">
        <f t="shared" si="37"/>
        <v>6</v>
      </c>
      <c r="AC104" s="896">
        <f t="shared" ref="AC104:AC105" si="38">AVERAGE(X104,V104,T104,R104,Z104)</f>
        <v>3</v>
      </c>
    </row>
    <row r="105" spans="1:30" thickBot="1" x14ac:dyDescent="0.25">
      <c r="B105" s="682" t="s">
        <v>158</v>
      </c>
      <c r="C105" s="683">
        <v>0</v>
      </c>
      <c r="D105" s="902">
        <v>0</v>
      </c>
      <c r="E105" s="878">
        <v>0</v>
      </c>
      <c r="F105" s="707">
        <v>0</v>
      </c>
      <c r="G105" s="878">
        <v>0</v>
      </c>
      <c r="H105" s="707">
        <v>0</v>
      </c>
      <c r="I105" s="878">
        <v>0</v>
      </c>
      <c r="J105" s="707">
        <v>0</v>
      </c>
      <c r="K105" s="683">
        <v>0</v>
      </c>
      <c r="L105" s="707">
        <v>0</v>
      </c>
      <c r="M105" s="843">
        <v>0</v>
      </c>
      <c r="N105" s="1026">
        <v>0</v>
      </c>
      <c r="O105" s="843">
        <v>0</v>
      </c>
      <c r="P105" s="1026">
        <v>0</v>
      </c>
      <c r="Q105" s="843">
        <v>0</v>
      </c>
      <c r="R105" s="1337">
        <v>0</v>
      </c>
      <c r="S105" s="843">
        <v>0</v>
      </c>
      <c r="T105" s="1337">
        <v>0</v>
      </c>
      <c r="U105" s="843">
        <v>0</v>
      </c>
      <c r="V105" s="1337">
        <v>0</v>
      </c>
      <c r="W105" s="843">
        <v>0</v>
      </c>
      <c r="X105" s="1337">
        <v>0</v>
      </c>
      <c r="Y105" s="843">
        <v>0</v>
      </c>
      <c r="Z105" s="1408">
        <v>0</v>
      </c>
      <c r="AA105" s="901"/>
      <c r="AB105" s="1383">
        <f t="shared" si="37"/>
        <v>0</v>
      </c>
      <c r="AC105" s="898">
        <f t="shared" si="38"/>
        <v>0</v>
      </c>
    </row>
    <row r="106" spans="1:30" ht="14.25" thickTop="1" thickBot="1" x14ac:dyDescent="0.25">
      <c r="B106" s="709"/>
      <c r="C106" s="1477" t="s">
        <v>35</v>
      </c>
      <c r="D106" s="1482"/>
      <c r="E106" s="1477" t="s">
        <v>36</v>
      </c>
      <c r="F106" s="1482"/>
      <c r="G106" s="1479" t="s">
        <v>122</v>
      </c>
      <c r="H106" s="1487"/>
      <c r="I106" s="1479" t="s">
        <v>123</v>
      </c>
      <c r="J106" s="1487"/>
      <c r="K106" s="1479" t="s">
        <v>148</v>
      </c>
      <c r="L106" s="1487"/>
      <c r="M106" s="1488" t="s">
        <v>149</v>
      </c>
      <c r="N106" s="1484"/>
      <c r="O106" s="1483" t="s">
        <v>175</v>
      </c>
      <c r="P106" s="1484"/>
      <c r="Q106" s="1483" t="s">
        <v>194</v>
      </c>
      <c r="R106" s="1484"/>
      <c r="S106" s="1483" t="s">
        <v>219</v>
      </c>
      <c r="T106" s="1484"/>
      <c r="U106" s="1483" t="s">
        <v>222</v>
      </c>
      <c r="V106" s="1484"/>
      <c r="W106" s="1483" t="s">
        <v>233</v>
      </c>
      <c r="X106" s="1484"/>
      <c r="Y106" s="1483" t="s">
        <v>242</v>
      </c>
      <c r="Z106" s="1489"/>
      <c r="AA106" s="663"/>
      <c r="AB106" s="1485"/>
      <c r="AC106" s="1486"/>
    </row>
    <row r="107" spans="1:30" x14ac:dyDescent="0.2">
      <c r="B107" s="710" t="s">
        <v>157</v>
      </c>
      <c r="C107" s="1"/>
      <c r="D107" s="711"/>
      <c r="E107" s="712"/>
      <c r="F107" s="713"/>
      <c r="G107" s="714"/>
      <c r="H107" s="715"/>
      <c r="I107" s="716"/>
      <c r="J107" s="717"/>
      <c r="K107" s="655"/>
      <c r="L107" s="718"/>
      <c r="M107" s="655"/>
      <c r="N107" s="722"/>
      <c r="O107" s="222"/>
      <c r="P107" s="1187"/>
      <c r="Q107" s="655"/>
      <c r="R107" s="722"/>
      <c r="S107" s="655"/>
      <c r="T107" s="722"/>
      <c r="U107" s="222"/>
      <c r="V107" s="1187"/>
      <c r="W107" s="655"/>
      <c r="X107" s="722"/>
      <c r="Y107" s="655"/>
      <c r="Z107" s="1184"/>
      <c r="AA107" s="663"/>
      <c r="AB107" s="24"/>
      <c r="AC107" s="24"/>
    </row>
    <row r="108" spans="1:30" ht="12" x14ac:dyDescent="0.2">
      <c r="A108" s="652"/>
      <c r="B108" s="719" t="s">
        <v>138</v>
      </c>
      <c r="C108" s="1461">
        <v>15.91</v>
      </c>
      <c r="D108" s="1462"/>
      <c r="E108" s="720"/>
      <c r="F108" s="721"/>
      <c r="G108" s="655"/>
      <c r="H108" s="722"/>
      <c r="I108" s="1461">
        <v>17.739999999999998</v>
      </c>
      <c r="J108" s="1462"/>
      <c r="K108" s="723"/>
      <c r="L108" s="724"/>
      <c r="M108" s="723"/>
      <c r="N108" s="722"/>
      <c r="O108" s="235"/>
      <c r="P108" s="1233">
        <v>16.100000000000001</v>
      </c>
      <c r="Q108" s="723"/>
      <c r="R108" s="722"/>
      <c r="S108" s="723"/>
      <c r="T108" s="722"/>
      <c r="U108" s="235"/>
      <c r="V108" s="1233">
        <v>15.77</v>
      </c>
      <c r="W108" s="723"/>
      <c r="X108" s="722"/>
      <c r="Y108" s="723"/>
      <c r="Z108" s="1184"/>
      <c r="AA108" s="663"/>
      <c r="AB108" s="24"/>
      <c r="AC108" s="1215"/>
    </row>
    <row r="109" spans="1:30" ht="12" x14ac:dyDescent="0.2">
      <c r="A109" s="652"/>
      <c r="B109" s="725" t="s">
        <v>139</v>
      </c>
      <c r="C109" s="1461">
        <v>0</v>
      </c>
      <c r="D109" s="1462"/>
      <c r="E109" s="720"/>
      <c r="F109" s="721"/>
      <c r="G109" s="655"/>
      <c r="H109" s="722"/>
      <c r="I109" s="1461">
        <v>1.5</v>
      </c>
      <c r="J109" s="1462"/>
      <c r="K109" s="723"/>
      <c r="L109" s="724"/>
      <c r="M109" s="723"/>
      <c r="N109" s="722"/>
      <c r="O109" s="235"/>
      <c r="P109" s="1233"/>
      <c r="Q109" s="723"/>
      <c r="R109" s="722"/>
      <c r="S109" s="723"/>
      <c r="T109" s="722"/>
      <c r="U109" s="235"/>
      <c r="V109" s="1233"/>
      <c r="W109" s="723"/>
      <c r="X109" s="722"/>
      <c r="Y109" s="723"/>
      <c r="Z109" s="1184"/>
      <c r="AA109" s="663"/>
      <c r="AB109" s="24"/>
      <c r="AC109" s="1215"/>
    </row>
    <row r="110" spans="1:30" ht="12" x14ac:dyDescent="0.2">
      <c r="A110" s="652"/>
      <c r="B110" s="725" t="s">
        <v>140</v>
      </c>
      <c r="C110" s="1461"/>
      <c r="D110" s="1462"/>
      <c r="E110" s="720"/>
      <c r="F110" s="721"/>
      <c r="G110" s="655"/>
      <c r="H110" s="722"/>
      <c r="I110" s="1461"/>
      <c r="J110" s="1462"/>
      <c r="K110" s="723"/>
      <c r="L110" s="724"/>
      <c r="M110" s="723"/>
      <c r="N110" s="722"/>
      <c r="O110" s="235"/>
      <c r="P110" s="1233">
        <v>1</v>
      </c>
      <c r="Q110" s="723"/>
      <c r="R110" s="722"/>
      <c r="S110" s="723"/>
      <c r="T110" s="722"/>
      <c r="U110" s="235"/>
      <c r="V110" s="1233">
        <v>2.5</v>
      </c>
      <c r="W110" s="723"/>
      <c r="X110" s="722"/>
      <c r="Y110" s="723"/>
      <c r="Z110" s="1184"/>
      <c r="AA110" s="663"/>
      <c r="AB110" s="24"/>
      <c r="AC110" s="1215"/>
    </row>
    <row r="111" spans="1:30" ht="12" x14ac:dyDescent="0.2">
      <c r="A111" s="652"/>
      <c r="B111" s="719" t="s">
        <v>141</v>
      </c>
      <c r="C111" s="1461">
        <v>2</v>
      </c>
      <c r="D111" s="1462"/>
      <c r="E111" s="720"/>
      <c r="F111" s="721"/>
      <c r="G111" s="655"/>
      <c r="H111" s="722"/>
      <c r="I111" s="1461">
        <v>1.5</v>
      </c>
      <c r="J111" s="1462"/>
      <c r="K111" s="723"/>
      <c r="L111" s="724"/>
      <c r="M111" s="723"/>
      <c r="N111" s="722"/>
      <c r="O111" s="235"/>
      <c r="P111" s="1233">
        <v>1.5</v>
      </c>
      <c r="Q111" s="723"/>
      <c r="R111" s="722"/>
      <c r="S111" s="723"/>
      <c r="T111" s="722"/>
      <c r="U111" s="235"/>
      <c r="V111" s="1233">
        <v>1</v>
      </c>
      <c r="W111" s="723"/>
      <c r="X111" s="722"/>
      <c r="Y111" s="723"/>
      <c r="Z111" s="1184"/>
      <c r="AA111" s="663"/>
      <c r="AB111" s="24"/>
      <c r="AC111" s="1215"/>
    </row>
    <row r="112" spans="1:30" ht="12" x14ac:dyDescent="0.2">
      <c r="A112" s="652"/>
      <c r="B112" s="726" t="s">
        <v>142</v>
      </c>
      <c r="C112" s="1461">
        <v>0.7</v>
      </c>
      <c r="D112" s="1462"/>
      <c r="E112" s="720"/>
      <c r="F112" s="721"/>
      <c r="G112" s="655"/>
      <c r="H112" s="722"/>
      <c r="I112" s="1461">
        <v>0.88</v>
      </c>
      <c r="J112" s="1462"/>
      <c r="K112" s="723"/>
      <c r="L112" s="724"/>
      <c r="M112" s="723"/>
      <c r="N112" s="722"/>
      <c r="O112" s="235"/>
      <c r="P112" s="1233">
        <v>1.5</v>
      </c>
      <c r="Q112" s="723"/>
      <c r="R112" s="722"/>
      <c r="S112" s="723"/>
      <c r="T112" s="722"/>
      <c r="U112" s="235"/>
      <c r="V112" s="1233">
        <f>0.99+0.5</f>
        <v>1.49</v>
      </c>
      <c r="W112" s="723"/>
      <c r="X112" s="722"/>
      <c r="Y112" s="723"/>
      <c r="Z112" s="1184"/>
      <c r="AA112" s="663"/>
      <c r="AB112" s="24"/>
      <c r="AC112" s="1215"/>
    </row>
    <row r="113" spans="1:29" ht="12" x14ac:dyDescent="0.2">
      <c r="A113" s="652"/>
      <c r="B113" s="726" t="s">
        <v>143</v>
      </c>
      <c r="C113" s="1461">
        <f>SUM(C108:D112)</f>
        <v>18.61</v>
      </c>
      <c r="D113" s="1462"/>
      <c r="E113" s="720"/>
      <c r="F113" s="721"/>
      <c r="G113" s="655"/>
      <c r="H113" s="722"/>
      <c r="I113" s="1461">
        <f>SUM(I108:J112)</f>
        <v>21.619999999999997</v>
      </c>
      <c r="J113" s="1462"/>
      <c r="K113" s="723"/>
      <c r="L113" s="724"/>
      <c r="M113" s="723"/>
      <c r="N113" s="722"/>
      <c r="O113" s="235"/>
      <c r="P113" s="1233">
        <f>SUM(P108:P112)</f>
        <v>20.100000000000001</v>
      </c>
      <c r="Q113" s="723"/>
      <c r="R113" s="722"/>
      <c r="S113" s="723"/>
      <c r="T113" s="722"/>
      <c r="U113" s="235"/>
      <c r="V113" s="1233">
        <f>SUM(V108:V112)</f>
        <v>20.759999999999998</v>
      </c>
      <c r="W113" s="723"/>
      <c r="X113" s="722"/>
      <c r="Y113" s="723"/>
      <c r="Z113" s="1184"/>
      <c r="AA113" s="663"/>
      <c r="AB113" s="24"/>
      <c r="AC113" s="1215"/>
    </row>
    <row r="114" spans="1:29" thickBot="1" x14ac:dyDescent="0.25">
      <c r="A114" s="652"/>
      <c r="B114" s="727" t="s">
        <v>151</v>
      </c>
      <c r="C114" s="1526"/>
      <c r="D114" s="1527"/>
      <c r="E114" s="720"/>
      <c r="F114" s="721"/>
      <c r="G114" s="655"/>
      <c r="H114" s="722"/>
      <c r="I114" s="1526"/>
      <c r="J114" s="1527"/>
      <c r="K114" s="723"/>
      <c r="L114" s="724"/>
      <c r="M114" s="723"/>
      <c r="N114" s="722"/>
      <c r="O114" s="235"/>
      <c r="P114" s="1187"/>
      <c r="Q114" s="723"/>
      <c r="R114" s="722"/>
      <c r="S114" s="723"/>
      <c r="T114" s="722"/>
      <c r="U114" s="235"/>
      <c r="V114" s="1187"/>
      <c r="W114" s="723"/>
      <c r="X114" s="722"/>
      <c r="Y114" s="723"/>
      <c r="Z114" s="1184"/>
      <c r="AA114" s="663"/>
      <c r="AB114" s="24"/>
      <c r="AC114" s="1215"/>
    </row>
    <row r="115" spans="1:29" ht="12" x14ac:dyDescent="0.2">
      <c r="A115" s="652"/>
      <c r="B115" s="719" t="s">
        <v>144</v>
      </c>
      <c r="C115" s="1524">
        <v>4294</v>
      </c>
      <c r="D115" s="1525"/>
      <c r="E115" s="720"/>
      <c r="F115" s="721"/>
      <c r="G115" s="655"/>
      <c r="H115" s="722"/>
      <c r="I115" s="1524">
        <v>1824</v>
      </c>
      <c r="J115" s="1525"/>
      <c r="K115" s="723"/>
      <c r="L115" s="724"/>
      <c r="M115" s="723"/>
      <c r="N115" s="722"/>
      <c r="O115" s="235"/>
      <c r="P115" s="1231">
        <v>5653</v>
      </c>
      <c r="Q115" s="723"/>
      <c r="R115" s="722"/>
      <c r="S115" s="723"/>
      <c r="T115" s="722"/>
      <c r="U115" s="235"/>
      <c r="V115" s="1231">
        <v>6672</v>
      </c>
      <c r="W115" s="723"/>
      <c r="X115" s="722"/>
      <c r="Y115" s="723"/>
      <c r="Z115" s="1184"/>
      <c r="AA115" s="663"/>
      <c r="AB115" s="24"/>
      <c r="AC115" s="550"/>
    </row>
    <row r="116" spans="1:29" ht="12" x14ac:dyDescent="0.2">
      <c r="A116" s="652"/>
      <c r="B116" s="726" t="s">
        <v>145</v>
      </c>
      <c r="C116" s="1524">
        <v>0</v>
      </c>
      <c r="D116" s="1525"/>
      <c r="E116" s="720"/>
      <c r="F116" s="721"/>
      <c r="G116" s="655"/>
      <c r="H116" s="722"/>
      <c r="I116" s="1524">
        <v>72</v>
      </c>
      <c r="J116" s="1525"/>
      <c r="K116" s="723"/>
      <c r="L116" s="724"/>
      <c r="M116" s="723"/>
      <c r="N116" s="722"/>
      <c r="O116" s="235"/>
      <c r="P116" s="1231">
        <v>2</v>
      </c>
      <c r="Q116" s="723"/>
      <c r="R116" s="722"/>
      <c r="S116" s="723"/>
      <c r="T116" s="722"/>
      <c r="U116" s="235"/>
      <c r="V116" s="1231">
        <v>29</v>
      </c>
      <c r="W116" s="723"/>
      <c r="X116" s="722"/>
      <c r="Y116" s="723"/>
      <c r="Z116" s="1184"/>
      <c r="AA116" s="663"/>
      <c r="AB116" s="24"/>
      <c r="AC116" s="550"/>
    </row>
    <row r="117" spans="1:29" ht="12" x14ac:dyDescent="0.2">
      <c r="A117" s="652"/>
      <c r="B117" s="726" t="s">
        <v>146</v>
      </c>
      <c r="C117" s="1524">
        <v>202</v>
      </c>
      <c r="D117" s="1525"/>
      <c r="E117" s="720"/>
      <c r="F117" s="721"/>
      <c r="G117" s="655"/>
      <c r="H117" s="722"/>
      <c r="I117" s="1524">
        <v>193</v>
      </c>
      <c r="J117" s="1525"/>
      <c r="K117" s="723"/>
      <c r="L117" s="724"/>
      <c r="M117" s="723"/>
      <c r="N117" s="722"/>
      <c r="O117" s="235"/>
      <c r="P117" s="1231">
        <v>266</v>
      </c>
      <c r="Q117" s="723"/>
      <c r="R117" s="722"/>
      <c r="S117" s="723"/>
      <c r="T117" s="722"/>
      <c r="U117" s="235"/>
      <c r="V117" s="1231">
        <f>169+372</f>
        <v>541</v>
      </c>
      <c r="W117" s="723"/>
      <c r="X117" s="722"/>
      <c r="Y117" s="723"/>
      <c r="Z117" s="1184"/>
      <c r="AA117" s="663"/>
      <c r="AB117" s="24"/>
      <c r="AC117" s="550"/>
    </row>
    <row r="118" spans="1:29" ht="12" x14ac:dyDescent="0.2">
      <c r="A118" s="652"/>
      <c r="B118" s="726" t="s">
        <v>156</v>
      </c>
      <c r="C118" s="1524">
        <f>SUM(C115:D117)</f>
        <v>4496</v>
      </c>
      <c r="D118" s="1525"/>
      <c r="E118" s="720"/>
      <c r="F118" s="721"/>
      <c r="G118" s="655"/>
      <c r="H118" s="722"/>
      <c r="I118" s="1524">
        <f>SUM(I115:J117)</f>
        <v>2089</v>
      </c>
      <c r="J118" s="1525"/>
      <c r="K118" s="723"/>
      <c r="L118" s="724"/>
      <c r="M118" s="723"/>
      <c r="N118" s="722"/>
      <c r="O118" s="235"/>
      <c r="P118" s="1231">
        <f>SUM(P115:P117)</f>
        <v>5921</v>
      </c>
      <c r="Q118" s="723"/>
      <c r="R118" s="722"/>
      <c r="S118" s="723"/>
      <c r="T118" s="722"/>
      <c r="U118" s="235"/>
      <c r="V118" s="1231">
        <f>SUM(V115:V117)</f>
        <v>7242</v>
      </c>
      <c r="W118" s="723"/>
      <c r="X118" s="722"/>
      <c r="Y118" s="723"/>
      <c r="Z118" s="1184"/>
      <c r="AA118" s="663"/>
      <c r="AB118" s="24"/>
      <c r="AC118" s="550"/>
    </row>
    <row r="119" spans="1:29" thickBot="1" x14ac:dyDescent="0.25">
      <c r="A119" s="652"/>
      <c r="B119" s="727" t="s">
        <v>152</v>
      </c>
      <c r="C119" s="1461"/>
      <c r="D119" s="1462"/>
      <c r="E119" s="720"/>
      <c r="F119" s="721"/>
      <c r="G119" s="655"/>
      <c r="H119" s="722"/>
      <c r="I119" s="1461"/>
      <c r="J119" s="1462"/>
      <c r="K119" s="723"/>
      <c r="L119" s="724"/>
      <c r="M119" s="723"/>
      <c r="N119" s="722"/>
      <c r="O119" s="235"/>
      <c r="P119" s="1187"/>
      <c r="Q119" s="723"/>
      <c r="R119" s="722"/>
      <c r="S119" s="723"/>
      <c r="T119" s="722"/>
      <c r="U119" s="235"/>
      <c r="V119" s="1187"/>
      <c r="W119" s="723"/>
      <c r="X119" s="722"/>
      <c r="Y119" s="723"/>
      <c r="Z119" s="1184"/>
      <c r="AA119" s="663"/>
      <c r="AB119" s="24"/>
      <c r="AC119" s="550"/>
    </row>
    <row r="120" spans="1:29" ht="12" x14ac:dyDescent="0.2">
      <c r="A120" s="652"/>
      <c r="B120" s="719" t="s">
        <v>153</v>
      </c>
      <c r="C120" s="1461">
        <f>C115/C108</f>
        <v>269.89314896291643</v>
      </c>
      <c r="D120" s="1462"/>
      <c r="E120" s="728"/>
      <c r="F120" s="729"/>
      <c r="G120" s="730"/>
      <c r="H120" s="731"/>
      <c r="I120" s="1461">
        <f>I115/I108</f>
        <v>102.81848928974071</v>
      </c>
      <c r="J120" s="1462"/>
      <c r="K120" s="723"/>
      <c r="L120" s="732"/>
      <c r="M120" s="723"/>
      <c r="N120" s="722"/>
      <c r="O120" s="235"/>
      <c r="P120" s="1199">
        <f>P115/P108</f>
        <v>351.11801242236021</v>
      </c>
      <c r="Q120" s="723"/>
      <c r="R120" s="722"/>
      <c r="S120" s="723"/>
      <c r="T120" s="722"/>
      <c r="U120" s="235"/>
      <c r="V120" s="1199">
        <f>V115/V108</f>
        <v>423.08180088776157</v>
      </c>
      <c r="W120" s="723"/>
      <c r="X120" s="722"/>
      <c r="Y120" s="723"/>
      <c r="Z120" s="1184"/>
      <c r="AB120" s="24"/>
      <c r="AC120" s="550"/>
    </row>
    <row r="121" spans="1:29" ht="12" x14ac:dyDescent="0.2">
      <c r="A121" s="652"/>
      <c r="B121" s="726" t="s">
        <v>154</v>
      </c>
      <c r="C121" s="1461">
        <f>C116/SUM(C109:D111)</f>
        <v>0</v>
      </c>
      <c r="D121" s="1462"/>
      <c r="E121" s="728"/>
      <c r="F121" s="729"/>
      <c r="G121" s="730"/>
      <c r="H121" s="731"/>
      <c r="I121" s="1461">
        <f>I116/SUM(I109:J111)</f>
        <v>24</v>
      </c>
      <c r="J121" s="1462"/>
      <c r="K121" s="723"/>
      <c r="L121" s="732"/>
      <c r="M121" s="723"/>
      <c r="N121" s="722"/>
      <c r="O121" s="235"/>
      <c r="P121" s="1199">
        <f>P116/SUM(P109:Q111)</f>
        <v>0.8</v>
      </c>
      <c r="Q121" s="723"/>
      <c r="R121" s="722"/>
      <c r="S121" s="723"/>
      <c r="T121" s="722"/>
      <c r="U121" s="235"/>
      <c r="V121" s="1199">
        <f>V116/(V110+V111)</f>
        <v>8.2857142857142865</v>
      </c>
      <c r="W121" s="723"/>
      <c r="X121" s="722"/>
      <c r="Y121" s="723"/>
      <c r="Z121" s="1184"/>
      <c r="AB121" s="24"/>
      <c r="AC121" s="550"/>
    </row>
    <row r="122" spans="1:29" ht="12" x14ac:dyDescent="0.2">
      <c r="A122" s="652"/>
      <c r="B122" s="726" t="s">
        <v>155</v>
      </c>
      <c r="C122" s="1461">
        <f>C117/C112</f>
        <v>288.57142857142861</v>
      </c>
      <c r="D122" s="1462"/>
      <c r="E122" s="728"/>
      <c r="F122" s="729"/>
      <c r="G122" s="730"/>
      <c r="H122" s="731"/>
      <c r="I122" s="1461">
        <f>I117/I112</f>
        <v>219.31818181818181</v>
      </c>
      <c r="J122" s="1462"/>
      <c r="K122" s="723"/>
      <c r="L122" s="732"/>
      <c r="M122" s="723"/>
      <c r="N122" s="722"/>
      <c r="O122" s="235"/>
      <c r="P122" s="1199">
        <f>P117/P112</f>
        <v>177.33333333333334</v>
      </c>
      <c r="Q122" s="723"/>
      <c r="R122" s="722"/>
      <c r="S122" s="723"/>
      <c r="T122" s="722"/>
      <c r="U122" s="235"/>
      <c r="V122" s="1199">
        <f>V117/V112</f>
        <v>363.08724832214767</v>
      </c>
      <c r="W122" s="723"/>
      <c r="X122" s="722"/>
      <c r="Y122" s="723"/>
      <c r="Z122" s="1184"/>
      <c r="AB122" s="24"/>
      <c r="AC122" s="550"/>
    </row>
    <row r="123" spans="1:29" thickBot="1" x14ac:dyDescent="0.25">
      <c r="A123" s="652"/>
      <c r="B123" s="733" t="s">
        <v>147</v>
      </c>
      <c r="C123" s="1459">
        <f>C118/C113</f>
        <v>241.59054271896829</v>
      </c>
      <c r="D123" s="1460"/>
      <c r="E123" s="734"/>
      <c r="F123" s="735"/>
      <c r="G123" s="736"/>
      <c r="H123" s="737"/>
      <c r="I123" s="1459">
        <f>I118/I113</f>
        <v>96.623496762257176</v>
      </c>
      <c r="J123" s="1460"/>
      <c r="K123" s="738"/>
      <c r="L123" s="739"/>
      <c r="M123" s="738"/>
      <c r="N123" s="739"/>
      <c r="O123" s="252"/>
      <c r="P123" s="1200">
        <f>P118/P113</f>
        <v>294.57711442786069</v>
      </c>
      <c r="Q123" s="738"/>
      <c r="R123" s="739"/>
      <c r="S123" s="738"/>
      <c r="T123" s="739"/>
      <c r="U123" s="252"/>
      <c r="V123" s="1200">
        <f>V118/V113</f>
        <v>348.84393063583821</v>
      </c>
      <c r="W123" s="738"/>
      <c r="X123" s="739"/>
      <c r="Y123" s="738"/>
      <c r="Z123" s="1185"/>
      <c r="AB123" s="24"/>
      <c r="AC123" s="550"/>
    </row>
    <row r="124" spans="1:29" ht="13.5" thickTop="1" x14ac:dyDescent="0.2">
      <c r="B124" s="1" t="str">
        <f>'ag sum'!B126</f>
        <v>*Note: For the 2009 collection cycle and later, Instructional FTE was defined according to the national Delaware Study of Instructional Costs and Productivity</v>
      </c>
      <c r="P124" s="24"/>
      <c r="Q124" s="66"/>
      <c r="S124" s="66"/>
      <c r="U124" s="66"/>
      <c r="W124" s="66"/>
      <c r="Y124" s="66"/>
      <c r="AC124" s="24"/>
    </row>
    <row r="125" spans="1:29" x14ac:dyDescent="0.2">
      <c r="P125" s="24"/>
      <c r="Q125" s="24"/>
      <c r="S125" s="24"/>
      <c r="U125" s="24"/>
      <c r="W125" s="24"/>
      <c r="Y125" s="24"/>
    </row>
  </sheetData>
  <mergeCells count="124">
    <mergeCell ref="Y6:Z6"/>
    <mergeCell ref="Y29:Z29"/>
    <mergeCell ref="Y37:Z37"/>
    <mergeCell ref="Y40:Z40"/>
    <mergeCell ref="Y44:Z44"/>
    <mergeCell ref="Y71:Z71"/>
    <mergeCell ref="Y106:Z106"/>
    <mergeCell ref="AB40:AC40"/>
    <mergeCell ref="M6:N6"/>
    <mergeCell ref="M29:N29"/>
    <mergeCell ref="AB6:AC6"/>
    <mergeCell ref="AB44:AC44"/>
    <mergeCell ref="AB106:AC106"/>
    <mergeCell ref="U106:V106"/>
    <mergeCell ref="U6:V6"/>
    <mergeCell ref="U29:V29"/>
    <mergeCell ref="U37:V37"/>
    <mergeCell ref="U40:V40"/>
    <mergeCell ref="U44:V44"/>
    <mergeCell ref="U71:V71"/>
    <mergeCell ref="Q40:R40"/>
    <mergeCell ref="O106:P106"/>
    <mergeCell ref="Q6:R6"/>
    <mergeCell ref="Q29:R29"/>
    <mergeCell ref="S106:T106"/>
    <mergeCell ref="S6:T6"/>
    <mergeCell ref="S29:T29"/>
    <mergeCell ref="S37:T37"/>
    <mergeCell ref="S40:T40"/>
    <mergeCell ref="C113:D113"/>
    <mergeCell ref="C40:D40"/>
    <mergeCell ref="I113:J113"/>
    <mergeCell ref="C29:D29"/>
    <mergeCell ref="C39:D39"/>
    <mergeCell ref="I39:J39"/>
    <mergeCell ref="E39:F39"/>
    <mergeCell ref="G39:H39"/>
    <mergeCell ref="I37:J37"/>
    <mergeCell ref="I38:J38"/>
    <mergeCell ref="K44:L44"/>
    <mergeCell ref="S71:T71"/>
    <mergeCell ref="K6:L6"/>
    <mergeCell ref="K29:L29"/>
    <mergeCell ref="Q106:R106"/>
    <mergeCell ref="O6:P6"/>
    <mergeCell ref="O29:P29"/>
    <mergeCell ref="E40:F40"/>
    <mergeCell ref="I40:J40"/>
    <mergeCell ref="C111:D111"/>
    <mergeCell ref="C112:D112"/>
    <mergeCell ref="I108:J108"/>
    <mergeCell ref="C106:D106"/>
    <mergeCell ref="E106:F106"/>
    <mergeCell ref="G106:H106"/>
    <mergeCell ref="E71:F71"/>
    <mergeCell ref="C71:D71"/>
    <mergeCell ref="I106:J106"/>
    <mergeCell ref="AB29:AC29"/>
    <mergeCell ref="K71:L71"/>
    <mergeCell ref="G71:H71"/>
    <mergeCell ref="AB71:AC71"/>
    <mergeCell ref="O71:P71"/>
    <mergeCell ref="M71:N71"/>
    <mergeCell ref="Q44:R44"/>
    <mergeCell ref="M44:N44"/>
    <mergeCell ref="O44:P44"/>
    <mergeCell ref="S44:T44"/>
    <mergeCell ref="G37:H37"/>
    <mergeCell ref="G38:H38"/>
    <mergeCell ref="I29:J29"/>
    <mergeCell ref="G29:H29"/>
    <mergeCell ref="G40:H40"/>
    <mergeCell ref="Q37:R37"/>
    <mergeCell ref="Q71:R71"/>
    <mergeCell ref="I44:J44"/>
    <mergeCell ref="I71:J71"/>
    <mergeCell ref="C123:D123"/>
    <mergeCell ref="I123:J123"/>
    <mergeCell ref="C120:D120"/>
    <mergeCell ref="I120:J120"/>
    <mergeCell ref="C121:D121"/>
    <mergeCell ref="I121:J121"/>
    <mergeCell ref="I109:J110"/>
    <mergeCell ref="C117:D117"/>
    <mergeCell ref="I117:J117"/>
    <mergeCell ref="C122:D122"/>
    <mergeCell ref="I122:J122"/>
    <mergeCell ref="C119:D119"/>
    <mergeCell ref="I119:J119"/>
    <mergeCell ref="I111:J111"/>
    <mergeCell ref="C109:D110"/>
    <mergeCell ref="I118:J118"/>
    <mergeCell ref="C115:D115"/>
    <mergeCell ref="I115:J115"/>
    <mergeCell ref="C116:D116"/>
    <mergeCell ref="C118:D118"/>
    <mergeCell ref="I116:J116"/>
    <mergeCell ref="C114:D114"/>
    <mergeCell ref="I114:J114"/>
    <mergeCell ref="I112:J112"/>
    <mergeCell ref="W106:X106"/>
    <mergeCell ref="W6:X6"/>
    <mergeCell ref="W29:X29"/>
    <mergeCell ref="W37:X37"/>
    <mergeCell ref="W40:X40"/>
    <mergeCell ref="W44:X44"/>
    <mergeCell ref="W71:X71"/>
    <mergeCell ref="G44:H44"/>
    <mergeCell ref="C108:D108"/>
    <mergeCell ref="O37:P37"/>
    <mergeCell ref="O40:P40"/>
    <mergeCell ref="K40:L40"/>
    <mergeCell ref="M40:N40"/>
    <mergeCell ref="K106:L106"/>
    <mergeCell ref="M106:N106"/>
    <mergeCell ref="M37:N37"/>
    <mergeCell ref="K37:L37"/>
    <mergeCell ref="C38:D38"/>
    <mergeCell ref="E38:F38"/>
    <mergeCell ref="C37:D37"/>
    <mergeCell ref="E29:F29"/>
    <mergeCell ref="E37:F37"/>
    <mergeCell ref="C44:D44"/>
    <mergeCell ref="E44:F44"/>
  </mergeCells>
  <phoneticPr fontId="0" type="noConversion"/>
  <printOptions horizontalCentered="1"/>
  <pageMargins left="0.5" right="0.5" top="0.25" bottom="0.25" header="0.5" footer="0.42"/>
  <pageSetup scale="65" orientation="landscape" horizontalDpi="4294967292" verticalDpi="4294967292" r:id="rId1"/>
  <headerFooter alignWithMargins="0">
    <oddFooter>&amp;R&amp;P of &amp;N
&amp;D</oddFooter>
  </headerFooter>
  <rowBreaks count="1" manualBreakCount="1">
    <brk id="68" max="19" man="1"/>
  </rowBreaks>
  <ignoredErrors>
    <ignoredError sqref="S81:S100 W81:W9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4"/>
  <sheetViews>
    <sheetView zoomScale="110" zoomScaleNormal="110" zoomScaleSheetLayoutView="70" workbookViewId="0">
      <pane xSplit="2" ySplit="1" topLeftCell="O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2.75" x14ac:dyDescent="0.2"/>
  <cols>
    <col min="1" max="1" width="3.85546875" style="1" customWidth="1"/>
    <col min="2" max="2" width="29.7109375" style="1" customWidth="1"/>
    <col min="3" max="3" width="7.7109375" hidden="1" customWidth="1"/>
    <col min="4" max="4" width="10.5703125" hidden="1" customWidth="1"/>
    <col min="5" max="5" width="7.7109375" hidden="1" customWidth="1"/>
    <col min="6" max="6" width="10.42578125" hidden="1" customWidth="1"/>
    <col min="7" max="7" width="7.7109375" style="223" hidden="1" customWidth="1"/>
    <col min="8" max="8" width="10.42578125" style="223" hidden="1" customWidth="1"/>
    <col min="9" max="9" width="7.7109375" style="223" hidden="1" customWidth="1"/>
    <col min="10" max="10" width="10.28515625" style="223" hidden="1" customWidth="1"/>
    <col min="11" max="11" width="7.7109375" style="1" hidden="1" customWidth="1"/>
    <col min="12" max="12" width="10.42578125" style="1" hidden="1" customWidth="1"/>
    <col min="13" max="13" width="7.7109375" style="1" hidden="1" customWidth="1"/>
    <col min="14" max="14" width="10.28515625" style="1" hidden="1" customWidth="1"/>
    <col min="15" max="15" width="7.7109375" style="1" customWidth="1"/>
    <col min="16" max="16" width="10.28515625" style="1" customWidth="1"/>
    <col min="17" max="17" width="7.7109375" style="1" customWidth="1"/>
    <col min="18" max="18" width="10.28515625" style="1" customWidth="1"/>
    <col min="19" max="19" width="7.7109375" style="1" customWidth="1"/>
    <col min="20" max="20" width="10.28515625" style="1" customWidth="1"/>
    <col min="21" max="21" width="7.7109375" style="1" customWidth="1"/>
    <col min="22" max="22" width="10.28515625" style="1" customWidth="1"/>
    <col min="23" max="23" width="7.7109375" style="1" customWidth="1"/>
    <col min="24" max="24" width="10.28515625" style="1" customWidth="1"/>
    <col min="25" max="25" width="7.7109375" style="1" customWidth="1"/>
    <col min="26" max="26" width="10.28515625" style="1" customWidth="1"/>
    <col min="27" max="27" width="5.5703125" style="1" customWidth="1"/>
    <col min="28" max="28" width="7.7109375" style="1" customWidth="1"/>
    <col min="29" max="29" width="10.28515625" style="1" customWidth="1"/>
    <col min="30" max="30" width="3.5703125" style="1" customWidth="1"/>
    <col min="31" max="16384" width="10.28515625" style="1"/>
  </cols>
  <sheetData>
    <row r="1" spans="1:29" ht="18" x14ac:dyDescent="0.25">
      <c r="A1" s="1100" t="str">
        <f>Dean_Ag!A1</f>
        <v>Department Profile Report - FY 2015</v>
      </c>
      <c r="B1" s="1100"/>
      <c r="C1" s="1100"/>
      <c r="D1" s="1100"/>
      <c r="E1" s="1100"/>
      <c r="F1" s="1100"/>
      <c r="G1" s="1100"/>
      <c r="H1" s="1100"/>
      <c r="I1" s="1101"/>
      <c r="J1" s="1101"/>
      <c r="K1" s="1101"/>
      <c r="L1" s="1101"/>
      <c r="M1" s="1101"/>
      <c r="N1" s="1101"/>
      <c r="O1" s="1101"/>
      <c r="P1" s="1101"/>
      <c r="Q1" s="1101"/>
      <c r="R1" s="1101"/>
      <c r="S1" s="1101"/>
      <c r="T1" s="1101"/>
      <c r="U1" s="1101"/>
      <c r="V1" s="1101"/>
      <c r="W1" s="1101"/>
      <c r="X1" s="1101"/>
      <c r="Y1" s="1101"/>
      <c r="Z1" s="1101"/>
      <c r="AA1" s="1101"/>
      <c r="AB1" s="1101"/>
      <c r="AC1" s="1101"/>
    </row>
    <row r="2" spans="1:29" ht="12" x14ac:dyDescent="0.2">
      <c r="C2" s="1"/>
      <c r="D2" s="1"/>
      <c r="E2" s="1"/>
      <c r="F2" s="1"/>
      <c r="G2" s="222"/>
      <c r="H2" s="222"/>
      <c r="I2" s="222"/>
      <c r="J2" s="222"/>
    </row>
    <row r="3" spans="1:29" x14ac:dyDescent="0.2">
      <c r="A3" s="3" t="s">
        <v>215</v>
      </c>
      <c r="B3" s="222"/>
      <c r="C3" s="1"/>
      <c r="D3" s="1"/>
      <c r="E3" s="1"/>
      <c r="F3" s="1"/>
      <c r="G3" s="222"/>
      <c r="H3" s="222"/>
      <c r="I3" s="222"/>
      <c r="J3" s="222"/>
    </row>
    <row r="4" spans="1:29" ht="6.75" customHeight="1" x14ac:dyDescent="0.2">
      <c r="C4" s="1"/>
      <c r="D4" s="1"/>
      <c r="E4" s="1"/>
      <c r="F4" s="1"/>
      <c r="G4" s="222"/>
      <c r="H4" s="222"/>
      <c r="I4" s="222"/>
      <c r="J4" s="222"/>
    </row>
    <row r="5" spans="1:29" x14ac:dyDescent="0.2">
      <c r="A5" s="3" t="s">
        <v>55</v>
      </c>
      <c r="C5" s="1"/>
      <c r="D5" s="1"/>
      <c r="E5" s="1"/>
      <c r="F5" s="1"/>
      <c r="G5" s="222"/>
      <c r="H5" s="222"/>
      <c r="I5" s="222"/>
      <c r="J5" s="222"/>
    </row>
    <row r="6" spans="1:29" ht="13.5" thickBot="1" x14ac:dyDescent="0.25">
      <c r="A6" s="3"/>
      <c r="C6" s="1"/>
      <c r="D6" s="1"/>
      <c r="E6" s="1"/>
      <c r="F6" s="1"/>
      <c r="G6" s="222"/>
      <c r="H6" s="222"/>
      <c r="I6" s="222"/>
      <c r="J6" s="222"/>
      <c r="AB6" s="71"/>
      <c r="AC6" s="71"/>
    </row>
    <row r="7" spans="1:29" ht="13.5" customHeight="1" thickTop="1" x14ac:dyDescent="0.2">
      <c r="B7" s="38"/>
      <c r="C7" s="8" t="s">
        <v>33</v>
      </c>
      <c r="D7" s="29"/>
      <c r="E7" s="8" t="s">
        <v>34</v>
      </c>
      <c r="F7" s="5"/>
      <c r="G7" s="256" t="s">
        <v>106</v>
      </c>
      <c r="H7" s="418"/>
      <c r="I7" s="405" t="s">
        <v>118</v>
      </c>
      <c r="J7" s="469"/>
      <c r="K7" s="1512" t="s">
        <v>121</v>
      </c>
      <c r="L7" s="1509"/>
      <c r="M7" s="1512" t="s">
        <v>127</v>
      </c>
      <c r="N7" s="1513"/>
      <c r="O7" s="1509" t="s">
        <v>174</v>
      </c>
      <c r="P7" s="1513"/>
      <c r="Q7" s="1509" t="s">
        <v>193</v>
      </c>
      <c r="R7" s="1513"/>
      <c r="S7" s="1509" t="s">
        <v>218</v>
      </c>
      <c r="T7" s="1513"/>
      <c r="U7" s="1509" t="s">
        <v>221</v>
      </c>
      <c r="V7" s="1513"/>
      <c r="W7" s="1509" t="s">
        <v>232</v>
      </c>
      <c r="X7" s="1513"/>
      <c r="Y7" s="1509" t="s">
        <v>241</v>
      </c>
      <c r="Z7" s="1510"/>
      <c r="AB7" s="1517" t="s">
        <v>134</v>
      </c>
      <c r="AC7" s="1528"/>
    </row>
    <row r="8" spans="1:29" ht="12" x14ac:dyDescent="0.2">
      <c r="B8" s="39"/>
      <c r="C8" s="9" t="s">
        <v>1</v>
      </c>
      <c r="D8" s="31" t="s">
        <v>2</v>
      </c>
      <c r="E8" s="9" t="s">
        <v>1</v>
      </c>
      <c r="F8" s="6" t="s">
        <v>2</v>
      </c>
      <c r="G8" s="257" t="s">
        <v>1</v>
      </c>
      <c r="H8" s="415" t="s">
        <v>2</v>
      </c>
      <c r="I8" s="402" t="s">
        <v>1</v>
      </c>
      <c r="J8" s="470" t="s">
        <v>2</v>
      </c>
      <c r="K8" s="257" t="s">
        <v>1</v>
      </c>
      <c r="L8" s="470" t="s">
        <v>2</v>
      </c>
      <c r="M8" s="257" t="s">
        <v>1</v>
      </c>
      <c r="N8" s="415" t="s">
        <v>2</v>
      </c>
      <c r="O8" s="402" t="s">
        <v>1</v>
      </c>
      <c r="P8" s="415" t="s">
        <v>2</v>
      </c>
      <c r="Q8" s="402" t="s">
        <v>1</v>
      </c>
      <c r="R8" s="415" t="s">
        <v>2</v>
      </c>
      <c r="S8" s="402" t="s">
        <v>1</v>
      </c>
      <c r="T8" s="415" t="s">
        <v>2</v>
      </c>
      <c r="U8" s="402" t="s">
        <v>1</v>
      </c>
      <c r="V8" s="415" t="s">
        <v>2</v>
      </c>
      <c r="W8" s="402" t="s">
        <v>1</v>
      </c>
      <c r="X8" s="415" t="s">
        <v>2</v>
      </c>
      <c r="Y8" s="402" t="s">
        <v>1</v>
      </c>
      <c r="Z8" s="224" t="s">
        <v>2</v>
      </c>
      <c r="AB8" s="755" t="s">
        <v>1</v>
      </c>
      <c r="AC8" s="756" t="s">
        <v>2</v>
      </c>
    </row>
    <row r="9" spans="1:29" thickBot="1" x14ac:dyDescent="0.25">
      <c r="B9" s="40"/>
      <c r="C9" s="55" t="s">
        <v>3</v>
      </c>
      <c r="D9" s="56" t="s">
        <v>4</v>
      </c>
      <c r="E9" s="55" t="s">
        <v>3</v>
      </c>
      <c r="F9" s="282" t="s">
        <v>4</v>
      </c>
      <c r="G9" s="283" t="s">
        <v>3</v>
      </c>
      <c r="H9" s="431" t="s">
        <v>4</v>
      </c>
      <c r="I9" s="419" t="s">
        <v>3</v>
      </c>
      <c r="J9" s="471" t="s">
        <v>4</v>
      </c>
      <c r="K9" s="283" t="s">
        <v>3</v>
      </c>
      <c r="L9" s="471" t="s">
        <v>4</v>
      </c>
      <c r="M9" s="283" t="s">
        <v>3</v>
      </c>
      <c r="N9" s="431" t="s">
        <v>4</v>
      </c>
      <c r="O9" s="419" t="s">
        <v>3</v>
      </c>
      <c r="P9" s="431" t="s">
        <v>4</v>
      </c>
      <c r="Q9" s="419" t="s">
        <v>3</v>
      </c>
      <c r="R9" s="431" t="s">
        <v>4</v>
      </c>
      <c r="S9" s="419" t="s">
        <v>3</v>
      </c>
      <c r="T9" s="431" t="s">
        <v>4</v>
      </c>
      <c r="U9" s="419" t="s">
        <v>3</v>
      </c>
      <c r="V9" s="431" t="s">
        <v>4</v>
      </c>
      <c r="W9" s="419" t="s">
        <v>3</v>
      </c>
      <c r="X9" s="431" t="s">
        <v>4</v>
      </c>
      <c r="Y9" s="419" t="s">
        <v>3</v>
      </c>
      <c r="Z9" s="225" t="s">
        <v>4</v>
      </c>
      <c r="AB9" s="757" t="s">
        <v>3</v>
      </c>
      <c r="AC9" s="758" t="s">
        <v>4</v>
      </c>
    </row>
    <row r="10" spans="1:29" ht="12" x14ac:dyDescent="0.2">
      <c r="B10" s="41" t="s">
        <v>5</v>
      </c>
      <c r="C10" s="57"/>
      <c r="D10" s="58"/>
      <c r="E10" s="57"/>
      <c r="F10" s="27"/>
      <c r="G10" s="284"/>
      <c r="H10" s="393"/>
      <c r="I10" s="324"/>
      <c r="J10" s="472"/>
      <c r="K10" s="284"/>
      <c r="L10" s="472"/>
      <c r="M10" s="284"/>
      <c r="N10" s="393"/>
      <c r="O10" s="324"/>
      <c r="P10" s="393"/>
      <c r="Q10" s="324"/>
      <c r="R10" s="393"/>
      <c r="S10" s="324"/>
      <c r="T10" s="393"/>
      <c r="U10" s="324"/>
      <c r="V10" s="393"/>
      <c r="W10" s="324"/>
      <c r="X10" s="393"/>
      <c r="Y10" s="324"/>
      <c r="Z10" s="226"/>
      <c r="AB10" s="299"/>
      <c r="AC10" s="652"/>
    </row>
    <row r="11" spans="1:29" s="909" customFormat="1" ht="11.25" customHeight="1" x14ac:dyDescent="0.2">
      <c r="B11" s="593" t="s">
        <v>44</v>
      </c>
      <c r="C11" s="927"/>
      <c r="D11" s="926"/>
      <c r="E11" s="923"/>
      <c r="F11" s="924"/>
      <c r="G11" s="925"/>
      <c r="H11" s="926"/>
      <c r="I11" s="927"/>
      <c r="J11" s="928"/>
      <c r="K11" s="925"/>
      <c r="L11" s="928"/>
      <c r="M11" s="925"/>
      <c r="N11" s="926"/>
      <c r="O11" s="927"/>
      <c r="P11" s="926"/>
      <c r="Q11" s="927"/>
      <c r="R11" s="926"/>
      <c r="S11" s="927"/>
      <c r="T11" s="926"/>
      <c r="U11" s="927"/>
      <c r="V11" s="926"/>
      <c r="W11" s="927"/>
      <c r="X11" s="926"/>
      <c r="Y11" s="927"/>
      <c r="Z11" s="929"/>
      <c r="AA11" s="919"/>
      <c r="AB11" s="1032"/>
      <c r="AC11" s="932"/>
    </row>
    <row r="12" spans="1:29" s="909" customFormat="1" ht="12" customHeight="1" x14ac:dyDescent="0.2">
      <c r="B12" s="594" t="s">
        <v>164</v>
      </c>
      <c r="C12" s="923">
        <v>69</v>
      </c>
      <c r="D12" s="922">
        <v>12</v>
      </c>
      <c r="E12" s="338">
        <f>48+3</f>
        <v>51</v>
      </c>
      <c r="F12" s="340">
        <v>9</v>
      </c>
      <c r="G12" s="129">
        <v>57</v>
      </c>
      <c r="H12" s="337">
        <v>8</v>
      </c>
      <c r="I12" s="336">
        <f>62+1+2</f>
        <v>65</v>
      </c>
      <c r="J12" s="106">
        <v>13</v>
      </c>
      <c r="K12" s="129">
        <v>68</v>
      </c>
      <c r="L12" s="106">
        <v>9</v>
      </c>
      <c r="M12" s="129">
        <f>79+2</f>
        <v>81</v>
      </c>
      <c r="N12" s="337">
        <v>11</v>
      </c>
      <c r="O12" s="336">
        <v>86</v>
      </c>
      <c r="P12" s="926">
        <v>12</v>
      </c>
      <c r="Q12" s="336">
        <v>78</v>
      </c>
      <c r="R12" s="926">
        <v>26</v>
      </c>
      <c r="S12" s="336">
        <v>62</v>
      </c>
      <c r="T12" s="926">
        <v>11</v>
      </c>
      <c r="U12" s="336">
        <v>63</v>
      </c>
      <c r="V12" s="926">
        <v>12</v>
      </c>
      <c r="W12" s="336">
        <v>68</v>
      </c>
      <c r="X12" s="926">
        <v>9</v>
      </c>
      <c r="Y12" s="336">
        <v>72</v>
      </c>
      <c r="Z12" s="1392"/>
      <c r="AA12" s="919"/>
      <c r="AB12" s="688">
        <f>AVERAGE(U12,S12,Q12,Y12,W12)</f>
        <v>68.599999999999994</v>
      </c>
      <c r="AC12" s="653">
        <f>AVERAGE(V12,T12,R12,Z12,X12)</f>
        <v>14.5</v>
      </c>
    </row>
    <row r="13" spans="1:29" ht="12" x14ac:dyDescent="0.2">
      <c r="B13" s="593" t="s">
        <v>188</v>
      </c>
      <c r="C13" s="338"/>
      <c r="D13" s="339"/>
      <c r="E13" s="338"/>
      <c r="F13" s="340"/>
      <c r="G13" s="1175"/>
      <c r="H13" s="337"/>
      <c r="I13" s="336"/>
      <c r="J13" s="106"/>
      <c r="K13" s="129"/>
      <c r="L13" s="106"/>
      <c r="M13" s="129"/>
      <c r="N13" s="337"/>
      <c r="O13" s="336"/>
      <c r="P13" s="337"/>
      <c r="Q13" s="336"/>
      <c r="R13" s="337"/>
      <c r="S13" s="336"/>
      <c r="T13" s="337"/>
      <c r="U13" s="336"/>
      <c r="V13" s="337"/>
      <c r="W13" s="336"/>
      <c r="X13" s="337"/>
      <c r="Y13" s="336"/>
      <c r="Z13" s="1400"/>
      <c r="AB13" s="299"/>
      <c r="AC13" s="653"/>
    </row>
    <row r="14" spans="1:29" thickBot="1" x14ac:dyDescent="0.25">
      <c r="B14" s="1151" t="s">
        <v>164</v>
      </c>
      <c r="C14" s="357">
        <v>61</v>
      </c>
      <c r="D14" s="364">
        <f>16+2</f>
        <v>18</v>
      </c>
      <c r="E14" s="357">
        <f>63+6</f>
        <v>69</v>
      </c>
      <c r="F14" s="365">
        <f>11+1</f>
        <v>12</v>
      </c>
      <c r="G14" s="1177">
        <v>56</v>
      </c>
      <c r="H14" s="342">
        <v>9</v>
      </c>
      <c r="I14" s="353">
        <v>61</v>
      </c>
      <c r="J14" s="343">
        <f>14+1</f>
        <v>15</v>
      </c>
      <c r="K14" s="359">
        <v>62</v>
      </c>
      <c r="L14" s="343">
        <f>10+3</f>
        <v>13</v>
      </c>
      <c r="M14" s="359">
        <f>52+6</f>
        <v>58</v>
      </c>
      <c r="N14" s="342">
        <v>12</v>
      </c>
      <c r="O14" s="353">
        <f>49+7</f>
        <v>56</v>
      </c>
      <c r="P14" s="342">
        <v>19</v>
      </c>
      <c r="Q14" s="353">
        <v>62</v>
      </c>
      <c r="R14" s="342">
        <v>11</v>
      </c>
      <c r="S14" s="353">
        <v>69</v>
      </c>
      <c r="T14" s="342">
        <v>14</v>
      </c>
      <c r="U14" s="353">
        <v>66</v>
      </c>
      <c r="V14" s="342">
        <v>17</v>
      </c>
      <c r="W14" s="353">
        <v>68</v>
      </c>
      <c r="X14" s="342">
        <v>13</v>
      </c>
      <c r="Y14" s="353">
        <v>78</v>
      </c>
      <c r="Z14" s="1402"/>
      <c r="AA14" s="652"/>
      <c r="AB14" s="688">
        <f t="shared" ref="AB14:AC14" si="0">AVERAGE(U14,S14,Q14,Y14,W14)</f>
        <v>68.599999999999994</v>
      </c>
      <c r="AC14" s="653">
        <f t="shared" si="0"/>
        <v>13.75</v>
      </c>
    </row>
    <row r="15" spans="1:29" thickTop="1" x14ac:dyDescent="0.2">
      <c r="B15" s="596" t="s">
        <v>214</v>
      </c>
      <c r="C15" s="459"/>
      <c r="D15" s="351"/>
      <c r="E15" s="459"/>
      <c r="F15" s="460"/>
      <c r="G15" s="1304"/>
      <c r="H15" s="457"/>
      <c r="I15" s="246"/>
      <c r="J15" s="352"/>
      <c r="K15" s="458"/>
      <c r="L15" s="352"/>
      <c r="M15" s="458"/>
      <c r="N15" s="457"/>
      <c r="O15" s="246"/>
      <c r="P15" s="457"/>
      <c r="Q15" s="246"/>
      <c r="R15" s="457"/>
      <c r="S15" s="246"/>
      <c r="T15" s="457"/>
      <c r="U15" s="246"/>
      <c r="V15" s="457"/>
      <c r="W15" s="246"/>
      <c r="X15" s="457"/>
      <c r="Y15" s="246"/>
      <c r="Z15" s="1406"/>
      <c r="AA15" s="24"/>
      <c r="AB15" s="688"/>
      <c r="AC15" s="653"/>
    </row>
    <row r="16" spans="1:29" thickBot="1" x14ac:dyDescent="0.25">
      <c r="B16" s="1038" t="s">
        <v>167</v>
      </c>
      <c r="C16" s="1301"/>
      <c r="D16" s="1302"/>
      <c r="E16" s="1301"/>
      <c r="F16" s="1303"/>
      <c r="G16" s="1305"/>
      <c r="H16" s="1306"/>
      <c r="I16" s="1307"/>
      <c r="J16" s="1308"/>
      <c r="K16" s="1305"/>
      <c r="L16" s="1308"/>
      <c r="M16" s="1305"/>
      <c r="N16" s="1306"/>
      <c r="O16" s="1307"/>
      <c r="P16" s="1306"/>
      <c r="Q16" s="1307"/>
      <c r="R16" s="1306"/>
      <c r="S16" s="1307" t="s">
        <v>216</v>
      </c>
      <c r="T16" s="1306" t="s">
        <v>217</v>
      </c>
      <c r="U16" s="247">
        <v>2</v>
      </c>
      <c r="V16" s="362">
        <v>0</v>
      </c>
      <c r="W16" s="247">
        <v>13</v>
      </c>
      <c r="X16" s="362">
        <v>3</v>
      </c>
      <c r="Y16" s="247">
        <v>21</v>
      </c>
      <c r="Z16" s="1409"/>
      <c r="AB16" s="1318"/>
      <c r="AC16" s="1319"/>
    </row>
    <row r="17" spans="1:29" thickTop="1" x14ac:dyDescent="0.2">
      <c r="B17" s="119" t="s">
        <v>160</v>
      </c>
      <c r="C17" s="51"/>
      <c r="D17" s="26"/>
      <c r="E17" s="51"/>
      <c r="F17" s="26"/>
      <c r="G17" s="228"/>
      <c r="H17" s="229"/>
      <c r="I17" s="228"/>
      <c r="J17" s="229"/>
      <c r="K17" s="228"/>
      <c r="L17" s="229"/>
      <c r="M17" s="228"/>
      <c r="N17" s="229"/>
      <c r="O17" s="228"/>
      <c r="P17" s="229"/>
      <c r="Q17" s="228"/>
      <c r="R17" s="229"/>
      <c r="S17" s="228"/>
      <c r="T17" s="229"/>
      <c r="U17" s="228"/>
      <c r="V17" s="229"/>
      <c r="W17" s="228"/>
      <c r="X17" s="229"/>
      <c r="Y17" s="228"/>
      <c r="Z17" s="229"/>
      <c r="AB17" s="774"/>
      <c r="AC17" s="774"/>
    </row>
    <row r="18" spans="1:29" ht="13.5" thickBot="1" x14ac:dyDescent="0.25">
      <c r="B18" s="1547" t="s">
        <v>111</v>
      </c>
      <c r="C18" s="1548"/>
      <c r="D18" s="1548"/>
      <c r="E18" s="1548"/>
      <c r="F18" s="1548"/>
      <c r="G18" s="1548"/>
      <c r="H18" s="1548"/>
      <c r="I18" s="228"/>
      <c r="J18" s="229"/>
      <c r="K18" s="228"/>
      <c r="L18" s="229"/>
      <c r="M18" s="228"/>
      <c r="N18" s="229"/>
      <c r="O18" s="228"/>
      <c r="P18" s="229"/>
      <c r="Q18" s="228"/>
      <c r="R18" s="229"/>
      <c r="S18" s="228"/>
      <c r="T18" s="229"/>
      <c r="U18" s="228"/>
      <c r="V18" s="229"/>
      <c r="W18" s="228"/>
      <c r="X18" s="229"/>
      <c r="Y18" s="228"/>
      <c r="Z18" s="229"/>
      <c r="AB18" s="71"/>
      <c r="AC18" s="71"/>
    </row>
    <row r="19" spans="1:29" ht="14.25" customHeight="1" thickTop="1" thickBot="1" x14ac:dyDescent="0.25">
      <c r="B19" s="102"/>
      <c r="C19" s="1498" t="s">
        <v>33</v>
      </c>
      <c r="D19" s="1499"/>
      <c r="E19" s="1501" t="s">
        <v>34</v>
      </c>
      <c r="F19" s="1501"/>
      <c r="G19" s="1500" t="s">
        <v>106</v>
      </c>
      <c r="H19" s="1495"/>
      <c r="I19" s="1500" t="s">
        <v>118</v>
      </c>
      <c r="J19" s="1494"/>
      <c r="K19" s="1500" t="s">
        <v>121</v>
      </c>
      <c r="L19" s="1494"/>
      <c r="M19" s="1500" t="s">
        <v>127</v>
      </c>
      <c r="N19" s="1495"/>
      <c r="O19" s="1494" t="s">
        <v>174</v>
      </c>
      <c r="P19" s="1495"/>
      <c r="Q19" s="1494" t="s">
        <v>193</v>
      </c>
      <c r="R19" s="1495"/>
      <c r="S19" s="1494" t="s">
        <v>218</v>
      </c>
      <c r="T19" s="1495"/>
      <c r="U19" s="1494" t="s">
        <v>221</v>
      </c>
      <c r="V19" s="1495"/>
      <c r="W19" s="1494" t="s">
        <v>232</v>
      </c>
      <c r="X19" s="1495"/>
      <c r="Y19" s="1494" t="s">
        <v>241</v>
      </c>
      <c r="Z19" s="1508"/>
      <c r="AB19" s="1529" t="s">
        <v>134</v>
      </c>
      <c r="AC19" s="1530"/>
    </row>
    <row r="20" spans="1:29" ht="12" x14ac:dyDescent="0.2">
      <c r="B20" s="103" t="s">
        <v>7</v>
      </c>
      <c r="C20" s="132"/>
      <c r="D20" s="133"/>
      <c r="E20" s="16"/>
      <c r="F20" s="16"/>
      <c r="G20" s="260"/>
      <c r="H20" s="407"/>
      <c r="I20" s="260"/>
      <c r="J20" s="387"/>
      <c r="K20" s="260"/>
      <c r="L20" s="387"/>
      <c r="M20" s="260"/>
      <c r="N20" s="407"/>
      <c r="O20" s="387"/>
      <c r="P20" s="407"/>
      <c r="Q20" s="387"/>
      <c r="R20" s="407"/>
      <c r="S20" s="387"/>
      <c r="T20" s="407"/>
      <c r="U20" s="387"/>
      <c r="V20" s="407"/>
      <c r="W20" s="387"/>
      <c r="X20" s="407"/>
      <c r="Y20" s="387"/>
      <c r="Z20" s="230"/>
      <c r="AA20" s="652"/>
      <c r="AB20" s="660"/>
      <c r="AC20" s="656"/>
    </row>
    <row r="21" spans="1:29" ht="12" x14ac:dyDescent="0.2">
      <c r="B21" s="88" t="s">
        <v>8</v>
      </c>
      <c r="C21" s="134"/>
      <c r="D21" s="135"/>
      <c r="E21" s="7"/>
      <c r="F21" s="7"/>
      <c r="G21" s="261"/>
      <c r="H21" s="389"/>
      <c r="I21" s="261"/>
      <c r="J21" s="231"/>
      <c r="K21" s="261"/>
      <c r="L21" s="231"/>
      <c r="M21" s="261"/>
      <c r="N21" s="389"/>
      <c r="O21" s="231"/>
      <c r="P21" s="389"/>
      <c r="Q21" s="231"/>
      <c r="R21" s="389"/>
      <c r="S21" s="231"/>
      <c r="T21" s="389"/>
      <c r="U21" s="231"/>
      <c r="V21" s="389"/>
      <c r="W21" s="231"/>
      <c r="X21" s="389"/>
      <c r="Y21" s="231"/>
      <c r="Z21" s="104"/>
      <c r="AA21" s="652"/>
      <c r="AC21" s="652"/>
    </row>
    <row r="22" spans="1:29" ht="12" x14ac:dyDescent="0.2">
      <c r="B22" s="88" t="s">
        <v>9</v>
      </c>
      <c r="C22" s="134"/>
      <c r="D22" s="168">
        <v>21</v>
      </c>
      <c r="E22" s="7"/>
      <c r="F22" s="99">
        <v>15</v>
      </c>
      <c r="G22" s="261"/>
      <c r="H22" s="408">
        <v>16</v>
      </c>
      <c r="I22" s="261"/>
      <c r="J22" s="244">
        <v>16</v>
      </c>
      <c r="K22" s="261"/>
      <c r="L22" s="244">
        <v>22</v>
      </c>
      <c r="M22" s="261"/>
      <c r="N22" s="408">
        <v>42</v>
      </c>
      <c r="O22" s="231"/>
      <c r="P22" s="408">
        <v>26</v>
      </c>
      <c r="Q22" s="231"/>
      <c r="R22" s="408">
        <v>46</v>
      </c>
      <c r="S22" s="231"/>
      <c r="T22" s="408">
        <v>54</v>
      </c>
      <c r="U22" s="231"/>
      <c r="V22" s="408">
        <v>114</v>
      </c>
      <c r="W22" s="231"/>
      <c r="X22" s="408">
        <v>114</v>
      </c>
      <c r="Y22" s="231"/>
      <c r="Z22" s="1432"/>
      <c r="AA22" s="652"/>
      <c r="AB22" s="16"/>
      <c r="AC22" s="752">
        <f t="shared" ref="AC22:AC26" si="1">AVERAGE(V22,T22,R22,Z22,X22)</f>
        <v>82</v>
      </c>
    </row>
    <row r="23" spans="1:29" ht="12" x14ac:dyDescent="0.2">
      <c r="B23" s="88" t="s">
        <v>10</v>
      </c>
      <c r="C23" s="134"/>
      <c r="D23" s="168">
        <v>639</v>
      </c>
      <c r="E23" s="7"/>
      <c r="F23" s="99">
        <v>573</v>
      </c>
      <c r="G23" s="261"/>
      <c r="H23" s="408">
        <v>522</v>
      </c>
      <c r="I23" s="261"/>
      <c r="J23" s="244">
        <v>633</v>
      </c>
      <c r="K23" s="261"/>
      <c r="L23" s="244">
        <v>806</v>
      </c>
      <c r="M23" s="261"/>
      <c r="N23" s="408">
        <v>906</v>
      </c>
      <c r="O23" s="231"/>
      <c r="P23" s="408">
        <v>1004</v>
      </c>
      <c r="Q23" s="231"/>
      <c r="R23" s="408">
        <v>1002</v>
      </c>
      <c r="S23" s="231"/>
      <c r="T23" s="408">
        <v>1022</v>
      </c>
      <c r="U23" s="231"/>
      <c r="V23" s="408">
        <v>991</v>
      </c>
      <c r="W23" s="231"/>
      <c r="X23" s="408">
        <v>1205</v>
      </c>
      <c r="Y23" s="231"/>
      <c r="Z23" s="1432"/>
      <c r="AA23" s="652"/>
      <c r="AB23" s="7"/>
      <c r="AC23" s="752">
        <f t="shared" si="1"/>
        <v>1055</v>
      </c>
    </row>
    <row r="24" spans="1:29" ht="12" x14ac:dyDescent="0.2">
      <c r="B24" s="88" t="s">
        <v>11</v>
      </c>
      <c r="C24" s="134"/>
      <c r="D24" s="168">
        <v>33</v>
      </c>
      <c r="E24" s="7"/>
      <c r="F24" s="99">
        <v>36</v>
      </c>
      <c r="G24" s="261"/>
      <c r="H24" s="408">
        <v>126</v>
      </c>
      <c r="I24" s="261"/>
      <c r="J24" s="244">
        <v>0</v>
      </c>
      <c r="K24" s="261"/>
      <c r="L24" s="244">
        <v>36</v>
      </c>
      <c r="M24" s="261"/>
      <c r="N24" s="408">
        <v>42</v>
      </c>
      <c r="O24" s="231"/>
      <c r="P24" s="408">
        <v>76</v>
      </c>
      <c r="Q24" s="231"/>
      <c r="R24" s="408">
        <v>72</v>
      </c>
      <c r="S24" s="231"/>
      <c r="T24" s="408">
        <v>116</v>
      </c>
      <c r="U24" s="231"/>
      <c r="V24" s="408">
        <v>106</v>
      </c>
      <c r="W24" s="231"/>
      <c r="X24" s="408">
        <v>194</v>
      </c>
      <c r="Y24" s="231"/>
      <c r="Z24" s="1432"/>
      <c r="AA24" s="652"/>
      <c r="AB24" s="748"/>
      <c r="AC24" s="752">
        <f t="shared" si="1"/>
        <v>122</v>
      </c>
    </row>
    <row r="25" spans="1:29" ht="12" x14ac:dyDescent="0.2">
      <c r="B25" s="88" t="s">
        <v>12</v>
      </c>
      <c r="C25" s="134"/>
      <c r="D25" s="136">
        <v>0</v>
      </c>
      <c r="E25" s="7"/>
      <c r="F25" s="12">
        <v>0</v>
      </c>
      <c r="G25" s="261"/>
      <c r="H25" s="217">
        <v>0</v>
      </c>
      <c r="I25" s="261"/>
      <c r="J25" s="105">
        <v>0</v>
      </c>
      <c r="K25" s="261"/>
      <c r="L25" s="105">
        <v>0</v>
      </c>
      <c r="M25" s="261"/>
      <c r="N25" s="217">
        <v>0</v>
      </c>
      <c r="O25" s="231"/>
      <c r="P25" s="217">
        <v>0</v>
      </c>
      <c r="Q25" s="231"/>
      <c r="R25" s="217">
        <v>0</v>
      </c>
      <c r="S25" s="231"/>
      <c r="T25" s="217">
        <v>0</v>
      </c>
      <c r="U25" s="231"/>
      <c r="V25" s="217">
        <v>0</v>
      </c>
      <c r="W25" s="231"/>
      <c r="X25" s="217">
        <v>0</v>
      </c>
      <c r="Y25" s="231"/>
      <c r="Z25" s="1433"/>
      <c r="AA25" s="652"/>
      <c r="AB25" s="748"/>
      <c r="AC25" s="752">
        <f t="shared" si="1"/>
        <v>0</v>
      </c>
    </row>
    <row r="26" spans="1:29" thickBot="1" x14ac:dyDescent="0.25">
      <c r="B26" s="301" t="s">
        <v>13</v>
      </c>
      <c r="C26" s="137"/>
      <c r="D26" s="178">
        <f>SUM(D22:D25)</f>
        <v>693</v>
      </c>
      <c r="E26" s="59"/>
      <c r="F26" s="73">
        <f>SUM(F22:F25)</f>
        <v>624</v>
      </c>
      <c r="G26" s="262"/>
      <c r="H26" s="432">
        <f>SUM(H22:H25)</f>
        <v>664</v>
      </c>
      <c r="I26" s="262"/>
      <c r="J26" s="473">
        <f>SUM(J22:J25)</f>
        <v>649</v>
      </c>
      <c r="K26" s="262"/>
      <c r="L26" s="473">
        <f>SUM(L22:L25)</f>
        <v>864</v>
      </c>
      <c r="M26" s="262"/>
      <c r="N26" s="432">
        <f>SUM(N22:N25)</f>
        <v>990</v>
      </c>
      <c r="O26" s="404"/>
      <c r="P26" s="432">
        <f>SUM(P22:P25)</f>
        <v>1106</v>
      </c>
      <c r="Q26" s="404"/>
      <c r="R26" s="432">
        <f>SUM(R22:R25)</f>
        <v>1120</v>
      </c>
      <c r="S26" s="404"/>
      <c r="T26" s="432">
        <f>SUM(T22:T25)</f>
        <v>1192</v>
      </c>
      <c r="U26" s="404"/>
      <c r="V26" s="432">
        <f>SUM(V22:V25)</f>
        <v>1211</v>
      </c>
      <c r="W26" s="404"/>
      <c r="X26" s="432">
        <f>SUM(X22:X25)</f>
        <v>1513</v>
      </c>
      <c r="Y26" s="404"/>
      <c r="Z26" s="1434">
        <f>SUM(Z22:Z25)</f>
        <v>0</v>
      </c>
      <c r="AA26" s="652"/>
      <c r="AB26" s="659"/>
      <c r="AC26" s="859">
        <f t="shared" si="1"/>
        <v>1007.2</v>
      </c>
    </row>
    <row r="27" spans="1:29" ht="14.25" thickTop="1" thickBot="1" x14ac:dyDescent="0.25">
      <c r="A27" s="652"/>
      <c r="B27" s="727" t="s">
        <v>150</v>
      </c>
      <c r="C27" s="1477" t="s">
        <v>35</v>
      </c>
      <c r="D27" s="1478"/>
      <c r="E27" s="1477" t="s">
        <v>36</v>
      </c>
      <c r="F27" s="1478"/>
      <c r="G27" s="1479" t="s">
        <v>122</v>
      </c>
      <c r="H27" s="1480"/>
      <c r="I27" s="1479" t="s">
        <v>123</v>
      </c>
      <c r="J27" s="1481"/>
      <c r="K27" s="1479" t="s">
        <v>148</v>
      </c>
      <c r="L27" s="1481"/>
      <c r="M27" s="1488" t="s">
        <v>149</v>
      </c>
      <c r="N27" s="1480"/>
      <c r="O27" s="1483" t="s">
        <v>184</v>
      </c>
      <c r="P27" s="1480"/>
      <c r="Q27" s="1483" t="s">
        <v>194</v>
      </c>
      <c r="R27" s="1480"/>
      <c r="S27" s="1483" t="s">
        <v>219</v>
      </c>
      <c r="T27" s="1480"/>
      <c r="U27" s="1483" t="s">
        <v>222</v>
      </c>
      <c r="V27" s="1480"/>
      <c r="W27" s="1483" t="s">
        <v>233</v>
      </c>
      <c r="X27" s="1480"/>
      <c r="Y27" s="1483" t="s">
        <v>242</v>
      </c>
      <c r="Z27" s="1511"/>
      <c r="AA27" s="652"/>
      <c r="AB27" s="693"/>
      <c r="AC27" s="694"/>
    </row>
    <row r="28" spans="1:29" x14ac:dyDescent="0.2">
      <c r="A28" s="652"/>
      <c r="B28" s="719" t="s">
        <v>135</v>
      </c>
      <c r="C28" s="1463">
        <v>0.20899999999999999</v>
      </c>
      <c r="D28" s="1464"/>
      <c r="E28" s="1465">
        <v>0.24399999999999999</v>
      </c>
      <c r="F28" s="1466"/>
      <c r="G28" s="1465">
        <v>0.159</v>
      </c>
      <c r="H28" s="1466"/>
      <c r="I28" s="1465">
        <v>0.154</v>
      </c>
      <c r="J28" s="1467"/>
      <c r="K28" s="696"/>
      <c r="L28" s="697">
        <v>0.17399999999999999</v>
      </c>
      <c r="M28" s="698"/>
      <c r="N28" s="997">
        <v>0.19600000000000001</v>
      </c>
      <c r="O28" s="1019"/>
      <c r="P28" s="997">
        <v>0.434</v>
      </c>
      <c r="Q28" s="1019"/>
      <c r="R28" s="997">
        <v>0.55000000000000004</v>
      </c>
      <c r="S28" s="1019"/>
      <c r="T28" s="997">
        <v>0.51500000000000001</v>
      </c>
      <c r="U28" s="1019"/>
      <c r="V28" s="997">
        <v>0.45100000000000001</v>
      </c>
      <c r="W28" s="1019"/>
      <c r="X28" s="997">
        <v>0.48399999999999999</v>
      </c>
      <c r="Y28" s="1019"/>
      <c r="Z28" s="1241">
        <v>0.434</v>
      </c>
      <c r="AA28" s="699"/>
      <c r="AB28" s="848"/>
      <c r="AC28" s="743">
        <f t="shared" ref="AC28:AC29" si="2">AVERAGE(V28,T28,R28,Z28,X28)</f>
        <v>0.48680000000000001</v>
      </c>
    </row>
    <row r="29" spans="1:29" x14ac:dyDescent="0.2">
      <c r="A29" s="652"/>
      <c r="B29" s="726" t="s">
        <v>136</v>
      </c>
      <c r="C29" s="1470">
        <v>0</v>
      </c>
      <c r="D29" s="1471"/>
      <c r="E29" s="1472">
        <v>0</v>
      </c>
      <c r="F29" s="1473"/>
      <c r="G29" s="1472">
        <v>0</v>
      </c>
      <c r="H29" s="1473"/>
      <c r="I29" s="1472">
        <v>0</v>
      </c>
      <c r="J29" s="1474"/>
      <c r="K29" s="701"/>
      <c r="L29" s="702">
        <v>0</v>
      </c>
      <c r="M29" s="701"/>
      <c r="N29" s="998">
        <v>0</v>
      </c>
      <c r="O29" s="1020"/>
      <c r="P29" s="998">
        <v>0</v>
      </c>
      <c r="Q29" s="1020"/>
      <c r="R29" s="998">
        <v>0</v>
      </c>
      <c r="S29" s="1020"/>
      <c r="T29" s="998">
        <v>0</v>
      </c>
      <c r="U29" s="1020"/>
      <c r="V29" s="998">
        <v>0</v>
      </c>
      <c r="W29" s="1020"/>
      <c r="X29" s="998">
        <v>9.7000000000000003E-2</v>
      </c>
      <c r="Y29" s="1020"/>
      <c r="Z29" s="1242">
        <v>9.4E-2</v>
      </c>
      <c r="AA29" s="699"/>
      <c r="AB29" s="848"/>
      <c r="AC29" s="743">
        <f t="shared" si="2"/>
        <v>3.8199999999999998E-2</v>
      </c>
    </row>
    <row r="30" spans="1:29" ht="13.5" customHeight="1" thickBot="1" x14ac:dyDescent="0.25">
      <c r="B30" s="703" t="s">
        <v>137</v>
      </c>
      <c r="C30" s="1468">
        <f>1-SUM(C28:D29)</f>
        <v>0.79100000000000004</v>
      </c>
      <c r="D30" s="1469"/>
      <c r="E30" s="1468">
        <f>1-SUM(E28:F29)</f>
        <v>0.75600000000000001</v>
      </c>
      <c r="F30" s="1469"/>
      <c r="G30" s="1468">
        <f>1-SUM(G28:H29)</f>
        <v>0.84099999999999997</v>
      </c>
      <c r="H30" s="1469"/>
      <c r="I30" s="1468">
        <f>1-SUM(I28:J29)</f>
        <v>0.84599999999999997</v>
      </c>
      <c r="J30" s="1469"/>
      <c r="K30" s="1468">
        <f>1-SUM(K28:L29)</f>
        <v>0.82600000000000007</v>
      </c>
      <c r="L30" s="1469"/>
      <c r="M30" s="1468">
        <f>1-SUM(M28:N29)</f>
        <v>0.80400000000000005</v>
      </c>
      <c r="N30" s="1469"/>
      <c r="O30" s="1540">
        <f>1-P29-P28</f>
        <v>0.56600000000000006</v>
      </c>
      <c r="P30" s="1491"/>
      <c r="Q30" s="1490">
        <f>1-R29-R28</f>
        <v>0.44999999999999996</v>
      </c>
      <c r="R30" s="1491"/>
      <c r="S30" s="1490">
        <f>1-T28-T29</f>
        <v>0.48499999999999999</v>
      </c>
      <c r="T30" s="1491"/>
      <c r="U30" s="1490">
        <f>1-V28-V29</f>
        <v>0.54899999999999993</v>
      </c>
      <c r="V30" s="1491"/>
      <c r="W30" s="1490">
        <f>1-X28-X29</f>
        <v>0.41900000000000004</v>
      </c>
      <c r="X30" s="1491"/>
      <c r="Y30" s="1490">
        <f>1-Z28-Z29</f>
        <v>0.47200000000000009</v>
      </c>
      <c r="Z30" s="1491"/>
      <c r="AA30" s="699"/>
      <c r="AB30" s="1515">
        <f t="shared" ref="AB30" si="3">AVERAGE(U30,S30,Q30,Y30,W30)</f>
        <v>0.47499999999999998</v>
      </c>
      <c r="AC30" s="1516" t="e">
        <f t="shared" ref="AC30" si="4">AVERAGE(V30,T30,R30,Z30,X30)</f>
        <v>#DIV/0!</v>
      </c>
    </row>
    <row r="31" spans="1:29" thickTop="1" x14ac:dyDescent="0.2">
      <c r="B31" s="1116" t="s">
        <v>185</v>
      </c>
      <c r="C31" s="68"/>
      <c r="D31" s="67"/>
      <c r="E31" s="68"/>
      <c r="F31" s="67"/>
      <c r="G31" s="233"/>
      <c r="H31" s="234"/>
      <c r="I31" s="233"/>
      <c r="J31" s="234"/>
      <c r="K31" s="233"/>
      <c r="L31" s="234"/>
      <c r="M31" s="233"/>
      <c r="N31" s="234"/>
      <c r="O31" s="233"/>
      <c r="P31" s="234"/>
      <c r="Q31" s="233"/>
      <c r="R31" s="234"/>
      <c r="S31" s="233"/>
      <c r="T31" s="234"/>
      <c r="U31" s="233"/>
      <c r="V31" s="234"/>
      <c r="W31" s="233"/>
      <c r="X31" s="234"/>
      <c r="Y31" s="233"/>
      <c r="Z31" s="234"/>
    </row>
    <row r="32" spans="1:29" x14ac:dyDescent="0.2">
      <c r="A32" s="3" t="s">
        <v>56</v>
      </c>
      <c r="B32" s="61"/>
      <c r="C32" s="24"/>
      <c r="D32" s="24"/>
      <c r="E32" s="24"/>
      <c r="F32" s="24"/>
      <c r="G32" s="235"/>
      <c r="H32" s="235"/>
      <c r="I32" s="235"/>
      <c r="J32" s="235"/>
      <c r="K32" s="235"/>
      <c r="L32" s="235"/>
      <c r="M32" s="235"/>
      <c r="N32" s="235"/>
      <c r="O32" s="235"/>
      <c r="P32" s="235"/>
      <c r="Q32" s="235"/>
      <c r="R32" s="235"/>
      <c r="S32" s="235"/>
      <c r="T32" s="235"/>
      <c r="U32" s="235"/>
      <c r="V32" s="235"/>
      <c r="W32" s="235"/>
      <c r="X32" s="235"/>
      <c r="Y32" s="235"/>
      <c r="Z32" s="235"/>
    </row>
    <row r="33" spans="1:30" ht="13.5" thickBot="1" x14ac:dyDescent="0.25">
      <c r="A33" s="3"/>
      <c r="B33" s="70"/>
      <c r="C33" s="71"/>
      <c r="D33" s="71"/>
      <c r="E33" s="71"/>
      <c r="F33" s="71"/>
      <c r="G33" s="252"/>
      <c r="H33" s="252"/>
      <c r="I33" s="252"/>
      <c r="J33" s="252"/>
      <c r="K33" s="252"/>
      <c r="L33" s="252"/>
      <c r="M33" s="252"/>
      <c r="N33" s="252"/>
      <c r="O33" s="252"/>
      <c r="P33" s="252"/>
      <c r="Q33" s="252"/>
      <c r="R33" s="252"/>
      <c r="S33" s="252"/>
      <c r="T33" s="252"/>
      <c r="U33" s="252"/>
      <c r="V33" s="252"/>
      <c r="W33" s="252"/>
      <c r="X33" s="252"/>
      <c r="Y33" s="252"/>
      <c r="Z33" s="252"/>
      <c r="AB33" s="71"/>
      <c r="AC33" s="71"/>
    </row>
    <row r="34" spans="1:30" ht="14.25" thickTop="1" thickBot="1" x14ac:dyDescent="0.25">
      <c r="A34" s="3"/>
      <c r="B34" s="1127" t="s">
        <v>57</v>
      </c>
      <c r="C34" s="1498" t="s">
        <v>33</v>
      </c>
      <c r="D34" s="1499"/>
      <c r="E34" s="1501" t="s">
        <v>34</v>
      </c>
      <c r="F34" s="1501"/>
      <c r="G34" s="1500" t="s">
        <v>106</v>
      </c>
      <c r="H34" s="1495"/>
      <c r="I34" s="1494" t="s">
        <v>118</v>
      </c>
      <c r="J34" s="1494"/>
      <c r="K34" s="1500" t="s">
        <v>121</v>
      </c>
      <c r="L34" s="1494"/>
      <c r="M34" s="1500" t="s">
        <v>127</v>
      </c>
      <c r="N34" s="1495"/>
      <c r="O34" s="1494" t="s">
        <v>174</v>
      </c>
      <c r="P34" s="1495"/>
      <c r="Q34" s="1494" t="s">
        <v>193</v>
      </c>
      <c r="R34" s="1495"/>
      <c r="S34" s="1494" t="s">
        <v>218</v>
      </c>
      <c r="T34" s="1495"/>
      <c r="U34" s="1494" t="s">
        <v>221</v>
      </c>
      <c r="V34" s="1495"/>
      <c r="W34" s="1494" t="s">
        <v>232</v>
      </c>
      <c r="X34" s="1495"/>
      <c r="Y34" s="1494" t="s">
        <v>241</v>
      </c>
      <c r="Z34" s="1508"/>
      <c r="AB34" s="1529" t="s">
        <v>134</v>
      </c>
      <c r="AC34" s="1530"/>
    </row>
    <row r="35" spans="1:30" x14ac:dyDescent="0.2">
      <c r="A35" s="3"/>
      <c r="B35" s="1128" t="s">
        <v>58</v>
      </c>
      <c r="C35" s="134"/>
      <c r="D35" s="135"/>
      <c r="E35" s="7"/>
      <c r="F35" s="7"/>
      <c r="G35" s="261"/>
      <c r="H35" s="389"/>
      <c r="I35" s="231"/>
      <c r="J35" s="231"/>
      <c r="K35" s="261"/>
      <c r="L35" s="231"/>
      <c r="M35" s="261"/>
      <c r="N35" s="389"/>
      <c r="O35" s="231"/>
      <c r="P35" s="389"/>
      <c r="Q35" s="231"/>
      <c r="R35" s="389"/>
      <c r="S35" s="231"/>
      <c r="T35" s="389"/>
      <c r="U35" s="231"/>
      <c r="V35" s="389"/>
      <c r="W35" s="231"/>
      <c r="X35" s="389"/>
      <c r="Y35" s="231"/>
      <c r="Z35" s="104"/>
      <c r="AB35" s="744"/>
      <c r="AC35" s="745"/>
    </row>
    <row r="36" spans="1:30" x14ac:dyDescent="0.2">
      <c r="A36" s="3"/>
      <c r="B36" s="1044" t="s">
        <v>59</v>
      </c>
      <c r="C36" s="132"/>
      <c r="D36" s="219">
        <v>18349</v>
      </c>
      <c r="E36" s="16"/>
      <c r="F36" s="153">
        <v>90305</v>
      </c>
      <c r="G36" s="260"/>
      <c r="H36" s="219">
        <v>163382</v>
      </c>
      <c r="I36" s="387"/>
      <c r="J36" s="488">
        <v>153910</v>
      </c>
      <c r="K36" s="260"/>
      <c r="L36" s="488">
        <v>159695</v>
      </c>
      <c r="M36" s="260"/>
      <c r="N36" s="219">
        <v>383713</v>
      </c>
      <c r="O36" s="387"/>
      <c r="P36" s="219">
        <v>370102</v>
      </c>
      <c r="Q36" s="387"/>
      <c r="R36" s="219">
        <v>373164</v>
      </c>
      <c r="S36" s="387"/>
      <c r="T36" s="219">
        <v>465825</v>
      </c>
      <c r="U36" s="387"/>
      <c r="V36" s="219">
        <v>480135</v>
      </c>
      <c r="W36" s="387"/>
      <c r="X36" s="219">
        <v>501036</v>
      </c>
      <c r="Y36" s="387"/>
      <c r="Z36" s="1353">
        <v>544940</v>
      </c>
      <c r="AA36" s="657"/>
      <c r="AB36" s="7"/>
      <c r="AC36" s="746">
        <f t="shared" ref="AC36" si="5">AVERAGE(V36,T36,R36,Z36,X36)</f>
        <v>473020</v>
      </c>
    </row>
    <row r="37" spans="1:30" x14ac:dyDescent="0.2">
      <c r="A37" s="3"/>
      <c r="B37" s="1044" t="s">
        <v>196</v>
      </c>
      <c r="C37" s="132"/>
      <c r="D37" s="219"/>
      <c r="E37" s="16"/>
      <c r="F37" s="153"/>
      <c r="G37" s="260"/>
      <c r="H37" s="219"/>
      <c r="I37" s="387"/>
      <c r="J37" s="488"/>
      <c r="K37" s="260"/>
      <c r="L37" s="488"/>
      <c r="M37" s="260"/>
      <c r="N37" s="219"/>
      <c r="O37" s="387"/>
      <c r="P37" s="219"/>
      <c r="Q37" s="387"/>
      <c r="R37" s="219"/>
      <c r="S37" s="387"/>
      <c r="T37" s="219"/>
      <c r="U37" s="387"/>
      <c r="V37" s="219"/>
      <c r="W37" s="387"/>
      <c r="X37" s="219"/>
      <c r="Y37" s="387"/>
      <c r="Z37" s="1353"/>
      <c r="AA37" s="657"/>
      <c r="AB37" s="24"/>
      <c r="AC37" s="746"/>
    </row>
    <row r="38" spans="1:30" ht="36" x14ac:dyDescent="0.2">
      <c r="A38" s="3"/>
      <c r="B38" s="1045" t="s">
        <v>198</v>
      </c>
      <c r="C38" s="134"/>
      <c r="D38" s="180"/>
      <c r="E38" s="7"/>
      <c r="F38" s="187"/>
      <c r="G38" s="261"/>
      <c r="H38" s="433"/>
      <c r="I38" s="231"/>
      <c r="J38" s="313"/>
      <c r="K38" s="261"/>
      <c r="L38" s="313"/>
      <c r="M38" s="261"/>
      <c r="N38" s="433"/>
      <c r="O38" s="231"/>
      <c r="P38" s="433"/>
      <c r="Q38" s="231"/>
      <c r="R38" s="433"/>
      <c r="S38" s="231"/>
      <c r="T38" s="433"/>
      <c r="U38" s="231"/>
      <c r="V38" s="433">
        <v>1360503</v>
      </c>
      <c r="W38" s="231"/>
      <c r="X38" s="433">
        <v>1314423</v>
      </c>
      <c r="Y38" s="231"/>
      <c r="Z38" s="1347">
        <v>1333408</v>
      </c>
      <c r="AA38" s="657"/>
      <c r="AB38" s="748"/>
      <c r="AC38" s="746"/>
    </row>
    <row r="39" spans="1:30" x14ac:dyDescent="0.2">
      <c r="A39" s="3"/>
      <c r="B39" s="1046" t="s">
        <v>60</v>
      </c>
      <c r="C39" s="141"/>
      <c r="D39" s="181">
        <f>SUM(D36:D38)</f>
        <v>18349</v>
      </c>
      <c r="E39" s="59"/>
      <c r="F39" s="188">
        <f>SUM(F36:F38)</f>
        <v>90305</v>
      </c>
      <c r="G39" s="264"/>
      <c r="H39" s="434">
        <f>SUM(H36:H38)</f>
        <v>163382</v>
      </c>
      <c r="I39" s="388"/>
      <c r="J39" s="474">
        <f>SUM(J36:J38)</f>
        <v>153910</v>
      </c>
      <c r="K39" s="264"/>
      <c r="L39" s="474">
        <f>SUM(L36:L38)</f>
        <v>159695</v>
      </c>
      <c r="M39" s="264"/>
      <c r="N39" s="434">
        <f>SUM(N36:N38)</f>
        <v>383713</v>
      </c>
      <c r="O39" s="388"/>
      <c r="P39" s="434">
        <f>SUM(P36:P38)</f>
        <v>370102</v>
      </c>
      <c r="Q39" s="388"/>
      <c r="R39" s="434">
        <f>SUM(R36:R38)</f>
        <v>373164</v>
      </c>
      <c r="S39" s="388"/>
      <c r="T39" s="434">
        <f>SUM(T36:T38)</f>
        <v>465825</v>
      </c>
      <c r="U39" s="388"/>
      <c r="V39" s="434">
        <f>SUM(V36:V38)</f>
        <v>1840638</v>
      </c>
      <c r="W39" s="388"/>
      <c r="X39" s="434">
        <f>SUM(X36:X38)</f>
        <v>1815459</v>
      </c>
      <c r="Y39" s="388"/>
      <c r="Z39" s="1348">
        <f>SUM(Z36:Z38)</f>
        <v>1878348</v>
      </c>
      <c r="AA39" s="657"/>
      <c r="AB39" s="16"/>
      <c r="AC39" s="804">
        <f t="shared" ref="AC39" si="6">AVERAGE(V39,T39,R39,Z39,X39)</f>
        <v>1274686.8</v>
      </c>
    </row>
    <row r="40" spans="1:30" x14ac:dyDescent="0.2">
      <c r="A40" s="3"/>
      <c r="B40" s="1043" t="s">
        <v>61</v>
      </c>
      <c r="C40" s="134"/>
      <c r="D40" s="180"/>
      <c r="E40" s="7"/>
      <c r="F40" s="187"/>
      <c r="G40" s="261"/>
      <c r="H40" s="433"/>
      <c r="I40" s="231"/>
      <c r="J40" s="313"/>
      <c r="K40" s="261"/>
      <c r="L40" s="313"/>
      <c r="M40" s="261"/>
      <c r="N40" s="433"/>
      <c r="O40" s="231"/>
      <c r="P40" s="433"/>
      <c r="Q40" s="231"/>
      <c r="R40" s="433"/>
      <c r="S40" s="231"/>
      <c r="T40" s="433"/>
      <c r="U40" s="231"/>
      <c r="V40" s="433"/>
      <c r="W40" s="231"/>
      <c r="X40" s="433"/>
      <c r="Y40" s="231"/>
      <c r="Z40" s="1347"/>
      <c r="AA40" s="657"/>
      <c r="AB40" s="7"/>
      <c r="AC40" s="746"/>
    </row>
    <row r="41" spans="1:30" x14ac:dyDescent="0.2">
      <c r="A41" s="3"/>
      <c r="B41" s="1044" t="s">
        <v>59</v>
      </c>
      <c r="C41" s="134"/>
      <c r="D41" s="180">
        <v>3505903</v>
      </c>
      <c r="E41" s="7"/>
      <c r="F41" s="187">
        <v>3603655</v>
      </c>
      <c r="G41" s="261"/>
      <c r="H41" s="433">
        <v>3720544</v>
      </c>
      <c r="I41" s="231"/>
      <c r="J41" s="313">
        <v>3787626</v>
      </c>
      <c r="K41" s="261"/>
      <c r="L41" s="313">
        <v>3891799</v>
      </c>
      <c r="M41" s="261"/>
      <c r="N41" s="433">
        <v>3998295</v>
      </c>
      <c r="O41" s="231"/>
      <c r="P41" s="433">
        <v>3522084</v>
      </c>
      <c r="Q41" s="231"/>
      <c r="R41" s="433">
        <v>3578765</v>
      </c>
      <c r="S41" s="231"/>
      <c r="T41" s="433">
        <v>3663372</v>
      </c>
      <c r="U41" s="231"/>
      <c r="V41" s="433">
        <v>3861791</v>
      </c>
      <c r="W41" s="231"/>
      <c r="X41" s="433">
        <v>3821563</v>
      </c>
      <c r="Y41" s="231"/>
      <c r="Z41" s="1347">
        <v>3846979</v>
      </c>
      <c r="AA41" s="657"/>
      <c r="AB41" s="748"/>
      <c r="AC41" s="746">
        <f t="shared" ref="AC41" si="7">AVERAGE(V41,T41,R41,Z41,X41)</f>
        <v>3754494</v>
      </c>
    </row>
    <row r="42" spans="1:30" x14ac:dyDescent="0.2">
      <c r="A42" s="3"/>
      <c r="B42" s="1044" t="s">
        <v>196</v>
      </c>
      <c r="C42" s="134"/>
      <c r="D42" s="180"/>
      <c r="E42" s="7"/>
      <c r="F42" s="187"/>
      <c r="G42" s="261"/>
      <c r="H42" s="433"/>
      <c r="I42" s="231"/>
      <c r="J42" s="313"/>
      <c r="K42" s="261"/>
      <c r="L42" s="313"/>
      <c r="M42" s="261"/>
      <c r="N42" s="433"/>
      <c r="O42" s="231"/>
      <c r="P42" s="433"/>
      <c r="Q42" s="231"/>
      <c r="R42" s="433"/>
      <c r="S42" s="231"/>
      <c r="T42" s="433"/>
      <c r="U42" s="231"/>
      <c r="V42" s="433"/>
      <c r="W42" s="231"/>
      <c r="X42" s="433"/>
      <c r="Y42" s="231"/>
      <c r="Z42" s="1347"/>
      <c r="AA42" s="657"/>
      <c r="AC42" s="746"/>
    </row>
    <row r="43" spans="1:30" ht="36" x14ac:dyDescent="0.2">
      <c r="A43" s="3"/>
      <c r="B43" s="1045" t="s">
        <v>198</v>
      </c>
      <c r="C43" s="134"/>
      <c r="D43" s="180">
        <v>296686</v>
      </c>
      <c r="E43" s="7"/>
      <c r="F43" s="187">
        <v>403611</v>
      </c>
      <c r="G43" s="261"/>
      <c r="H43" s="433">
        <v>340260</v>
      </c>
      <c r="I43" s="231"/>
      <c r="J43" s="313">
        <v>350664</v>
      </c>
      <c r="K43" s="261"/>
      <c r="L43" s="313">
        <v>370669</v>
      </c>
      <c r="M43" s="261"/>
      <c r="N43" s="433">
        <v>344748</v>
      </c>
      <c r="O43" s="231"/>
      <c r="P43" s="433">
        <v>455652</v>
      </c>
      <c r="Q43" s="231"/>
      <c r="R43" s="433">
        <v>459480</v>
      </c>
      <c r="S43" s="231"/>
      <c r="T43" s="433">
        <v>560239</v>
      </c>
      <c r="U43" s="231"/>
      <c r="V43" s="433">
        <v>566642</v>
      </c>
      <c r="W43" s="231"/>
      <c r="X43" s="433">
        <v>615696</v>
      </c>
      <c r="Y43" s="231"/>
      <c r="Z43" s="1347">
        <v>417883</v>
      </c>
      <c r="AA43" s="657"/>
      <c r="AB43" s="748"/>
      <c r="AC43" s="746">
        <f t="shared" ref="AC43:AC45" si="8">AVERAGE(V43,T43,R43,Z43,X43)</f>
        <v>523988</v>
      </c>
    </row>
    <row r="44" spans="1:30" x14ac:dyDescent="0.2">
      <c r="A44" s="3"/>
      <c r="B44" s="1046" t="s">
        <v>62</v>
      </c>
      <c r="C44" s="141"/>
      <c r="D44" s="181">
        <f>SUM(D41:D43)</f>
        <v>3802589</v>
      </c>
      <c r="E44" s="59"/>
      <c r="F44" s="188">
        <f>SUM(F41:F43)</f>
        <v>4007266</v>
      </c>
      <c r="G44" s="264"/>
      <c r="H44" s="434">
        <f>SUM(H41:H43)</f>
        <v>4060804</v>
      </c>
      <c r="I44" s="388"/>
      <c r="J44" s="474">
        <f>SUM(J41:J43)</f>
        <v>4138290</v>
      </c>
      <c r="K44" s="264"/>
      <c r="L44" s="474">
        <f>SUM(L41:L43)</f>
        <v>4262468</v>
      </c>
      <c r="M44" s="264"/>
      <c r="N44" s="434">
        <f>SUM(N41:N43)</f>
        <v>4343043</v>
      </c>
      <c r="O44" s="388"/>
      <c r="P44" s="434">
        <f>SUM(P41:P43)</f>
        <v>3977736</v>
      </c>
      <c r="Q44" s="388"/>
      <c r="R44" s="434">
        <f>SUM(R41:R43)</f>
        <v>4038245</v>
      </c>
      <c r="S44" s="388"/>
      <c r="T44" s="434">
        <f>SUM(T41:T43)</f>
        <v>4223611</v>
      </c>
      <c r="U44" s="388"/>
      <c r="V44" s="434">
        <f>SUM(V41:V43)</f>
        <v>4428433</v>
      </c>
      <c r="W44" s="388"/>
      <c r="X44" s="434">
        <f>SUM(X41:X43)</f>
        <v>4437259</v>
      </c>
      <c r="Y44" s="388"/>
      <c r="Z44" s="1348">
        <f>SUM(Z41:Z43)</f>
        <v>4264862</v>
      </c>
      <c r="AB44" s="318"/>
      <c r="AC44" s="804">
        <f t="shared" si="8"/>
        <v>4278482</v>
      </c>
    </row>
    <row r="45" spans="1:30" ht="13.5" thickBot="1" x14ac:dyDescent="0.25">
      <c r="A45" s="3"/>
      <c r="B45" s="1047" t="s">
        <v>63</v>
      </c>
      <c r="C45" s="134"/>
      <c r="D45" s="181">
        <f>SUM(D39,D44)</f>
        <v>3820938</v>
      </c>
      <c r="E45" s="7"/>
      <c r="F45" s="188">
        <f>SUM(F39,F44)</f>
        <v>4097571</v>
      </c>
      <c r="G45" s="261"/>
      <c r="H45" s="434">
        <f>SUM(H39,H44)</f>
        <v>4224186</v>
      </c>
      <c r="I45" s="231"/>
      <c r="J45" s="474">
        <f>SUM(J39,J44)</f>
        <v>4292200</v>
      </c>
      <c r="K45" s="261"/>
      <c r="L45" s="474">
        <f>SUM(L39,L44)</f>
        <v>4422163</v>
      </c>
      <c r="M45" s="261"/>
      <c r="N45" s="434">
        <f>SUM(N39,N44)</f>
        <v>4726756</v>
      </c>
      <c r="O45" s="231"/>
      <c r="P45" s="434">
        <f>SUM(P39,P44)</f>
        <v>4347838</v>
      </c>
      <c r="Q45" s="231"/>
      <c r="R45" s="434">
        <f>SUM(R39,R44)</f>
        <v>4411409</v>
      </c>
      <c r="S45" s="231"/>
      <c r="T45" s="434">
        <f>SUM(T39,T44)</f>
        <v>4689436</v>
      </c>
      <c r="U45" s="231"/>
      <c r="V45" s="434">
        <f>SUM(V39,V44)</f>
        <v>6269071</v>
      </c>
      <c r="W45" s="231"/>
      <c r="X45" s="434">
        <f>SUM(X39,X44)</f>
        <v>6252718</v>
      </c>
      <c r="Y45" s="231"/>
      <c r="Z45" s="1348">
        <f>SUM(Z39,Z44)</f>
        <v>6143210</v>
      </c>
      <c r="AB45" s="849"/>
      <c r="AC45" s="853">
        <f t="shared" si="8"/>
        <v>5553168.7999999998</v>
      </c>
    </row>
    <row r="46" spans="1:30" ht="12" x14ac:dyDescent="0.2">
      <c r="B46" s="1048" t="s">
        <v>205</v>
      </c>
      <c r="C46" s="142"/>
      <c r="D46" s="143"/>
      <c r="E46" s="54"/>
      <c r="F46" s="54"/>
      <c r="G46" s="265"/>
      <c r="H46" s="435"/>
      <c r="I46" s="138"/>
      <c r="J46" s="138"/>
      <c r="K46" s="265"/>
      <c r="L46" s="138"/>
      <c r="M46" s="265"/>
      <c r="N46" s="435"/>
      <c r="O46" s="138"/>
      <c r="P46" s="435"/>
      <c r="Q46" s="138"/>
      <c r="R46" s="435"/>
      <c r="S46" s="138"/>
      <c r="T46" s="435"/>
      <c r="U46" s="138"/>
      <c r="V46" s="435"/>
      <c r="W46" s="138"/>
      <c r="X46" s="435"/>
      <c r="Y46" s="138"/>
      <c r="Z46" s="236"/>
      <c r="AB46" s="318"/>
      <c r="AC46" s="747"/>
      <c r="AD46" s="663"/>
    </row>
    <row r="47" spans="1:30" ht="11.45" customHeight="1" x14ac:dyDescent="0.2">
      <c r="B47" s="45" t="s">
        <v>14</v>
      </c>
      <c r="C47" s="149"/>
      <c r="D47" s="182">
        <v>83733</v>
      </c>
      <c r="E47" s="7"/>
      <c r="F47" s="328">
        <v>114732</v>
      </c>
      <c r="G47" s="261"/>
      <c r="H47" s="454">
        <v>142407</v>
      </c>
      <c r="I47" s="231"/>
      <c r="J47" s="511">
        <v>177800.31</v>
      </c>
      <c r="K47" s="1037"/>
      <c r="L47" s="690">
        <v>187227</v>
      </c>
      <c r="M47" s="261"/>
      <c r="N47" s="1010">
        <v>453362</v>
      </c>
      <c r="O47" s="231"/>
      <c r="P47" s="1248">
        <v>378771</v>
      </c>
      <c r="Q47" s="327"/>
      <c r="R47" s="1248">
        <v>366418</v>
      </c>
      <c r="S47" s="327"/>
      <c r="T47" s="1248">
        <v>520033</v>
      </c>
      <c r="U47" s="327"/>
      <c r="V47" s="1248">
        <v>506613</v>
      </c>
      <c r="W47" s="327"/>
      <c r="X47" s="1248">
        <v>549977.44999999995</v>
      </c>
      <c r="Y47" s="327"/>
      <c r="Z47" s="1330"/>
      <c r="AB47" s="748"/>
      <c r="AC47" s="854">
        <f>AVERAGE(V47,T47,R47,P47,X47)</f>
        <v>464362.49000000005</v>
      </c>
    </row>
    <row r="48" spans="1:30" ht="11.45" customHeight="1" x14ac:dyDescent="0.2">
      <c r="B48" s="1129" t="s">
        <v>15</v>
      </c>
      <c r="C48" s="147"/>
      <c r="D48" s="183">
        <f>571931+2335397+381514</f>
        <v>3288842</v>
      </c>
      <c r="E48" s="13"/>
      <c r="F48" s="386">
        <f>672118+2854118</f>
        <v>3526236</v>
      </c>
      <c r="G48" s="296"/>
      <c r="H48" s="503">
        <v>3765622</v>
      </c>
      <c r="I48" s="421"/>
      <c r="J48" s="328">
        <f>676920+3031863</f>
        <v>3708783</v>
      </c>
      <c r="K48" s="296"/>
      <c r="L48" s="328">
        <f>396+619+56276+711705+2245+2588463+473368</f>
        <v>3833072</v>
      </c>
      <c r="M48" s="296"/>
      <c r="N48" s="1117">
        <f>0+705460+3144527</f>
        <v>3849987</v>
      </c>
      <c r="O48" s="421"/>
      <c r="P48" s="454">
        <f>617481+2500+3009178+120</f>
        <v>3629279</v>
      </c>
      <c r="Q48" s="327"/>
      <c r="R48" s="454">
        <f>17689.36+554505.89+1500+2961439.92+1295.34</f>
        <v>3536430.51</v>
      </c>
      <c r="S48" s="327"/>
      <c r="T48" s="454">
        <f>8154.22+711850.32+4750+2991407.48+156.45</f>
        <v>3716318.47</v>
      </c>
      <c r="U48" s="327"/>
      <c r="V48" s="454">
        <v>3695590</v>
      </c>
      <c r="W48" s="327"/>
      <c r="X48" s="454">
        <v>3682075.07</v>
      </c>
      <c r="Y48" s="327"/>
      <c r="Z48" s="1323"/>
      <c r="AB48" s="318"/>
      <c r="AC48" s="854">
        <f>AVERAGE(V48,T48,R48,P48,X48)</f>
        <v>3651938.6100000003</v>
      </c>
    </row>
    <row r="49" spans="1:29" thickBot="1" x14ac:dyDescent="0.25">
      <c r="B49" s="1130" t="s">
        <v>32</v>
      </c>
      <c r="C49" s="144"/>
      <c r="D49" s="157"/>
      <c r="E49" s="19"/>
      <c r="F49" s="306"/>
      <c r="G49" s="266"/>
      <c r="H49" s="436"/>
      <c r="I49" s="422"/>
      <c r="J49" s="332"/>
      <c r="K49" s="266"/>
      <c r="L49" s="332"/>
      <c r="M49" s="266"/>
      <c r="N49" s="436"/>
      <c r="O49" s="422"/>
      <c r="P49" s="436"/>
      <c r="Q49" s="422"/>
      <c r="R49" s="436"/>
      <c r="S49" s="422"/>
      <c r="T49" s="436"/>
      <c r="U49" s="422"/>
      <c r="V49" s="436"/>
      <c r="W49" s="422"/>
      <c r="X49" s="436"/>
      <c r="Y49" s="422"/>
      <c r="Z49" s="237"/>
      <c r="AB49" s="849"/>
      <c r="AC49" s="850"/>
    </row>
    <row r="50" spans="1:29" ht="12" x14ac:dyDescent="0.2">
      <c r="B50" s="1131"/>
      <c r="C50" s="145" t="s">
        <v>97</v>
      </c>
      <c r="D50" s="146" t="s">
        <v>104</v>
      </c>
      <c r="E50" s="53" t="s">
        <v>97</v>
      </c>
      <c r="F50" s="155" t="s">
        <v>104</v>
      </c>
      <c r="G50" s="267" t="s">
        <v>97</v>
      </c>
      <c r="H50" s="437" t="s">
        <v>104</v>
      </c>
      <c r="I50" s="423" t="s">
        <v>97</v>
      </c>
      <c r="J50" s="475" t="s">
        <v>104</v>
      </c>
      <c r="K50" s="267" t="s">
        <v>97</v>
      </c>
      <c r="L50" s="475" t="s">
        <v>104</v>
      </c>
      <c r="M50" s="630" t="s">
        <v>97</v>
      </c>
      <c r="N50" s="437" t="s">
        <v>104</v>
      </c>
      <c r="O50" s="1033" t="s">
        <v>97</v>
      </c>
      <c r="P50" s="437" t="s">
        <v>104</v>
      </c>
      <c r="Q50" s="1033" t="s">
        <v>97</v>
      </c>
      <c r="R50" s="437" t="s">
        <v>104</v>
      </c>
      <c r="S50" s="1033" t="s">
        <v>97</v>
      </c>
      <c r="T50" s="437" t="s">
        <v>104</v>
      </c>
      <c r="U50" s="1033" t="s">
        <v>97</v>
      </c>
      <c r="V50" s="437" t="s">
        <v>104</v>
      </c>
      <c r="W50" s="1033" t="s">
        <v>97</v>
      </c>
      <c r="X50" s="437" t="s">
        <v>104</v>
      </c>
      <c r="Y50" s="1033" t="s">
        <v>97</v>
      </c>
      <c r="Z50" s="250" t="s">
        <v>104</v>
      </c>
      <c r="AB50" s="749" t="s">
        <v>97</v>
      </c>
      <c r="AC50" s="250" t="s">
        <v>104</v>
      </c>
    </row>
    <row r="51" spans="1:29" ht="12" x14ac:dyDescent="0.2">
      <c r="B51" s="1072" t="s">
        <v>50</v>
      </c>
      <c r="C51" s="764">
        <v>2</v>
      </c>
      <c r="D51" s="639">
        <v>203946.8</v>
      </c>
      <c r="E51" s="64">
        <v>3</v>
      </c>
      <c r="F51" s="518">
        <v>255615.8</v>
      </c>
      <c r="G51" s="768">
        <v>2</v>
      </c>
      <c r="H51" s="454">
        <v>75257</v>
      </c>
      <c r="I51" s="771">
        <v>5</v>
      </c>
      <c r="J51" s="640">
        <v>725821.65</v>
      </c>
      <c r="K51" s="771">
        <v>0</v>
      </c>
      <c r="L51" s="514">
        <v>0</v>
      </c>
      <c r="M51" s="1093">
        <v>0</v>
      </c>
      <c r="N51" s="503">
        <v>0</v>
      </c>
      <c r="O51" s="1093">
        <v>5</v>
      </c>
      <c r="P51" s="503">
        <v>540572</v>
      </c>
      <c r="Q51" s="1093">
        <v>3</v>
      </c>
      <c r="R51" s="503">
        <v>142362</v>
      </c>
      <c r="S51" s="1093">
        <v>7</v>
      </c>
      <c r="T51" s="503">
        <v>369621</v>
      </c>
      <c r="U51" s="1093">
        <v>10</v>
      </c>
      <c r="V51" s="503">
        <v>616502</v>
      </c>
      <c r="W51" s="1093">
        <v>7</v>
      </c>
      <c r="X51" s="503">
        <v>308604</v>
      </c>
      <c r="Y51" s="992"/>
      <c r="Z51" s="385"/>
      <c r="AA51" s="657"/>
      <c r="AB51" s="855">
        <f t="shared" ref="AB51" si="9">AVERAGE(U51,S51,Q51,Y51,W51)</f>
        <v>6.75</v>
      </c>
      <c r="AC51" s="854">
        <f t="shared" ref="AC51" si="10">AVERAGE(V51,T51,R51,Z51,X51)</f>
        <v>359272.25</v>
      </c>
    </row>
    <row r="52" spans="1:29" ht="12" x14ac:dyDescent="0.2">
      <c r="B52" s="1072"/>
      <c r="C52" s="765"/>
      <c r="D52" s="148"/>
      <c r="E52" s="767"/>
      <c r="F52" s="263"/>
      <c r="G52" s="769"/>
      <c r="H52" s="450"/>
      <c r="I52" s="772"/>
      <c r="J52" s="450"/>
      <c r="K52" s="772"/>
      <c r="L52" s="484"/>
      <c r="M52" s="1095"/>
      <c r="N52" s="644"/>
      <c r="O52" s="1095"/>
      <c r="P52" s="644"/>
      <c r="Q52" s="1095"/>
      <c r="R52" s="644"/>
      <c r="S52" s="1095"/>
      <c r="T52" s="644"/>
      <c r="U52" s="1095"/>
      <c r="V52" s="644"/>
      <c r="W52" s="1095"/>
      <c r="X52" s="644"/>
      <c r="Y52" s="1029"/>
      <c r="Z52" s="251"/>
      <c r="AA52" s="657"/>
      <c r="AB52" s="855"/>
      <c r="AC52" s="854"/>
    </row>
    <row r="53" spans="1:29" thickBot="1" x14ac:dyDescent="0.25">
      <c r="B53" s="1073" t="s">
        <v>16</v>
      </c>
      <c r="C53" s="766">
        <v>3</v>
      </c>
      <c r="D53" s="157">
        <v>238952</v>
      </c>
      <c r="E53" s="751">
        <v>2</v>
      </c>
      <c r="F53" s="537">
        <v>55055.8</v>
      </c>
      <c r="G53" s="770">
        <v>3</v>
      </c>
      <c r="H53" s="604">
        <v>400239</v>
      </c>
      <c r="I53" s="773">
        <v>3</v>
      </c>
      <c r="J53" s="604">
        <v>177500</v>
      </c>
      <c r="K53" s="773">
        <v>2</v>
      </c>
      <c r="L53" s="575">
        <v>40313</v>
      </c>
      <c r="M53" s="770">
        <v>0</v>
      </c>
      <c r="N53" s="632">
        <v>0</v>
      </c>
      <c r="O53" s="770">
        <v>2</v>
      </c>
      <c r="P53" s="632">
        <v>76436</v>
      </c>
      <c r="Q53" s="770">
        <v>0</v>
      </c>
      <c r="R53" s="632">
        <v>0</v>
      </c>
      <c r="S53" s="770">
        <v>1</v>
      </c>
      <c r="T53" s="632">
        <v>49639</v>
      </c>
      <c r="U53" s="770">
        <v>2</v>
      </c>
      <c r="V53" s="632">
        <v>28948</v>
      </c>
      <c r="W53" s="770">
        <v>4</v>
      </c>
      <c r="X53" s="632">
        <v>572825</v>
      </c>
      <c r="Y53" s="993"/>
      <c r="Z53" s="368"/>
      <c r="AA53" s="657"/>
      <c r="AB53" s="856">
        <f t="shared" ref="AB53" si="11">AVERAGE(U53,S53,Q53,Y53,W53)</f>
        <v>1.75</v>
      </c>
      <c r="AC53" s="854">
        <f t="shared" ref="AC53" si="12">AVERAGE(V53,T53,R53,Z53,X53)</f>
        <v>162853</v>
      </c>
    </row>
    <row r="54" spans="1:29" ht="12" x14ac:dyDescent="0.2">
      <c r="B54" s="1048" t="s">
        <v>68</v>
      </c>
      <c r="C54" s="185"/>
      <c r="D54" s="193"/>
      <c r="E54" s="94"/>
      <c r="F54" s="293"/>
      <c r="G54" s="297"/>
      <c r="H54" s="439"/>
      <c r="I54" s="424"/>
      <c r="J54" s="476"/>
      <c r="K54" s="297"/>
      <c r="L54" s="476"/>
      <c r="M54" s="297"/>
      <c r="N54" s="439"/>
      <c r="O54" s="424"/>
      <c r="P54" s="439"/>
      <c r="Q54" s="424"/>
      <c r="R54" s="439"/>
      <c r="S54" s="424"/>
      <c r="T54" s="439"/>
      <c r="U54" s="424"/>
      <c r="V54" s="439"/>
      <c r="W54" s="424"/>
      <c r="X54" s="439"/>
      <c r="Y54" s="424"/>
      <c r="Z54" s="238"/>
      <c r="AA54" s="657"/>
      <c r="AB54" s="851"/>
      <c r="AC54" s="852"/>
    </row>
    <row r="55" spans="1:29" ht="6.75" customHeight="1" x14ac:dyDescent="0.2">
      <c r="B55" s="1132" t="s">
        <v>69</v>
      </c>
      <c r="C55" s="186"/>
      <c r="D55" s="194"/>
      <c r="E55" s="25"/>
      <c r="F55" s="26"/>
      <c r="G55" s="269"/>
      <c r="H55" s="440"/>
      <c r="I55" s="239"/>
      <c r="J55" s="229"/>
      <c r="K55" s="269"/>
      <c r="L55" s="229"/>
      <c r="M55" s="269"/>
      <c r="N55" s="440"/>
      <c r="O55" s="239"/>
      <c r="P55" s="440"/>
      <c r="Q55" s="239"/>
      <c r="R55" s="440"/>
      <c r="S55" s="239"/>
      <c r="T55" s="440"/>
      <c r="U55" s="239"/>
      <c r="V55" s="440"/>
      <c r="W55" s="239"/>
      <c r="X55" s="440"/>
      <c r="Y55" s="239"/>
      <c r="Z55" s="240"/>
      <c r="AA55" s="657"/>
      <c r="AC55" s="652"/>
    </row>
    <row r="56" spans="1:29" ht="12" x14ac:dyDescent="0.2">
      <c r="B56" s="1074" t="s">
        <v>70</v>
      </c>
      <c r="C56" s="149"/>
      <c r="D56" s="158">
        <v>3438.11</v>
      </c>
      <c r="E56" s="17"/>
      <c r="F56" s="294">
        <v>3030</v>
      </c>
      <c r="G56" s="268"/>
      <c r="H56" s="529">
        <v>1635</v>
      </c>
      <c r="I56" s="425"/>
      <c r="J56" s="535">
        <v>1710</v>
      </c>
      <c r="K56" s="268"/>
      <c r="L56" s="535">
        <v>1518</v>
      </c>
      <c r="M56" s="268"/>
      <c r="N56" s="1024">
        <v>1950</v>
      </c>
      <c r="O56" s="425"/>
      <c r="P56" s="1024">
        <v>4365</v>
      </c>
      <c r="Q56" s="425"/>
      <c r="R56" s="1024">
        <v>52295</v>
      </c>
      <c r="S56" s="425"/>
      <c r="T56" s="1024">
        <v>5810</v>
      </c>
      <c r="U56" s="425"/>
      <c r="V56" s="1024">
        <v>4455</v>
      </c>
      <c r="W56" s="425"/>
      <c r="X56" s="1024">
        <v>63915</v>
      </c>
      <c r="Y56" s="425"/>
      <c r="Z56" s="1332"/>
      <c r="AA56" s="657"/>
      <c r="AB56" s="318"/>
      <c r="AC56" s="750">
        <f t="shared" ref="AC56:AC57" si="13">AVERAGE(V56,T56,R56,P56,X56)</f>
        <v>26168</v>
      </c>
    </row>
    <row r="57" spans="1:29" ht="14.25" customHeight="1" thickBot="1" x14ac:dyDescent="0.25">
      <c r="B57" s="1075" t="s">
        <v>71</v>
      </c>
      <c r="C57" s="151"/>
      <c r="D57" s="159">
        <v>0</v>
      </c>
      <c r="E57" s="14"/>
      <c r="F57" s="307">
        <v>0</v>
      </c>
      <c r="G57" s="270"/>
      <c r="H57" s="455">
        <v>0</v>
      </c>
      <c r="I57" s="426"/>
      <c r="J57" s="490">
        <v>0</v>
      </c>
      <c r="K57" s="270"/>
      <c r="L57" s="490">
        <v>0</v>
      </c>
      <c r="M57" s="270"/>
      <c r="N57" s="455">
        <v>0</v>
      </c>
      <c r="O57" s="426"/>
      <c r="P57" s="455">
        <v>0</v>
      </c>
      <c r="Q57" s="426"/>
      <c r="R57" s="455">
        <v>0</v>
      </c>
      <c r="S57" s="426"/>
      <c r="T57" s="455">
        <v>0</v>
      </c>
      <c r="U57" s="426"/>
      <c r="V57" s="455">
        <v>0</v>
      </c>
      <c r="W57" s="426"/>
      <c r="X57" s="455">
        <v>0</v>
      </c>
      <c r="Y57" s="426"/>
      <c r="Z57" s="1326"/>
      <c r="AA57" s="657"/>
      <c r="AB57" s="659"/>
      <c r="AC57" s="854">
        <f t="shared" si="13"/>
        <v>0</v>
      </c>
    </row>
    <row r="58" spans="1:29" thickTop="1" x14ac:dyDescent="0.2">
      <c r="B58" s="61"/>
      <c r="C58" s="25"/>
      <c r="D58" s="62"/>
      <c r="E58" s="25"/>
      <c r="F58" s="26"/>
      <c r="G58" s="239"/>
      <c r="H58" s="229"/>
      <c r="I58" s="239"/>
      <c r="J58" s="229"/>
      <c r="K58" s="239"/>
      <c r="L58" s="229"/>
      <c r="M58" s="239"/>
      <c r="N58" s="229"/>
      <c r="O58" s="239"/>
      <c r="P58" s="229"/>
      <c r="Q58" s="239"/>
      <c r="R58" s="229"/>
      <c r="S58" s="239"/>
      <c r="T58" s="229"/>
      <c r="U58" s="239"/>
      <c r="V58" s="229"/>
      <c r="W58" s="239"/>
      <c r="X58" s="229"/>
      <c r="Y58" s="239"/>
      <c r="Z58" s="229"/>
      <c r="AB58" s="66"/>
      <c r="AC58" s="664"/>
    </row>
    <row r="59" spans="1:29" x14ac:dyDescent="0.2">
      <c r="A59" s="3" t="s">
        <v>66</v>
      </c>
      <c r="B59" s="61"/>
      <c r="C59" s="25"/>
      <c r="D59" s="62"/>
      <c r="E59" s="25"/>
      <c r="F59" s="26"/>
      <c r="G59" s="239"/>
      <c r="H59" s="229"/>
      <c r="I59" s="239"/>
      <c r="J59" s="229"/>
      <c r="K59" s="239"/>
      <c r="L59" s="229"/>
      <c r="M59" s="239"/>
      <c r="N59" s="229"/>
      <c r="O59" s="239"/>
      <c r="P59" s="229"/>
      <c r="Q59" s="239"/>
      <c r="R59" s="229"/>
      <c r="S59" s="239"/>
      <c r="T59" s="229"/>
      <c r="U59" s="239"/>
      <c r="V59" s="229"/>
      <c r="W59" s="239"/>
      <c r="X59" s="229"/>
      <c r="Y59" s="239"/>
      <c r="Z59" s="229"/>
    </row>
    <row r="60" spans="1:29" thickBot="1" x14ac:dyDescent="0.25">
      <c r="B60" s="61"/>
      <c r="C60" s="25"/>
      <c r="D60" s="62"/>
      <c r="E60" s="25"/>
      <c r="F60" s="26"/>
      <c r="G60" s="239"/>
      <c r="H60" s="229"/>
      <c r="I60" s="239"/>
      <c r="J60" s="229"/>
      <c r="K60" s="239"/>
      <c r="L60" s="229"/>
      <c r="M60" s="239"/>
      <c r="N60" s="229"/>
      <c r="O60" s="239"/>
      <c r="P60" s="229"/>
      <c r="Q60" s="239"/>
      <c r="R60" s="229"/>
      <c r="S60" s="239"/>
      <c r="T60" s="229"/>
      <c r="U60" s="239"/>
      <c r="V60" s="229"/>
      <c r="W60" s="239"/>
      <c r="X60" s="229"/>
      <c r="Y60" s="239"/>
      <c r="Z60" s="229"/>
      <c r="AB60" s="71"/>
    </row>
    <row r="61" spans="1:29" ht="13.5" thickTop="1" thickBot="1" x14ac:dyDescent="0.25">
      <c r="B61" s="102"/>
      <c r="C61" s="1498" t="s">
        <v>33</v>
      </c>
      <c r="D61" s="1499"/>
      <c r="E61" s="1501" t="s">
        <v>34</v>
      </c>
      <c r="F61" s="1501"/>
      <c r="G61" s="1500" t="s">
        <v>106</v>
      </c>
      <c r="H61" s="1495"/>
      <c r="I61" s="1500" t="s">
        <v>118</v>
      </c>
      <c r="J61" s="1494"/>
      <c r="K61" s="1500" t="s">
        <v>121</v>
      </c>
      <c r="L61" s="1494"/>
      <c r="M61" s="1500" t="s">
        <v>127</v>
      </c>
      <c r="N61" s="1495"/>
      <c r="O61" s="1494" t="s">
        <v>174</v>
      </c>
      <c r="P61" s="1495"/>
      <c r="Q61" s="1494" t="s">
        <v>193</v>
      </c>
      <c r="R61" s="1495"/>
      <c r="S61" s="1494" t="s">
        <v>218</v>
      </c>
      <c r="T61" s="1495"/>
      <c r="U61" s="1494" t="s">
        <v>221</v>
      </c>
      <c r="V61" s="1495"/>
      <c r="W61" s="1494" t="s">
        <v>232</v>
      </c>
      <c r="X61" s="1495"/>
      <c r="Y61" s="1494" t="s">
        <v>241</v>
      </c>
      <c r="Z61" s="1508"/>
      <c r="AB61" s="1521" t="s">
        <v>134</v>
      </c>
      <c r="AC61" s="1531"/>
    </row>
    <row r="62" spans="1:29" ht="12" x14ac:dyDescent="0.2">
      <c r="B62" s="103" t="s">
        <v>37</v>
      </c>
      <c r="C62" s="132"/>
      <c r="D62" s="133"/>
      <c r="E62" s="16"/>
      <c r="F62" s="16"/>
      <c r="G62" s="260"/>
      <c r="H62" s="407"/>
      <c r="I62" s="260"/>
      <c r="J62" s="387"/>
      <c r="K62" s="260"/>
      <c r="L62" s="387"/>
      <c r="M62" s="260"/>
      <c r="N62" s="407"/>
      <c r="O62" s="387"/>
      <c r="P62" s="407"/>
      <c r="Q62" s="387"/>
      <c r="R62" s="407"/>
      <c r="S62" s="387"/>
      <c r="T62" s="407"/>
      <c r="U62" s="387"/>
      <c r="V62" s="407"/>
      <c r="W62" s="387"/>
      <c r="X62" s="407"/>
      <c r="Y62" s="387"/>
      <c r="Z62" s="230"/>
      <c r="AA62" s="657"/>
      <c r="AC62" s="652"/>
    </row>
    <row r="63" spans="1:29" ht="12" x14ac:dyDescent="0.2">
      <c r="B63" s="114" t="s">
        <v>38</v>
      </c>
      <c r="C63" s="134"/>
      <c r="D63" s="168"/>
      <c r="E63" s="7"/>
      <c r="F63" s="99"/>
      <c r="G63" s="261"/>
      <c r="H63" s="408"/>
      <c r="I63" s="261"/>
      <c r="J63" s="244"/>
      <c r="K63" s="261"/>
      <c r="L63" s="244"/>
      <c r="M63" s="261"/>
      <c r="N63" s="408"/>
      <c r="O63" s="231"/>
      <c r="P63" s="408"/>
      <c r="Q63" s="231"/>
      <c r="R63" s="408"/>
      <c r="S63" s="231"/>
      <c r="T63" s="408"/>
      <c r="U63" s="231"/>
      <c r="V63" s="408"/>
      <c r="W63" s="231"/>
      <c r="X63" s="408"/>
      <c r="Y63" s="231"/>
      <c r="Z63" s="221"/>
      <c r="AA63" s="657"/>
      <c r="AC63" s="652"/>
    </row>
    <row r="64" spans="1:29" ht="12" x14ac:dyDescent="0.2">
      <c r="B64" s="115" t="s">
        <v>39</v>
      </c>
      <c r="C64" s="134"/>
      <c r="D64" s="168">
        <v>0</v>
      </c>
      <c r="E64" s="7"/>
      <c r="F64" s="99">
        <v>0</v>
      </c>
      <c r="G64" s="261"/>
      <c r="H64" s="408">
        <v>1</v>
      </c>
      <c r="I64" s="261"/>
      <c r="J64" s="244">
        <v>1</v>
      </c>
      <c r="K64" s="261"/>
      <c r="L64" s="244">
        <v>1</v>
      </c>
      <c r="M64" s="261"/>
      <c r="N64" s="408">
        <v>5</v>
      </c>
      <c r="O64" s="231"/>
      <c r="P64" s="408">
        <v>5</v>
      </c>
      <c r="Q64" s="231"/>
      <c r="R64" s="408">
        <v>4</v>
      </c>
      <c r="S64" s="231"/>
      <c r="T64" s="408">
        <v>6</v>
      </c>
      <c r="U64" s="231"/>
      <c r="V64" s="408">
        <v>6</v>
      </c>
      <c r="W64" s="231"/>
      <c r="X64" s="408">
        <v>6</v>
      </c>
      <c r="Y64" s="231"/>
      <c r="Z64" s="221">
        <v>6</v>
      </c>
      <c r="AA64" s="657"/>
      <c r="AC64" s="658">
        <f t="shared" ref="AC64:AC65" si="14">AVERAGE(V64,T64,R64,Z64,X64)</f>
        <v>5.6</v>
      </c>
    </row>
    <row r="65" spans="2:29" ht="12" x14ac:dyDescent="0.2">
      <c r="B65" s="115" t="s">
        <v>161</v>
      </c>
      <c r="C65" s="134"/>
      <c r="D65" s="168">
        <v>1</v>
      </c>
      <c r="E65" s="7"/>
      <c r="F65" s="99">
        <v>1</v>
      </c>
      <c r="G65" s="261"/>
      <c r="H65" s="408">
        <v>1</v>
      </c>
      <c r="I65" s="261"/>
      <c r="J65" s="244">
        <v>1</v>
      </c>
      <c r="K65" s="261"/>
      <c r="L65" s="244">
        <v>2</v>
      </c>
      <c r="M65" s="261"/>
      <c r="N65" s="408">
        <v>2</v>
      </c>
      <c r="O65" s="231"/>
      <c r="P65" s="408">
        <v>0</v>
      </c>
      <c r="Q65" s="231"/>
      <c r="R65" s="408">
        <v>1</v>
      </c>
      <c r="S65" s="231"/>
      <c r="T65" s="408">
        <v>1</v>
      </c>
      <c r="U65" s="231"/>
      <c r="V65" s="408">
        <v>1</v>
      </c>
      <c r="W65" s="231"/>
      <c r="X65" s="408">
        <v>0</v>
      </c>
      <c r="Y65" s="231"/>
      <c r="Z65" s="221">
        <v>0</v>
      </c>
      <c r="AA65" s="657"/>
      <c r="AB65" s="318"/>
      <c r="AC65" s="658">
        <f t="shared" si="14"/>
        <v>0.6</v>
      </c>
    </row>
    <row r="66" spans="2:29" ht="12" x14ac:dyDescent="0.2">
      <c r="B66" s="114" t="s">
        <v>40</v>
      </c>
      <c r="C66" s="134"/>
      <c r="D66" s="136"/>
      <c r="E66" s="7"/>
      <c r="F66" s="12"/>
      <c r="G66" s="261"/>
      <c r="H66" s="217"/>
      <c r="I66" s="261"/>
      <c r="J66" s="105"/>
      <c r="K66" s="261"/>
      <c r="L66" s="105"/>
      <c r="M66" s="261"/>
      <c r="N66" s="217"/>
      <c r="O66" s="231"/>
      <c r="P66" s="217"/>
      <c r="Q66" s="231"/>
      <c r="R66" s="217"/>
      <c r="S66" s="231"/>
      <c r="T66" s="217"/>
      <c r="U66" s="231"/>
      <c r="V66" s="217"/>
      <c r="W66" s="231"/>
      <c r="X66" s="217"/>
      <c r="Y66" s="231"/>
      <c r="Z66" s="232"/>
      <c r="AA66" s="657"/>
      <c r="AB66" s="748"/>
      <c r="AC66" s="1008"/>
    </row>
    <row r="67" spans="2:29" ht="12" x14ac:dyDescent="0.2">
      <c r="B67" s="115" t="s">
        <v>39</v>
      </c>
      <c r="C67" s="134"/>
      <c r="D67" s="136">
        <v>7</v>
      </c>
      <c r="E67" s="7"/>
      <c r="F67" s="12">
        <v>7</v>
      </c>
      <c r="G67" s="261"/>
      <c r="H67" s="217">
        <v>6</v>
      </c>
      <c r="I67" s="261"/>
      <c r="J67" s="105">
        <v>7</v>
      </c>
      <c r="K67" s="261"/>
      <c r="L67" s="105">
        <v>7</v>
      </c>
      <c r="M67" s="261"/>
      <c r="N67" s="217">
        <v>4</v>
      </c>
      <c r="O67" s="231"/>
      <c r="P67" s="217">
        <v>3</v>
      </c>
      <c r="Q67" s="231"/>
      <c r="R67" s="217">
        <v>3</v>
      </c>
      <c r="S67" s="231"/>
      <c r="T67" s="217">
        <v>3</v>
      </c>
      <c r="U67" s="231"/>
      <c r="V67" s="217">
        <v>2</v>
      </c>
      <c r="W67" s="231"/>
      <c r="X67" s="217">
        <v>2</v>
      </c>
      <c r="Y67" s="231"/>
      <c r="Z67" s="232">
        <v>2</v>
      </c>
      <c r="AA67" s="657"/>
      <c r="AC67" s="1008">
        <f t="shared" ref="AC67:AC69" si="15">AVERAGE(V67,T67,R67,Z67,X67)</f>
        <v>2.4</v>
      </c>
    </row>
    <row r="68" spans="2:29" ht="12" x14ac:dyDescent="0.2">
      <c r="B68" s="116" t="s">
        <v>161</v>
      </c>
      <c r="C68" s="134"/>
      <c r="D68" s="136">
        <v>0</v>
      </c>
      <c r="E68" s="7"/>
      <c r="F68" s="12">
        <v>0</v>
      </c>
      <c r="G68" s="261"/>
      <c r="H68" s="217">
        <v>1</v>
      </c>
      <c r="I68" s="261"/>
      <c r="J68" s="105">
        <v>1</v>
      </c>
      <c r="K68" s="261"/>
      <c r="L68" s="105">
        <v>0</v>
      </c>
      <c r="M68" s="261"/>
      <c r="N68" s="217">
        <v>0</v>
      </c>
      <c r="O68" s="231"/>
      <c r="P68" s="217">
        <v>0</v>
      </c>
      <c r="Q68" s="231"/>
      <c r="R68" s="217">
        <v>0</v>
      </c>
      <c r="S68" s="231"/>
      <c r="T68" s="217">
        <v>0</v>
      </c>
      <c r="U68" s="231"/>
      <c r="V68" s="217">
        <v>0</v>
      </c>
      <c r="W68" s="231"/>
      <c r="X68" s="217">
        <v>0</v>
      </c>
      <c r="Y68" s="231"/>
      <c r="Z68" s="232">
        <v>0</v>
      </c>
      <c r="AA68" s="657"/>
      <c r="AB68" s="318"/>
      <c r="AC68" s="752">
        <f t="shared" si="15"/>
        <v>0</v>
      </c>
    </row>
    <row r="69" spans="2:29" thickBot="1" x14ac:dyDescent="0.25">
      <c r="B69" s="107" t="s">
        <v>13</v>
      </c>
      <c r="C69" s="196"/>
      <c r="D69" s="208">
        <f>SUM(D64:D68)</f>
        <v>8</v>
      </c>
      <c r="E69" s="120"/>
      <c r="F69" s="47">
        <f>SUM(F64:F68)</f>
        <v>8</v>
      </c>
      <c r="G69" s="288"/>
      <c r="H69" s="409">
        <v>9</v>
      </c>
      <c r="I69" s="288"/>
      <c r="J69" s="47">
        <f>SUM(J64:J68)</f>
        <v>10</v>
      </c>
      <c r="K69" s="288"/>
      <c r="L69" s="47">
        <f>SUM(L64:L68)</f>
        <v>10</v>
      </c>
      <c r="M69" s="288"/>
      <c r="N69" s="208">
        <f>SUM(N64:N68)</f>
        <v>11</v>
      </c>
      <c r="O69" s="396"/>
      <c r="P69" s="208">
        <f>SUM(P64:P68)</f>
        <v>8</v>
      </c>
      <c r="Q69" s="396"/>
      <c r="R69" s="409">
        <f>SUM(R64:R68)</f>
        <v>8</v>
      </c>
      <c r="S69" s="396"/>
      <c r="T69" s="409">
        <f>SUM(T64:T68)</f>
        <v>10</v>
      </c>
      <c r="U69" s="396"/>
      <c r="V69" s="409">
        <f>SUM(V64:V68)</f>
        <v>9</v>
      </c>
      <c r="W69" s="396"/>
      <c r="X69" s="409">
        <f>SUM(X64:X68)</f>
        <v>8</v>
      </c>
      <c r="Y69" s="396"/>
      <c r="Z69" s="1359">
        <f>SUM(Z64:Z68)</f>
        <v>8</v>
      </c>
      <c r="AB69" s="659"/>
      <c r="AC69" s="786">
        <f t="shared" si="15"/>
        <v>8.6</v>
      </c>
    </row>
    <row r="70" spans="2:29" thickTop="1" x14ac:dyDescent="0.2">
      <c r="B70" s="127" t="s">
        <v>100</v>
      </c>
      <c r="C70" s="197" t="s">
        <v>97</v>
      </c>
      <c r="D70" s="198" t="s">
        <v>98</v>
      </c>
      <c r="E70" s="128" t="s">
        <v>97</v>
      </c>
      <c r="F70" s="195" t="s">
        <v>98</v>
      </c>
      <c r="G70" s="289" t="s">
        <v>97</v>
      </c>
      <c r="H70" s="441" t="s">
        <v>98</v>
      </c>
      <c r="I70" s="289" t="s">
        <v>97</v>
      </c>
      <c r="J70" s="477" t="s">
        <v>98</v>
      </c>
      <c r="K70" s="289" t="s">
        <v>97</v>
      </c>
      <c r="L70" s="477" t="s">
        <v>98</v>
      </c>
      <c r="M70" s="289" t="s">
        <v>97</v>
      </c>
      <c r="N70" s="441" t="s">
        <v>98</v>
      </c>
      <c r="O70" s="427" t="s">
        <v>97</v>
      </c>
      <c r="P70" s="441" t="s">
        <v>98</v>
      </c>
      <c r="Q70" s="427" t="s">
        <v>97</v>
      </c>
      <c r="R70" s="441" t="s">
        <v>98</v>
      </c>
      <c r="S70" s="427" t="s">
        <v>97</v>
      </c>
      <c r="T70" s="441" t="s">
        <v>98</v>
      </c>
      <c r="U70" s="427" t="s">
        <v>97</v>
      </c>
      <c r="V70" s="441" t="s">
        <v>98</v>
      </c>
      <c r="W70" s="427" t="s">
        <v>97</v>
      </c>
      <c r="X70" s="441" t="s">
        <v>98</v>
      </c>
      <c r="Y70" s="427" t="s">
        <v>97</v>
      </c>
      <c r="Z70" s="243" t="s">
        <v>98</v>
      </c>
      <c r="AB70" s="741" t="s">
        <v>97</v>
      </c>
      <c r="AC70" s="648" t="s">
        <v>98</v>
      </c>
    </row>
    <row r="71" spans="2:29" ht="12" x14ac:dyDescent="0.2">
      <c r="B71" s="115" t="s">
        <v>81</v>
      </c>
      <c r="C71" s="199">
        <v>8</v>
      </c>
      <c r="D71" s="200">
        <f>C71/$D$69</f>
        <v>1</v>
      </c>
      <c r="E71" s="125">
        <f>7+1</f>
        <v>8</v>
      </c>
      <c r="F71" s="206">
        <f t="shared" ref="F71:F78" si="16">E71/$F$69</f>
        <v>1</v>
      </c>
      <c r="G71" s="199">
        <v>9</v>
      </c>
      <c r="H71" s="372">
        <f>G71/$H$69</f>
        <v>1</v>
      </c>
      <c r="I71" s="359">
        <v>10</v>
      </c>
      <c r="J71" s="485">
        <f t="shared" ref="J71:J78" si="17">I71/$J$69</f>
        <v>1</v>
      </c>
      <c r="K71" s="359">
        <v>9</v>
      </c>
      <c r="L71" s="485">
        <f t="shared" ref="L71:L78" si="18">K71/$L$69</f>
        <v>0.9</v>
      </c>
      <c r="M71" s="359">
        <f>4+4+2</f>
        <v>10</v>
      </c>
      <c r="N71" s="200">
        <f t="shared" ref="N71:N76" si="19">M71/N$69</f>
        <v>0.90909090909090906</v>
      </c>
      <c r="O71" s="353">
        <v>7</v>
      </c>
      <c r="P71" s="200">
        <f t="shared" ref="P71:P76" si="20">O71/P$69</f>
        <v>0.875</v>
      </c>
      <c r="Q71" s="353">
        <v>7</v>
      </c>
      <c r="R71" s="200">
        <f t="shared" ref="R71:T78" si="21">Q71/R$69</f>
        <v>0.875</v>
      </c>
      <c r="S71" s="353">
        <f>9+1</f>
        <v>10</v>
      </c>
      <c r="T71" s="200">
        <f t="shared" si="21"/>
        <v>1</v>
      </c>
      <c r="U71" s="353">
        <v>9</v>
      </c>
      <c r="V71" s="200">
        <f t="shared" ref="V71:V78" si="22">U71/V$69</f>
        <v>1</v>
      </c>
      <c r="W71" s="353">
        <v>8</v>
      </c>
      <c r="X71" s="200">
        <f t="shared" ref="X71:X78" si="23">W71/X$69</f>
        <v>1</v>
      </c>
      <c r="Y71" s="353">
        <v>8</v>
      </c>
      <c r="Z71" s="1410">
        <f t="shared" ref="Z71:Z78" si="24">Y71/Z$69</f>
        <v>1</v>
      </c>
      <c r="AB71" s="687">
        <f t="shared" ref="AB71:AB78" si="25">AVERAGE(U71,S71,Q71,Y71,W71)</f>
        <v>8.4</v>
      </c>
      <c r="AC71" s="685">
        <f t="shared" ref="AC71:AC78" si="26">AVERAGE(V71,T71,R71,Z71,X71)</f>
        <v>0.97499999999999998</v>
      </c>
    </row>
    <row r="72" spans="2:29" ht="12" x14ac:dyDescent="0.2">
      <c r="B72" s="121" t="s">
        <v>82</v>
      </c>
      <c r="C72" s="199">
        <v>0</v>
      </c>
      <c r="D72" s="200">
        <f t="shared" ref="D72:D90" si="27">C72/$D$69</f>
        <v>0</v>
      </c>
      <c r="E72" s="125">
        <v>0</v>
      </c>
      <c r="F72" s="206">
        <f t="shared" si="16"/>
        <v>0</v>
      </c>
      <c r="G72" s="199">
        <v>0</v>
      </c>
      <c r="H72" s="372">
        <f t="shared" ref="H72:H78" si="28">G72/$H$69</f>
        <v>0</v>
      </c>
      <c r="I72" s="359">
        <v>0</v>
      </c>
      <c r="J72" s="485">
        <f t="shared" si="17"/>
        <v>0</v>
      </c>
      <c r="K72" s="359">
        <v>1</v>
      </c>
      <c r="L72" s="485">
        <f t="shared" si="18"/>
        <v>0.1</v>
      </c>
      <c r="M72" s="359">
        <v>1</v>
      </c>
      <c r="N72" s="200">
        <f t="shared" si="19"/>
        <v>9.0909090909090912E-2</v>
      </c>
      <c r="O72" s="353">
        <v>1</v>
      </c>
      <c r="P72" s="200">
        <f t="shared" si="20"/>
        <v>0.125</v>
      </c>
      <c r="Q72" s="353">
        <v>1</v>
      </c>
      <c r="R72" s="200">
        <f t="shared" si="21"/>
        <v>0.125</v>
      </c>
      <c r="S72" s="353">
        <f>0</f>
        <v>0</v>
      </c>
      <c r="T72" s="200">
        <f t="shared" si="21"/>
        <v>0</v>
      </c>
      <c r="U72" s="353">
        <v>0</v>
      </c>
      <c r="V72" s="200">
        <f t="shared" si="22"/>
        <v>0</v>
      </c>
      <c r="W72" s="353">
        <v>0</v>
      </c>
      <c r="X72" s="200">
        <f t="shared" si="23"/>
        <v>0</v>
      </c>
      <c r="Y72" s="353">
        <v>0</v>
      </c>
      <c r="Z72" s="1410">
        <f t="shared" si="24"/>
        <v>0</v>
      </c>
      <c r="AA72" s="657"/>
      <c r="AB72" s="803">
        <f t="shared" si="25"/>
        <v>0.2</v>
      </c>
      <c r="AC72" s="685">
        <f t="shared" si="26"/>
        <v>2.5000000000000001E-2</v>
      </c>
    </row>
    <row r="73" spans="2:29" ht="12" x14ac:dyDescent="0.2">
      <c r="B73" s="121" t="s">
        <v>83</v>
      </c>
      <c r="C73" s="199">
        <v>0</v>
      </c>
      <c r="D73" s="200">
        <f t="shared" si="27"/>
        <v>0</v>
      </c>
      <c r="E73" s="125">
        <v>0</v>
      </c>
      <c r="F73" s="206">
        <f t="shared" si="16"/>
        <v>0</v>
      </c>
      <c r="G73" s="199">
        <v>0</v>
      </c>
      <c r="H73" s="372">
        <f t="shared" si="28"/>
        <v>0</v>
      </c>
      <c r="I73" s="359">
        <v>0</v>
      </c>
      <c r="J73" s="485">
        <f t="shared" si="17"/>
        <v>0</v>
      </c>
      <c r="K73" s="359">
        <v>0</v>
      </c>
      <c r="L73" s="485">
        <f t="shared" si="18"/>
        <v>0</v>
      </c>
      <c r="M73" s="359">
        <v>0</v>
      </c>
      <c r="N73" s="200">
        <f t="shared" si="19"/>
        <v>0</v>
      </c>
      <c r="O73" s="353">
        <v>0</v>
      </c>
      <c r="P73" s="200">
        <f t="shared" si="20"/>
        <v>0</v>
      </c>
      <c r="Q73" s="353">
        <v>0</v>
      </c>
      <c r="R73" s="200">
        <f t="shared" si="21"/>
        <v>0</v>
      </c>
      <c r="S73" s="353">
        <f>0</f>
        <v>0</v>
      </c>
      <c r="T73" s="200">
        <f t="shared" si="21"/>
        <v>0</v>
      </c>
      <c r="U73" s="353">
        <v>0</v>
      </c>
      <c r="V73" s="200">
        <f t="shared" si="22"/>
        <v>0</v>
      </c>
      <c r="W73" s="353">
        <v>0</v>
      </c>
      <c r="X73" s="200">
        <f t="shared" si="23"/>
        <v>0</v>
      </c>
      <c r="Y73" s="353">
        <v>0</v>
      </c>
      <c r="Z73" s="1410">
        <f t="shared" si="24"/>
        <v>0</v>
      </c>
      <c r="AA73" s="657"/>
      <c r="AB73" s="803">
        <f t="shared" si="25"/>
        <v>0</v>
      </c>
      <c r="AC73" s="685">
        <f t="shared" si="26"/>
        <v>0</v>
      </c>
    </row>
    <row r="74" spans="2:29" ht="12" x14ac:dyDescent="0.2">
      <c r="B74" s="121" t="s">
        <v>84</v>
      </c>
      <c r="C74" s="199">
        <v>0</v>
      </c>
      <c r="D74" s="200">
        <f t="shared" si="27"/>
        <v>0</v>
      </c>
      <c r="E74" s="125">
        <v>0</v>
      </c>
      <c r="F74" s="206">
        <f t="shared" si="16"/>
        <v>0</v>
      </c>
      <c r="G74" s="199">
        <v>0</v>
      </c>
      <c r="H74" s="372">
        <f t="shared" si="28"/>
        <v>0</v>
      </c>
      <c r="I74" s="359">
        <v>0</v>
      </c>
      <c r="J74" s="485">
        <f t="shared" si="17"/>
        <v>0</v>
      </c>
      <c r="K74" s="359">
        <v>0</v>
      </c>
      <c r="L74" s="485">
        <f t="shared" si="18"/>
        <v>0</v>
      </c>
      <c r="M74" s="359">
        <v>0</v>
      </c>
      <c r="N74" s="200">
        <f t="shared" si="19"/>
        <v>0</v>
      </c>
      <c r="O74" s="353">
        <v>0</v>
      </c>
      <c r="P74" s="200">
        <f t="shared" si="20"/>
        <v>0</v>
      </c>
      <c r="Q74" s="353">
        <v>0</v>
      </c>
      <c r="R74" s="200">
        <f t="shared" si="21"/>
        <v>0</v>
      </c>
      <c r="S74" s="353">
        <f>0</f>
        <v>0</v>
      </c>
      <c r="T74" s="200">
        <f t="shared" si="21"/>
        <v>0</v>
      </c>
      <c r="U74" s="353">
        <v>0</v>
      </c>
      <c r="V74" s="200">
        <f t="shared" si="22"/>
        <v>0</v>
      </c>
      <c r="W74" s="353">
        <v>0</v>
      </c>
      <c r="X74" s="200">
        <f t="shared" si="23"/>
        <v>0</v>
      </c>
      <c r="Y74" s="353">
        <v>0</v>
      </c>
      <c r="Z74" s="1410">
        <f t="shared" si="24"/>
        <v>0</v>
      </c>
      <c r="AA74" s="657"/>
      <c r="AB74" s="803">
        <f t="shared" si="25"/>
        <v>0</v>
      </c>
      <c r="AC74" s="685">
        <f t="shared" si="26"/>
        <v>0</v>
      </c>
    </row>
    <row r="75" spans="2:29" ht="12" x14ac:dyDescent="0.2">
      <c r="B75" s="121" t="s">
        <v>85</v>
      </c>
      <c r="C75" s="199">
        <v>0</v>
      </c>
      <c r="D75" s="200">
        <f t="shared" si="27"/>
        <v>0</v>
      </c>
      <c r="E75" s="125">
        <v>0</v>
      </c>
      <c r="F75" s="206">
        <f t="shared" si="16"/>
        <v>0</v>
      </c>
      <c r="G75" s="199">
        <v>0</v>
      </c>
      <c r="H75" s="372">
        <f t="shared" si="28"/>
        <v>0</v>
      </c>
      <c r="I75" s="359">
        <v>0</v>
      </c>
      <c r="J75" s="485">
        <f t="shared" si="17"/>
        <v>0</v>
      </c>
      <c r="K75" s="359">
        <v>0</v>
      </c>
      <c r="L75" s="485">
        <f t="shared" si="18"/>
        <v>0</v>
      </c>
      <c r="M75" s="359">
        <v>0</v>
      </c>
      <c r="N75" s="200">
        <f t="shared" si="19"/>
        <v>0</v>
      </c>
      <c r="O75" s="353">
        <v>0</v>
      </c>
      <c r="P75" s="200">
        <f t="shared" si="20"/>
        <v>0</v>
      </c>
      <c r="Q75" s="353">
        <v>0</v>
      </c>
      <c r="R75" s="200">
        <f t="shared" si="21"/>
        <v>0</v>
      </c>
      <c r="S75" s="353">
        <f>0</f>
        <v>0</v>
      </c>
      <c r="T75" s="200">
        <f t="shared" si="21"/>
        <v>0</v>
      </c>
      <c r="U75" s="353">
        <v>0</v>
      </c>
      <c r="V75" s="200">
        <f t="shared" si="22"/>
        <v>0</v>
      </c>
      <c r="W75" s="353">
        <v>0</v>
      </c>
      <c r="X75" s="200">
        <f t="shared" si="23"/>
        <v>0</v>
      </c>
      <c r="Y75" s="353">
        <v>0</v>
      </c>
      <c r="Z75" s="1410">
        <f t="shared" si="24"/>
        <v>0</v>
      </c>
      <c r="AA75" s="657"/>
      <c r="AB75" s="803">
        <f t="shared" si="25"/>
        <v>0</v>
      </c>
      <c r="AC75" s="685">
        <f t="shared" si="26"/>
        <v>0</v>
      </c>
    </row>
    <row r="76" spans="2:29" ht="12" x14ac:dyDescent="0.2">
      <c r="B76" s="121" t="s">
        <v>86</v>
      </c>
      <c r="C76" s="199">
        <v>0</v>
      </c>
      <c r="D76" s="200">
        <f t="shared" si="27"/>
        <v>0</v>
      </c>
      <c r="E76" s="125">
        <v>0</v>
      </c>
      <c r="F76" s="206">
        <f t="shared" si="16"/>
        <v>0</v>
      </c>
      <c r="G76" s="199">
        <v>0</v>
      </c>
      <c r="H76" s="372">
        <f t="shared" si="28"/>
        <v>0</v>
      </c>
      <c r="I76" s="359">
        <v>0</v>
      </c>
      <c r="J76" s="485">
        <f t="shared" si="17"/>
        <v>0</v>
      </c>
      <c r="K76" s="359">
        <v>0</v>
      </c>
      <c r="L76" s="485">
        <f t="shared" si="18"/>
        <v>0</v>
      </c>
      <c r="M76" s="359">
        <v>0</v>
      </c>
      <c r="N76" s="200">
        <f t="shared" si="19"/>
        <v>0</v>
      </c>
      <c r="O76" s="353">
        <v>0</v>
      </c>
      <c r="P76" s="200">
        <f t="shared" si="20"/>
        <v>0</v>
      </c>
      <c r="Q76" s="353">
        <v>0</v>
      </c>
      <c r="R76" s="200">
        <f t="shared" si="21"/>
        <v>0</v>
      </c>
      <c r="S76" s="353">
        <f>0</f>
        <v>0</v>
      </c>
      <c r="T76" s="200">
        <f t="shared" si="21"/>
        <v>0</v>
      </c>
      <c r="U76" s="353">
        <v>0</v>
      </c>
      <c r="V76" s="200">
        <f t="shared" si="22"/>
        <v>0</v>
      </c>
      <c r="W76" s="353">
        <v>0</v>
      </c>
      <c r="X76" s="200">
        <f t="shared" si="23"/>
        <v>0</v>
      </c>
      <c r="Y76" s="353">
        <v>0</v>
      </c>
      <c r="Z76" s="1410">
        <f t="shared" si="24"/>
        <v>0</v>
      </c>
      <c r="AA76" s="657"/>
      <c r="AB76" s="803">
        <f t="shared" si="25"/>
        <v>0</v>
      </c>
      <c r="AC76" s="685">
        <f t="shared" si="26"/>
        <v>0</v>
      </c>
    </row>
    <row r="77" spans="2:29" ht="12" x14ac:dyDescent="0.2">
      <c r="B77" s="121" t="s">
        <v>201</v>
      </c>
      <c r="C77" s="201"/>
      <c r="D77" s="200"/>
      <c r="E77" s="126"/>
      <c r="F77" s="206"/>
      <c r="G77" s="1252"/>
      <c r="H77" s="1253"/>
      <c r="I77" s="1258"/>
      <c r="J77" s="1259"/>
      <c r="K77" s="1258"/>
      <c r="L77" s="1259"/>
      <c r="M77" s="1258"/>
      <c r="N77" s="1261"/>
      <c r="O77" s="1260"/>
      <c r="P77" s="1261"/>
      <c r="Q77" s="360">
        <v>0</v>
      </c>
      <c r="R77" s="200">
        <f t="shared" si="21"/>
        <v>0</v>
      </c>
      <c r="S77" s="360">
        <f>0</f>
        <v>0</v>
      </c>
      <c r="T77" s="200">
        <f t="shared" si="21"/>
        <v>0</v>
      </c>
      <c r="U77" s="360">
        <v>0</v>
      </c>
      <c r="V77" s="200">
        <f t="shared" si="22"/>
        <v>0</v>
      </c>
      <c r="W77" s="360">
        <v>0</v>
      </c>
      <c r="X77" s="200">
        <f t="shared" si="23"/>
        <v>0</v>
      </c>
      <c r="Y77" s="360">
        <v>0</v>
      </c>
      <c r="Z77" s="1410">
        <f t="shared" si="24"/>
        <v>0</v>
      </c>
      <c r="AA77" s="657"/>
      <c r="AB77" s="803">
        <f t="shared" si="25"/>
        <v>0</v>
      </c>
      <c r="AC77" s="685">
        <f t="shared" si="26"/>
        <v>0</v>
      </c>
    </row>
    <row r="78" spans="2:29" ht="12" x14ac:dyDescent="0.2">
      <c r="B78" s="121" t="s">
        <v>87</v>
      </c>
      <c r="C78" s="201">
        <v>0</v>
      </c>
      <c r="D78" s="200">
        <f t="shared" si="27"/>
        <v>0</v>
      </c>
      <c r="E78" s="126">
        <v>0</v>
      </c>
      <c r="F78" s="206">
        <f t="shared" si="16"/>
        <v>0</v>
      </c>
      <c r="G78" s="201">
        <v>0</v>
      </c>
      <c r="H78" s="372">
        <f t="shared" si="28"/>
        <v>0</v>
      </c>
      <c r="I78" s="361">
        <v>0</v>
      </c>
      <c r="J78" s="485">
        <f t="shared" si="17"/>
        <v>0</v>
      </c>
      <c r="K78" s="361">
        <v>0</v>
      </c>
      <c r="L78" s="485">
        <f t="shared" si="18"/>
        <v>0</v>
      </c>
      <c r="M78" s="361">
        <v>0</v>
      </c>
      <c r="N78" s="200">
        <f>M78/N$69</f>
        <v>0</v>
      </c>
      <c r="O78" s="360">
        <v>0</v>
      </c>
      <c r="P78" s="200">
        <f>O78/P$69</f>
        <v>0</v>
      </c>
      <c r="Q78" s="360">
        <v>0</v>
      </c>
      <c r="R78" s="200">
        <f t="shared" si="21"/>
        <v>0</v>
      </c>
      <c r="S78" s="360">
        <f>0</f>
        <v>0</v>
      </c>
      <c r="T78" s="200">
        <f t="shared" si="21"/>
        <v>0</v>
      </c>
      <c r="U78" s="360">
        <v>0</v>
      </c>
      <c r="V78" s="200">
        <f t="shared" si="22"/>
        <v>0</v>
      </c>
      <c r="W78" s="360">
        <v>0</v>
      </c>
      <c r="X78" s="200">
        <f t="shared" si="23"/>
        <v>0</v>
      </c>
      <c r="Y78" s="360">
        <v>0</v>
      </c>
      <c r="Z78" s="1410">
        <f t="shared" si="24"/>
        <v>0</v>
      </c>
      <c r="AA78" s="657"/>
      <c r="AB78" s="803">
        <f t="shared" si="25"/>
        <v>0</v>
      </c>
      <c r="AC78" s="685">
        <f t="shared" si="26"/>
        <v>0</v>
      </c>
    </row>
    <row r="79" spans="2:29" ht="12" x14ac:dyDescent="0.2">
      <c r="B79" s="122" t="s">
        <v>101</v>
      </c>
      <c r="C79" s="202"/>
      <c r="D79" s="200"/>
      <c r="E79" s="164"/>
      <c r="F79" s="285"/>
      <c r="G79" s="290"/>
      <c r="H79" s="452"/>
      <c r="I79" s="290"/>
      <c r="J79" s="485"/>
      <c r="K79" s="290"/>
      <c r="L79" s="485"/>
      <c r="M79" s="290"/>
      <c r="N79" s="200"/>
      <c r="O79" s="164"/>
      <c r="P79" s="200"/>
      <c r="Q79" s="164"/>
      <c r="R79" s="200"/>
      <c r="S79" s="164"/>
      <c r="T79" s="200"/>
      <c r="U79" s="164"/>
      <c r="V79" s="200"/>
      <c r="W79" s="164"/>
      <c r="X79" s="200"/>
      <c r="Y79" s="164"/>
      <c r="Z79" s="1410"/>
      <c r="AA79" s="657"/>
      <c r="AB79" s="803"/>
      <c r="AC79" s="685"/>
    </row>
    <row r="80" spans="2:29" ht="12" x14ac:dyDescent="0.2">
      <c r="B80" s="115" t="s">
        <v>88</v>
      </c>
      <c r="C80" s="210">
        <v>5</v>
      </c>
      <c r="D80" s="200">
        <f t="shared" si="27"/>
        <v>0.625</v>
      </c>
      <c r="E80" s="99">
        <v>5</v>
      </c>
      <c r="F80" s="286">
        <f>E80/$F$69</f>
        <v>0.625</v>
      </c>
      <c r="G80" s="210">
        <v>6</v>
      </c>
      <c r="H80" s="372">
        <f>G80/$H$69</f>
        <v>0.66666666666666663</v>
      </c>
      <c r="I80" s="370">
        <v>7</v>
      </c>
      <c r="J80" s="485">
        <f>I80/$J$69</f>
        <v>0.7</v>
      </c>
      <c r="K80" s="370">
        <v>7</v>
      </c>
      <c r="L80" s="485">
        <f>K80/$L$69</f>
        <v>0.7</v>
      </c>
      <c r="M80" s="370">
        <f>5+2+1</f>
        <v>8</v>
      </c>
      <c r="N80" s="200">
        <f>M80/N$69</f>
        <v>0.72727272727272729</v>
      </c>
      <c r="O80" s="428">
        <v>6</v>
      </c>
      <c r="P80" s="200">
        <f>O80/P$69</f>
        <v>0.75</v>
      </c>
      <c r="Q80" s="428">
        <v>6</v>
      </c>
      <c r="R80" s="200">
        <f>Q80/R$69</f>
        <v>0.75</v>
      </c>
      <c r="S80" s="428">
        <f>5+1</f>
        <v>6</v>
      </c>
      <c r="T80" s="200">
        <f>S80/T$69</f>
        <v>0.6</v>
      </c>
      <c r="U80" s="428">
        <v>6</v>
      </c>
      <c r="V80" s="200">
        <f>U80/V$69</f>
        <v>0.66666666666666663</v>
      </c>
      <c r="W80" s="428">
        <v>5</v>
      </c>
      <c r="X80" s="200">
        <f>W80/X$69</f>
        <v>0.625</v>
      </c>
      <c r="Y80" s="428">
        <v>5</v>
      </c>
      <c r="Z80" s="1410">
        <f>Y80/Z$69</f>
        <v>0.625</v>
      </c>
      <c r="AA80" s="657"/>
      <c r="AB80" s="803">
        <f t="shared" ref="AB80:AB81" si="29">AVERAGE(U80,S80,Q80,Y80,W80)</f>
        <v>5.6</v>
      </c>
      <c r="AC80" s="685">
        <f t="shared" ref="AC80:AC81" si="30">AVERAGE(V80,T80,R80,Z80,X80)</f>
        <v>0.65333333333333332</v>
      </c>
    </row>
    <row r="81" spans="2:30" ht="12" x14ac:dyDescent="0.2">
      <c r="B81" s="115" t="s">
        <v>89</v>
      </c>
      <c r="C81" s="210">
        <v>3</v>
      </c>
      <c r="D81" s="200">
        <f t="shared" si="27"/>
        <v>0.375</v>
      </c>
      <c r="E81" s="165">
        <f>2+1</f>
        <v>3</v>
      </c>
      <c r="F81" s="286">
        <f>E81/$F$69</f>
        <v>0.375</v>
      </c>
      <c r="G81" s="370">
        <v>3</v>
      </c>
      <c r="H81" s="372">
        <f>G81/$H$69</f>
        <v>0.33333333333333331</v>
      </c>
      <c r="I81" s="370">
        <v>3</v>
      </c>
      <c r="J81" s="485">
        <f>I81/$J$69</f>
        <v>0.3</v>
      </c>
      <c r="K81" s="370">
        <v>3</v>
      </c>
      <c r="L81" s="485">
        <f>K81/$L$69</f>
        <v>0.3</v>
      </c>
      <c r="M81" s="370">
        <f>2+1</f>
        <v>3</v>
      </c>
      <c r="N81" s="200">
        <f>M81/N$69</f>
        <v>0.27272727272727271</v>
      </c>
      <c r="O81" s="428">
        <v>2</v>
      </c>
      <c r="P81" s="200">
        <f>O81/P$69</f>
        <v>0.25</v>
      </c>
      <c r="Q81" s="428">
        <v>2</v>
      </c>
      <c r="R81" s="200">
        <f>Q81/R$69</f>
        <v>0.25</v>
      </c>
      <c r="S81" s="428">
        <f>4</f>
        <v>4</v>
      </c>
      <c r="T81" s="200">
        <f>S81/T$69</f>
        <v>0.4</v>
      </c>
      <c r="U81" s="428">
        <v>3</v>
      </c>
      <c r="V81" s="200">
        <f>U81/V$69</f>
        <v>0.33333333333333331</v>
      </c>
      <c r="W81" s="428">
        <v>3</v>
      </c>
      <c r="X81" s="200">
        <f>W81/X$69</f>
        <v>0.375</v>
      </c>
      <c r="Y81" s="428">
        <v>3</v>
      </c>
      <c r="Z81" s="1410">
        <f>Y81/Z$69</f>
        <v>0.375</v>
      </c>
      <c r="AA81" s="657"/>
      <c r="AB81" s="803">
        <f t="shared" si="29"/>
        <v>3</v>
      </c>
      <c r="AC81" s="685">
        <f t="shared" si="30"/>
        <v>0.34666666666666668</v>
      </c>
    </row>
    <row r="82" spans="2:30" ht="12" x14ac:dyDescent="0.2">
      <c r="B82" s="122" t="s">
        <v>102</v>
      </c>
      <c r="C82" s="203"/>
      <c r="D82" s="200"/>
      <c r="E82" s="166"/>
      <c r="F82" s="286"/>
      <c r="G82" s="291"/>
      <c r="H82" s="372"/>
      <c r="I82" s="291"/>
      <c r="J82" s="485"/>
      <c r="K82" s="291"/>
      <c r="L82" s="485"/>
      <c r="M82" s="291"/>
      <c r="N82" s="200"/>
      <c r="O82" s="429"/>
      <c r="P82" s="200"/>
      <c r="Q82" s="429"/>
      <c r="R82" s="200"/>
      <c r="S82" s="429"/>
      <c r="T82" s="200"/>
      <c r="U82" s="429"/>
      <c r="V82" s="200"/>
      <c r="W82" s="429"/>
      <c r="X82" s="200"/>
      <c r="Y82" s="429"/>
      <c r="Z82" s="1410"/>
      <c r="AA82" s="657"/>
      <c r="AB82" s="803"/>
      <c r="AC82" s="685"/>
    </row>
    <row r="83" spans="2:30" ht="12" x14ac:dyDescent="0.2">
      <c r="B83" s="115" t="s">
        <v>90</v>
      </c>
      <c r="C83" s="209">
        <v>6</v>
      </c>
      <c r="D83" s="200">
        <f t="shared" si="27"/>
        <v>0.75</v>
      </c>
      <c r="E83" s="165">
        <v>6</v>
      </c>
      <c r="F83" s="286">
        <f>E83/$F$69</f>
        <v>0.75</v>
      </c>
      <c r="G83" s="370">
        <v>7</v>
      </c>
      <c r="H83" s="372">
        <f>G83/$H$69</f>
        <v>0.77777777777777779</v>
      </c>
      <c r="I83" s="370">
        <v>7</v>
      </c>
      <c r="J83" s="485">
        <f>I83/$J$69</f>
        <v>0.7</v>
      </c>
      <c r="K83" s="370">
        <v>7</v>
      </c>
      <c r="L83" s="485">
        <f>K83/$L$69</f>
        <v>0.7</v>
      </c>
      <c r="M83" s="370">
        <f>3+4+1</f>
        <v>8</v>
      </c>
      <c r="N83" s="200">
        <f>M83/N$69</f>
        <v>0.72727272727272729</v>
      </c>
      <c r="O83" s="428">
        <v>6</v>
      </c>
      <c r="P83" s="200">
        <f>O83/P$69</f>
        <v>0.75</v>
      </c>
      <c r="Q83" s="428">
        <v>6</v>
      </c>
      <c r="R83" s="200">
        <f>Q83/R$69</f>
        <v>0.75</v>
      </c>
      <c r="S83" s="428">
        <f>6+0</f>
        <v>6</v>
      </c>
      <c r="T83" s="200">
        <f>S83/T$69</f>
        <v>0.6</v>
      </c>
      <c r="U83" s="428">
        <v>5</v>
      </c>
      <c r="V83" s="200">
        <f>U83/V$69</f>
        <v>0.55555555555555558</v>
      </c>
      <c r="W83" s="428">
        <v>6</v>
      </c>
      <c r="X83" s="200">
        <f>W83/X$69</f>
        <v>0.75</v>
      </c>
      <c r="Y83" s="428">
        <v>6</v>
      </c>
      <c r="Z83" s="1410">
        <f>Y83/Z$69</f>
        <v>0.75</v>
      </c>
      <c r="AA83" s="657"/>
      <c r="AB83" s="803">
        <f t="shared" ref="AB83:AB85" si="31">AVERAGE(U83,S83,Q83,Y83,W83)</f>
        <v>5.8</v>
      </c>
      <c r="AC83" s="685">
        <f t="shared" ref="AC83:AC85" si="32">AVERAGE(V83,T83,R83,Z83,X83)</f>
        <v>0.68111111111111111</v>
      </c>
    </row>
    <row r="84" spans="2:30" ht="12" x14ac:dyDescent="0.2">
      <c r="B84" s="115" t="s">
        <v>91</v>
      </c>
      <c r="C84" s="209">
        <v>1</v>
      </c>
      <c r="D84" s="200">
        <f t="shared" si="27"/>
        <v>0.125</v>
      </c>
      <c r="E84" s="165">
        <v>1</v>
      </c>
      <c r="F84" s="286">
        <f>E84/$F$69</f>
        <v>0.125</v>
      </c>
      <c r="G84" s="370">
        <v>1</v>
      </c>
      <c r="H84" s="372">
        <f>G84/$H$69</f>
        <v>0.1111111111111111</v>
      </c>
      <c r="I84" s="370">
        <v>2</v>
      </c>
      <c r="J84" s="485">
        <f>I84/$J$69</f>
        <v>0.2</v>
      </c>
      <c r="K84" s="370">
        <v>1</v>
      </c>
      <c r="L84" s="485">
        <f>K84/$L$69</f>
        <v>0.1</v>
      </c>
      <c r="M84" s="370">
        <v>1</v>
      </c>
      <c r="N84" s="200">
        <f>M84/N$69</f>
        <v>9.0909090909090912E-2</v>
      </c>
      <c r="O84" s="428">
        <v>1</v>
      </c>
      <c r="P84" s="200">
        <f>O84/P$69</f>
        <v>0.125</v>
      </c>
      <c r="Q84" s="428">
        <v>0</v>
      </c>
      <c r="R84" s="200">
        <f>Q84/R$69</f>
        <v>0</v>
      </c>
      <c r="S84" s="428">
        <f>2+0</f>
        <v>2</v>
      </c>
      <c r="T84" s="200">
        <f>S84/T$69</f>
        <v>0.2</v>
      </c>
      <c r="U84" s="428">
        <v>2</v>
      </c>
      <c r="V84" s="200">
        <f>U84/V$69</f>
        <v>0.22222222222222221</v>
      </c>
      <c r="W84" s="428">
        <v>1</v>
      </c>
      <c r="X84" s="200">
        <f>W84/X$69</f>
        <v>0.125</v>
      </c>
      <c r="Y84" s="428">
        <v>1</v>
      </c>
      <c r="Z84" s="1410">
        <f>Y84/Z$69</f>
        <v>0.125</v>
      </c>
      <c r="AA84" s="657"/>
      <c r="AB84" s="803">
        <f t="shared" si="31"/>
        <v>1.2</v>
      </c>
      <c r="AC84" s="685">
        <f t="shared" si="32"/>
        <v>0.13444444444444445</v>
      </c>
    </row>
    <row r="85" spans="2:30" ht="12" x14ac:dyDescent="0.2">
      <c r="B85" s="115" t="s">
        <v>92</v>
      </c>
      <c r="C85" s="209">
        <v>1</v>
      </c>
      <c r="D85" s="200">
        <f t="shared" si="27"/>
        <v>0.125</v>
      </c>
      <c r="E85" s="165">
        <f>0+1</f>
        <v>1</v>
      </c>
      <c r="F85" s="286">
        <f>E85/$F$69</f>
        <v>0.125</v>
      </c>
      <c r="G85" s="370">
        <v>1</v>
      </c>
      <c r="H85" s="372">
        <f>G85/$H$69</f>
        <v>0.1111111111111111</v>
      </c>
      <c r="I85" s="370">
        <v>1</v>
      </c>
      <c r="J85" s="485">
        <f>I85/$J$69</f>
        <v>0.1</v>
      </c>
      <c r="K85" s="370">
        <v>2</v>
      </c>
      <c r="L85" s="485">
        <f>K85/$L$69</f>
        <v>0.2</v>
      </c>
      <c r="M85" s="370">
        <f>1+1</f>
        <v>2</v>
      </c>
      <c r="N85" s="200">
        <f>M85/N$69</f>
        <v>0.18181818181818182</v>
      </c>
      <c r="O85" s="428">
        <v>1</v>
      </c>
      <c r="P85" s="200">
        <f>O85/P$69</f>
        <v>0.125</v>
      </c>
      <c r="Q85" s="428">
        <v>2</v>
      </c>
      <c r="R85" s="200">
        <f>Q85/R$69</f>
        <v>0.25</v>
      </c>
      <c r="S85" s="428">
        <f>1+1</f>
        <v>2</v>
      </c>
      <c r="T85" s="200">
        <f>S85/T$69</f>
        <v>0.2</v>
      </c>
      <c r="U85" s="428">
        <v>2</v>
      </c>
      <c r="V85" s="200">
        <f>U85/V$69</f>
        <v>0.22222222222222221</v>
      </c>
      <c r="W85" s="428">
        <v>1</v>
      </c>
      <c r="X85" s="200">
        <f>W85/X$69</f>
        <v>0.125</v>
      </c>
      <c r="Y85" s="428">
        <v>1</v>
      </c>
      <c r="Z85" s="1410">
        <f>Y85/Z$69</f>
        <v>0.125</v>
      </c>
      <c r="AA85" s="657"/>
      <c r="AB85" s="803">
        <f t="shared" si="31"/>
        <v>1.6</v>
      </c>
      <c r="AC85" s="685">
        <f t="shared" si="32"/>
        <v>0.18444444444444447</v>
      </c>
    </row>
    <row r="86" spans="2:30" ht="12" x14ac:dyDescent="0.2">
      <c r="B86" s="122" t="s">
        <v>103</v>
      </c>
      <c r="C86" s="203"/>
      <c r="D86" s="200"/>
      <c r="E86" s="166"/>
      <c r="F86" s="286"/>
      <c r="G86" s="291"/>
      <c r="H86" s="372"/>
      <c r="I86" s="291"/>
      <c r="J86" s="485"/>
      <c r="K86" s="291"/>
      <c r="L86" s="485"/>
      <c r="M86" s="291"/>
      <c r="N86" s="200"/>
      <c r="O86" s="429"/>
      <c r="P86" s="200"/>
      <c r="Q86" s="429"/>
      <c r="R86" s="200"/>
      <c r="S86" s="429"/>
      <c r="T86" s="200"/>
      <c r="U86" s="429"/>
      <c r="V86" s="200"/>
      <c r="W86" s="429"/>
      <c r="X86" s="200"/>
      <c r="Y86" s="429"/>
      <c r="Z86" s="1410"/>
      <c r="AA86" s="657"/>
      <c r="AB86" s="803"/>
      <c r="AC86" s="685"/>
    </row>
    <row r="87" spans="2:30" ht="12" x14ac:dyDescent="0.2">
      <c r="B87" s="115" t="s">
        <v>93</v>
      </c>
      <c r="C87" s="209">
        <v>3</v>
      </c>
      <c r="D87" s="200">
        <f t="shared" si="27"/>
        <v>0.375</v>
      </c>
      <c r="E87" s="165">
        <v>3</v>
      </c>
      <c r="F87" s="286">
        <f>E87/$F$69</f>
        <v>0.375</v>
      </c>
      <c r="G87" s="370">
        <v>4</v>
      </c>
      <c r="H87" s="372">
        <f>G87/$H$69</f>
        <v>0.44444444444444442</v>
      </c>
      <c r="I87" s="370">
        <v>5</v>
      </c>
      <c r="J87" s="485">
        <f>I87/$J$69</f>
        <v>0.5</v>
      </c>
      <c r="K87" s="370">
        <v>4</v>
      </c>
      <c r="L87" s="485">
        <f>K87/$L$69</f>
        <v>0.4</v>
      </c>
      <c r="M87" s="370">
        <f>3+1+1</f>
        <v>5</v>
      </c>
      <c r="N87" s="200">
        <f>M87/N$69</f>
        <v>0.45454545454545453</v>
      </c>
      <c r="O87" s="428">
        <v>4</v>
      </c>
      <c r="P87" s="200">
        <f>O87/P$69</f>
        <v>0.5</v>
      </c>
      <c r="Q87" s="428">
        <v>4</v>
      </c>
      <c r="R87" s="200">
        <f>Q87/R$69</f>
        <v>0.5</v>
      </c>
      <c r="S87" s="428">
        <f>5+1</f>
        <v>6</v>
      </c>
      <c r="T87" s="200">
        <f>S87/T$69</f>
        <v>0.6</v>
      </c>
      <c r="U87" s="428">
        <v>6</v>
      </c>
      <c r="V87" s="200">
        <f>U87/V$69</f>
        <v>0.66666666666666663</v>
      </c>
      <c r="W87" s="428">
        <v>5</v>
      </c>
      <c r="X87" s="200">
        <f>W87/X$69</f>
        <v>0.625</v>
      </c>
      <c r="Y87" s="428">
        <v>5</v>
      </c>
      <c r="Z87" s="1410">
        <f>Y87/Z$69</f>
        <v>0.625</v>
      </c>
      <c r="AA87" s="657"/>
      <c r="AB87" s="803">
        <f t="shared" ref="AB87:AB90" si="33">AVERAGE(U87,S87,Q87,Y87,W87)</f>
        <v>5.2</v>
      </c>
      <c r="AC87" s="685">
        <f t="shared" ref="AC87:AC90" si="34">AVERAGE(V87,T87,R87,Z87,X87)</f>
        <v>0.60333333333333328</v>
      </c>
    </row>
    <row r="88" spans="2:30" ht="12" x14ac:dyDescent="0.2">
      <c r="B88" s="115" t="s">
        <v>94</v>
      </c>
      <c r="C88" s="209">
        <v>4</v>
      </c>
      <c r="D88" s="200">
        <f t="shared" si="27"/>
        <v>0.5</v>
      </c>
      <c r="E88" s="165">
        <v>4</v>
      </c>
      <c r="F88" s="286">
        <f>E88/$F$69</f>
        <v>0.5</v>
      </c>
      <c r="G88" s="370">
        <v>4</v>
      </c>
      <c r="H88" s="372">
        <f>G88/$H$69</f>
        <v>0.44444444444444442</v>
      </c>
      <c r="I88" s="370">
        <v>4</v>
      </c>
      <c r="J88" s="485">
        <f>I88/$J$69</f>
        <v>0.4</v>
      </c>
      <c r="K88" s="370">
        <v>5</v>
      </c>
      <c r="L88" s="485">
        <f>K88/$L$69</f>
        <v>0.5</v>
      </c>
      <c r="M88" s="370">
        <f>2+3</f>
        <v>5</v>
      </c>
      <c r="N88" s="200">
        <f>M88/N$69</f>
        <v>0.45454545454545453</v>
      </c>
      <c r="O88" s="428">
        <v>4</v>
      </c>
      <c r="P88" s="200">
        <f>O88/P$69</f>
        <v>0.5</v>
      </c>
      <c r="Q88" s="428">
        <v>4</v>
      </c>
      <c r="R88" s="200">
        <f>Q88/R$69</f>
        <v>0.5</v>
      </c>
      <c r="S88" s="428">
        <f>4</f>
        <v>4</v>
      </c>
      <c r="T88" s="200">
        <f>S88/T$69</f>
        <v>0.4</v>
      </c>
      <c r="U88" s="428">
        <v>3</v>
      </c>
      <c r="V88" s="200">
        <f>U88/V$69</f>
        <v>0.33333333333333331</v>
      </c>
      <c r="W88" s="428">
        <v>3</v>
      </c>
      <c r="X88" s="200">
        <f>W88/X$69</f>
        <v>0.375</v>
      </c>
      <c r="Y88" s="428">
        <v>3</v>
      </c>
      <c r="Z88" s="1410">
        <f>Y88/Z$69</f>
        <v>0.375</v>
      </c>
      <c r="AA88" s="657"/>
      <c r="AB88" s="803">
        <f t="shared" si="33"/>
        <v>3.4</v>
      </c>
      <c r="AC88" s="685">
        <f t="shared" si="34"/>
        <v>0.39666666666666667</v>
      </c>
    </row>
    <row r="89" spans="2:30" ht="12" x14ac:dyDescent="0.2">
      <c r="B89" s="115" t="s">
        <v>95</v>
      </c>
      <c r="C89" s="209">
        <v>1</v>
      </c>
      <c r="D89" s="200">
        <f t="shared" si="27"/>
        <v>0.125</v>
      </c>
      <c r="E89" s="165">
        <f>0+1</f>
        <v>1</v>
      </c>
      <c r="F89" s="286">
        <f>E89/$F$69</f>
        <v>0.125</v>
      </c>
      <c r="G89" s="370">
        <v>1</v>
      </c>
      <c r="H89" s="372">
        <f>G89/$H$69</f>
        <v>0.1111111111111111</v>
      </c>
      <c r="I89" s="370">
        <v>1</v>
      </c>
      <c r="J89" s="485">
        <f>I89/$J$69</f>
        <v>0.1</v>
      </c>
      <c r="K89" s="370">
        <v>1</v>
      </c>
      <c r="L89" s="485">
        <f>K89/$L$69</f>
        <v>0.1</v>
      </c>
      <c r="M89" s="370">
        <v>1</v>
      </c>
      <c r="N89" s="200">
        <f>M89/N$69</f>
        <v>9.0909090909090912E-2</v>
      </c>
      <c r="O89" s="428">
        <v>0</v>
      </c>
      <c r="P89" s="200">
        <f>O89/P$69</f>
        <v>0</v>
      </c>
      <c r="Q89" s="428">
        <v>0</v>
      </c>
      <c r="R89" s="200">
        <f>Q89/R$69</f>
        <v>0</v>
      </c>
      <c r="S89" s="428">
        <v>0</v>
      </c>
      <c r="T89" s="200">
        <f>S89/T$69</f>
        <v>0</v>
      </c>
      <c r="U89" s="428">
        <v>0</v>
      </c>
      <c r="V89" s="200">
        <f>U89/V$69</f>
        <v>0</v>
      </c>
      <c r="W89" s="428">
        <v>0</v>
      </c>
      <c r="X89" s="200">
        <f>W89/X$69</f>
        <v>0</v>
      </c>
      <c r="Y89" s="428">
        <v>0</v>
      </c>
      <c r="Z89" s="1410">
        <f>Y89/Z$69</f>
        <v>0</v>
      </c>
      <c r="AA89" s="657"/>
      <c r="AB89" s="803">
        <f t="shared" si="33"/>
        <v>0</v>
      </c>
      <c r="AC89" s="685">
        <f t="shared" si="34"/>
        <v>0</v>
      </c>
    </row>
    <row r="90" spans="2:30" thickBot="1" x14ac:dyDescent="0.25">
      <c r="B90" s="123" t="s">
        <v>96</v>
      </c>
      <c r="C90" s="204">
        <v>0</v>
      </c>
      <c r="D90" s="205">
        <f t="shared" si="27"/>
        <v>0</v>
      </c>
      <c r="E90" s="167">
        <v>0</v>
      </c>
      <c r="F90" s="287">
        <f>E90/$F$69</f>
        <v>0</v>
      </c>
      <c r="G90" s="371">
        <v>0</v>
      </c>
      <c r="H90" s="453">
        <f>G90/$H$69</f>
        <v>0</v>
      </c>
      <c r="I90" s="371">
        <v>0</v>
      </c>
      <c r="J90" s="486">
        <f>I90/$J$69</f>
        <v>0</v>
      </c>
      <c r="K90" s="371">
        <v>0</v>
      </c>
      <c r="L90" s="486">
        <f>K90/$L$69</f>
        <v>0</v>
      </c>
      <c r="M90" s="371">
        <v>0</v>
      </c>
      <c r="N90" s="453">
        <f>M90/N$69</f>
        <v>0</v>
      </c>
      <c r="O90" s="430">
        <v>0</v>
      </c>
      <c r="P90" s="453">
        <f>O90/P$69</f>
        <v>0</v>
      </c>
      <c r="Q90" s="430">
        <v>0</v>
      </c>
      <c r="R90" s="453">
        <f>Q90/R$69</f>
        <v>0</v>
      </c>
      <c r="S90" s="430">
        <f>0</f>
        <v>0</v>
      </c>
      <c r="T90" s="453">
        <f>S90/T$69</f>
        <v>0</v>
      </c>
      <c r="U90" s="430">
        <v>0</v>
      </c>
      <c r="V90" s="453">
        <f>U90/V$69</f>
        <v>0</v>
      </c>
      <c r="W90" s="430">
        <v>0</v>
      </c>
      <c r="X90" s="453">
        <f>W90/X$69</f>
        <v>0</v>
      </c>
      <c r="Y90" s="430">
        <v>0</v>
      </c>
      <c r="Z90" s="1398">
        <f>Y90/Z$69</f>
        <v>0</v>
      </c>
      <c r="AA90" s="657"/>
      <c r="AB90" s="689">
        <f t="shared" si="33"/>
        <v>0</v>
      </c>
      <c r="AC90" s="685">
        <f t="shared" si="34"/>
        <v>0</v>
      </c>
    </row>
    <row r="91" spans="2:30" thickTop="1" x14ac:dyDescent="0.2">
      <c r="B91" s="669" t="s">
        <v>131</v>
      </c>
      <c r="C91" s="52"/>
      <c r="D91" s="671"/>
      <c r="E91" s="672"/>
      <c r="F91" s="670"/>
      <c r="G91" s="672"/>
      <c r="H91" s="670"/>
      <c r="I91" s="1320"/>
      <c r="J91" s="670"/>
      <c r="K91" s="672"/>
      <c r="L91" s="670"/>
      <c r="M91" s="705"/>
      <c r="N91" s="1025"/>
      <c r="O91" s="705"/>
      <c r="P91" s="1025"/>
      <c r="Q91" s="705"/>
      <c r="R91" s="1333"/>
      <c r="S91" s="705"/>
      <c r="T91" s="1333"/>
      <c r="U91" s="705"/>
      <c r="V91" s="1333"/>
      <c r="W91" s="705"/>
      <c r="X91" s="1333"/>
      <c r="Y91" s="705"/>
      <c r="Z91" s="1251"/>
      <c r="AA91" s="652"/>
      <c r="AC91" s="1035"/>
    </row>
    <row r="92" spans="2:30" ht="12" x14ac:dyDescent="0.2">
      <c r="B92" s="676"/>
      <c r="C92" s="101" t="s">
        <v>97</v>
      </c>
      <c r="D92" s="677" t="s">
        <v>17</v>
      </c>
      <c r="E92" s="101" t="s">
        <v>97</v>
      </c>
      <c r="F92" s="677" t="s">
        <v>17</v>
      </c>
      <c r="G92" s="101" t="s">
        <v>97</v>
      </c>
      <c r="H92" s="677" t="s">
        <v>17</v>
      </c>
      <c r="I92" s="1316" t="s">
        <v>97</v>
      </c>
      <c r="J92" s="677" t="s">
        <v>17</v>
      </c>
      <c r="K92" s="101" t="s">
        <v>97</v>
      </c>
      <c r="L92" s="677" t="s">
        <v>17</v>
      </c>
      <c r="M92" s="101" t="s">
        <v>97</v>
      </c>
      <c r="N92" s="677" t="s">
        <v>17</v>
      </c>
      <c r="O92" s="101" t="s">
        <v>97</v>
      </c>
      <c r="P92" s="677" t="s">
        <v>17</v>
      </c>
      <c r="Q92" s="253" t="s">
        <v>97</v>
      </c>
      <c r="R92" s="677" t="s">
        <v>17</v>
      </c>
      <c r="S92" s="253" t="s">
        <v>97</v>
      </c>
      <c r="T92" s="677" t="s">
        <v>17</v>
      </c>
      <c r="U92" s="253" t="s">
        <v>97</v>
      </c>
      <c r="V92" s="677" t="s">
        <v>17</v>
      </c>
      <c r="W92" s="253" t="s">
        <v>97</v>
      </c>
      <c r="X92" s="677" t="s">
        <v>17</v>
      </c>
      <c r="Y92" s="253" t="s">
        <v>97</v>
      </c>
      <c r="Z92" s="678" t="s">
        <v>17</v>
      </c>
      <c r="AA92" s="652"/>
      <c r="AB92" s="101" t="s">
        <v>97</v>
      </c>
      <c r="AC92" s="678" t="s">
        <v>17</v>
      </c>
    </row>
    <row r="93" spans="2:30" ht="12" x14ac:dyDescent="0.2">
      <c r="B93" s="680" t="s">
        <v>132</v>
      </c>
      <c r="C93" s="101">
        <v>7</v>
      </c>
      <c r="D93" s="899">
        <v>2.7</v>
      </c>
      <c r="E93" s="253">
        <v>2</v>
      </c>
      <c r="F93" s="706">
        <v>1</v>
      </c>
      <c r="G93" s="253">
        <v>5</v>
      </c>
      <c r="H93" s="706">
        <v>2.4</v>
      </c>
      <c r="I93" s="1147">
        <v>5</v>
      </c>
      <c r="J93" s="706">
        <v>2.5</v>
      </c>
      <c r="K93" s="101">
        <v>5</v>
      </c>
      <c r="L93" s="706">
        <v>2.4</v>
      </c>
      <c r="M93" s="840">
        <v>2</v>
      </c>
      <c r="N93" s="1030">
        <v>1</v>
      </c>
      <c r="O93" s="840">
        <v>0</v>
      </c>
      <c r="P93" s="1030">
        <v>0</v>
      </c>
      <c r="Q93" s="840">
        <v>2</v>
      </c>
      <c r="R93" s="1299">
        <v>1</v>
      </c>
      <c r="S93" s="840">
        <v>1</v>
      </c>
      <c r="T93" s="1299">
        <v>0.5</v>
      </c>
      <c r="U93" s="840">
        <v>0</v>
      </c>
      <c r="V93" s="1299">
        <v>0</v>
      </c>
      <c r="W93" s="840">
        <v>0</v>
      </c>
      <c r="X93" s="1299">
        <v>0</v>
      </c>
      <c r="Y93" s="840">
        <v>0</v>
      </c>
      <c r="Z93" s="1407">
        <v>0</v>
      </c>
      <c r="AA93" s="900"/>
      <c r="AB93" s="877">
        <f t="shared" ref="AB93:AB95" si="35">AVERAGE(U93,S93,Q93,Y93,W93)</f>
        <v>0.6</v>
      </c>
      <c r="AC93" s="896">
        <f t="shared" ref="AC93:AC95" si="36">AVERAGE(V93,T93,R93,Z93,X93)</f>
        <v>0.3</v>
      </c>
    </row>
    <row r="94" spans="2:30" ht="12" x14ac:dyDescent="0.2">
      <c r="B94" s="680" t="s">
        <v>133</v>
      </c>
      <c r="C94" s="101">
        <v>0</v>
      </c>
      <c r="D94" s="899">
        <v>0</v>
      </c>
      <c r="E94" s="253">
        <v>0</v>
      </c>
      <c r="F94" s="706">
        <v>0</v>
      </c>
      <c r="G94" s="253">
        <v>0</v>
      </c>
      <c r="H94" s="706">
        <v>0</v>
      </c>
      <c r="I94" s="1147">
        <v>1</v>
      </c>
      <c r="J94" s="706">
        <v>0.5</v>
      </c>
      <c r="K94" s="101">
        <v>0</v>
      </c>
      <c r="L94" s="706">
        <v>0</v>
      </c>
      <c r="M94" s="840">
        <v>0</v>
      </c>
      <c r="N94" s="1030">
        <v>0</v>
      </c>
      <c r="O94" s="840">
        <v>0</v>
      </c>
      <c r="P94" s="1030">
        <v>0</v>
      </c>
      <c r="Q94" s="840">
        <v>1</v>
      </c>
      <c r="R94" s="1299">
        <v>0.5</v>
      </c>
      <c r="S94" s="840">
        <v>0</v>
      </c>
      <c r="T94" s="1299">
        <v>0</v>
      </c>
      <c r="U94" s="840">
        <v>0</v>
      </c>
      <c r="V94" s="1299">
        <v>0</v>
      </c>
      <c r="W94" s="840">
        <v>4</v>
      </c>
      <c r="X94" s="1299">
        <v>2</v>
      </c>
      <c r="Y94" s="840">
        <v>6</v>
      </c>
      <c r="Z94" s="1407">
        <v>3</v>
      </c>
      <c r="AA94" s="900"/>
      <c r="AB94" s="877">
        <f t="shared" si="35"/>
        <v>2.2000000000000002</v>
      </c>
      <c r="AC94" s="896">
        <f t="shared" si="36"/>
        <v>1.1000000000000001</v>
      </c>
    </row>
    <row r="95" spans="2:30" thickBot="1" x14ac:dyDescent="0.25">
      <c r="B95" s="682" t="s">
        <v>158</v>
      </c>
      <c r="C95" s="683">
        <v>0</v>
      </c>
      <c r="D95" s="902">
        <v>0</v>
      </c>
      <c r="E95" s="878">
        <v>0</v>
      </c>
      <c r="F95" s="707">
        <v>0</v>
      </c>
      <c r="G95" s="878">
        <v>0</v>
      </c>
      <c r="H95" s="707">
        <v>0</v>
      </c>
      <c r="I95" s="1148">
        <v>0</v>
      </c>
      <c r="J95" s="707">
        <v>0</v>
      </c>
      <c r="K95" s="683">
        <v>0</v>
      </c>
      <c r="L95" s="707">
        <v>0</v>
      </c>
      <c r="M95" s="843">
        <v>0</v>
      </c>
      <c r="N95" s="1026">
        <v>0</v>
      </c>
      <c r="O95" s="843">
        <v>0</v>
      </c>
      <c r="P95" s="1026">
        <v>0</v>
      </c>
      <c r="Q95" s="843">
        <v>0</v>
      </c>
      <c r="R95" s="1337">
        <v>0</v>
      </c>
      <c r="S95" s="843">
        <v>0</v>
      </c>
      <c r="T95" s="1337">
        <v>0</v>
      </c>
      <c r="U95" s="843">
        <v>0</v>
      </c>
      <c r="V95" s="1337">
        <v>0</v>
      </c>
      <c r="W95" s="843">
        <v>1</v>
      </c>
      <c r="X95" s="1337">
        <v>0.4</v>
      </c>
      <c r="Y95" s="843">
        <v>2</v>
      </c>
      <c r="Z95" s="1408">
        <v>1</v>
      </c>
      <c r="AA95" s="900"/>
      <c r="AB95" s="877">
        <f t="shared" si="35"/>
        <v>0.6</v>
      </c>
      <c r="AC95" s="896">
        <f t="shared" si="36"/>
        <v>0.27999999999999997</v>
      </c>
    </row>
    <row r="96" spans="2:30" ht="14.25" thickTop="1" thickBot="1" x14ac:dyDescent="0.25">
      <c r="B96" s="709"/>
      <c r="C96" s="1477" t="s">
        <v>35</v>
      </c>
      <c r="D96" s="1482"/>
      <c r="E96" s="1477" t="s">
        <v>36</v>
      </c>
      <c r="F96" s="1482"/>
      <c r="G96" s="1479" t="s">
        <v>122</v>
      </c>
      <c r="H96" s="1487"/>
      <c r="I96" s="1479" t="s">
        <v>123</v>
      </c>
      <c r="J96" s="1487"/>
      <c r="K96" s="1479" t="s">
        <v>148</v>
      </c>
      <c r="L96" s="1487"/>
      <c r="M96" s="1488" t="s">
        <v>149</v>
      </c>
      <c r="N96" s="1484"/>
      <c r="O96" s="1483" t="s">
        <v>175</v>
      </c>
      <c r="P96" s="1484"/>
      <c r="Q96" s="1483" t="s">
        <v>194</v>
      </c>
      <c r="R96" s="1484"/>
      <c r="S96" s="1483" t="s">
        <v>219</v>
      </c>
      <c r="T96" s="1484"/>
      <c r="U96" s="1483" t="s">
        <v>222</v>
      </c>
      <c r="V96" s="1484"/>
      <c r="W96" s="1483" t="s">
        <v>233</v>
      </c>
      <c r="X96" s="1484"/>
      <c r="Y96" s="1483" t="s">
        <v>242</v>
      </c>
      <c r="Z96" s="1489"/>
      <c r="AA96" s="24"/>
      <c r="AB96" s="1485"/>
      <c r="AC96" s="1486"/>
      <c r="AD96" s="24"/>
    </row>
    <row r="97" spans="1:29" x14ac:dyDescent="0.2">
      <c r="B97" s="710" t="s">
        <v>157</v>
      </c>
      <c r="C97" s="1"/>
      <c r="D97" s="711"/>
      <c r="E97" s="712"/>
      <c r="F97" s="713"/>
      <c r="G97" s="714"/>
      <c r="H97" s="715"/>
      <c r="I97" s="1317"/>
      <c r="J97" s="717"/>
      <c r="K97" s="655"/>
      <c r="L97" s="718"/>
      <c r="M97" s="655"/>
      <c r="N97" s="722"/>
      <c r="O97" s="222"/>
      <c r="P97" s="1187"/>
      <c r="Q97" s="655"/>
      <c r="R97" s="722"/>
      <c r="S97" s="655"/>
      <c r="T97" s="722"/>
      <c r="U97" s="222"/>
      <c r="V97" s="1187"/>
      <c r="W97" s="655"/>
      <c r="X97" s="722"/>
      <c r="Y97" s="655"/>
      <c r="Z97" s="1184"/>
      <c r="AA97" s="663"/>
      <c r="AB97" s="24"/>
      <c r="AC97" s="24"/>
    </row>
    <row r="98" spans="1:29" ht="12" x14ac:dyDescent="0.2">
      <c r="A98" s="652"/>
      <c r="B98" s="719" t="s">
        <v>138</v>
      </c>
      <c r="C98" s="1461">
        <v>0.96</v>
      </c>
      <c r="D98" s="1462"/>
      <c r="E98" s="720"/>
      <c r="F98" s="721"/>
      <c r="G98" s="655"/>
      <c r="H98" s="722"/>
      <c r="I98" s="1461">
        <v>1.36</v>
      </c>
      <c r="J98" s="1462"/>
      <c r="K98" s="723"/>
      <c r="L98" s="724"/>
      <c r="M98" s="723"/>
      <c r="N98" s="722"/>
      <c r="O98" s="235"/>
      <c r="P98" s="1233">
        <v>3.3</v>
      </c>
      <c r="Q98" s="723"/>
      <c r="R98" s="722"/>
      <c r="S98" s="723"/>
      <c r="T98" s="722"/>
      <c r="U98" s="235"/>
      <c r="V98" s="1233">
        <v>3.29</v>
      </c>
      <c r="W98" s="723"/>
      <c r="X98" s="722"/>
      <c r="Y98" s="723"/>
      <c r="Z98" s="1184"/>
      <c r="AA98" s="24"/>
      <c r="AB98" s="24"/>
      <c r="AC98" s="1215"/>
    </row>
    <row r="99" spans="1:29" ht="12" x14ac:dyDescent="0.2">
      <c r="A99" s="652"/>
      <c r="B99" s="725" t="s">
        <v>139</v>
      </c>
      <c r="C99" s="1461">
        <v>0</v>
      </c>
      <c r="D99" s="1462"/>
      <c r="E99" s="720"/>
      <c r="F99" s="721"/>
      <c r="G99" s="655"/>
      <c r="H99" s="722"/>
      <c r="I99" s="1461">
        <v>0</v>
      </c>
      <c r="J99" s="1462"/>
      <c r="K99" s="723"/>
      <c r="L99" s="724"/>
      <c r="M99" s="723"/>
      <c r="N99" s="722"/>
      <c r="O99" s="235"/>
      <c r="P99" s="1233"/>
      <c r="Q99" s="723"/>
      <c r="R99" s="722"/>
      <c r="S99" s="723"/>
      <c r="T99" s="722"/>
      <c r="U99" s="235"/>
      <c r="V99" s="1233"/>
      <c r="W99" s="723"/>
      <c r="X99" s="722"/>
      <c r="Y99" s="723"/>
      <c r="Z99" s="1184"/>
      <c r="AA99" s="24"/>
      <c r="AB99" s="24"/>
      <c r="AC99" s="1215"/>
    </row>
    <row r="100" spans="1:29" ht="12" x14ac:dyDescent="0.2">
      <c r="A100" s="652"/>
      <c r="B100" s="725" t="s">
        <v>140</v>
      </c>
      <c r="C100" s="1461"/>
      <c r="D100" s="1462"/>
      <c r="E100" s="720"/>
      <c r="F100" s="721"/>
      <c r="G100" s="655"/>
      <c r="H100" s="722"/>
      <c r="I100" s="1461"/>
      <c r="J100" s="1462"/>
      <c r="K100" s="723"/>
      <c r="L100" s="724"/>
      <c r="M100" s="723"/>
      <c r="N100" s="722"/>
      <c r="O100" s="235"/>
      <c r="P100" s="1233">
        <v>0</v>
      </c>
      <c r="Q100" s="723"/>
      <c r="R100" s="722"/>
      <c r="S100" s="723"/>
      <c r="T100" s="722"/>
      <c r="U100" s="235"/>
      <c r="V100" s="1233">
        <v>0</v>
      </c>
      <c r="W100" s="723"/>
      <c r="X100" s="722"/>
      <c r="Y100" s="723"/>
      <c r="Z100" s="1184"/>
      <c r="AA100" s="24"/>
      <c r="AB100" s="24"/>
      <c r="AC100" s="1215"/>
    </row>
    <row r="101" spans="1:29" ht="12" x14ac:dyDescent="0.2">
      <c r="A101" s="652"/>
      <c r="B101" s="719" t="s">
        <v>141</v>
      </c>
      <c r="C101" s="1461">
        <v>0</v>
      </c>
      <c r="D101" s="1462"/>
      <c r="E101" s="720"/>
      <c r="F101" s="721"/>
      <c r="G101" s="655"/>
      <c r="H101" s="722"/>
      <c r="I101" s="1461">
        <v>0.5</v>
      </c>
      <c r="J101" s="1462"/>
      <c r="K101" s="723"/>
      <c r="L101" s="724"/>
      <c r="M101" s="723"/>
      <c r="N101" s="722"/>
      <c r="O101" s="235"/>
      <c r="P101" s="1233">
        <v>0</v>
      </c>
      <c r="Q101" s="723"/>
      <c r="R101" s="722"/>
      <c r="S101" s="723"/>
      <c r="T101" s="722"/>
      <c r="U101" s="235"/>
      <c r="V101" s="1233">
        <v>0</v>
      </c>
      <c r="W101" s="723"/>
      <c r="X101" s="722"/>
      <c r="Y101" s="723"/>
      <c r="Z101" s="1184"/>
      <c r="AA101" s="24"/>
      <c r="AB101" s="24"/>
      <c r="AC101" s="1215"/>
    </row>
    <row r="102" spans="1:29" ht="12" x14ac:dyDescent="0.2">
      <c r="A102" s="652"/>
      <c r="B102" s="726" t="s">
        <v>142</v>
      </c>
      <c r="C102" s="1461">
        <v>0.25</v>
      </c>
      <c r="D102" s="1462"/>
      <c r="E102" s="720"/>
      <c r="F102" s="721"/>
      <c r="G102" s="655"/>
      <c r="H102" s="722"/>
      <c r="I102" s="1461">
        <v>0.5</v>
      </c>
      <c r="J102" s="1462"/>
      <c r="K102" s="723"/>
      <c r="L102" s="724"/>
      <c r="M102" s="723"/>
      <c r="N102" s="722"/>
      <c r="O102" s="235"/>
      <c r="P102" s="1233">
        <v>0.9</v>
      </c>
      <c r="Q102" s="723"/>
      <c r="R102" s="722"/>
      <c r="S102" s="723"/>
      <c r="T102" s="722"/>
      <c r="U102" s="235"/>
      <c r="V102" s="1233">
        <v>0.65</v>
      </c>
      <c r="W102" s="723"/>
      <c r="X102" s="722"/>
      <c r="Y102" s="723"/>
      <c r="Z102" s="1184"/>
      <c r="AA102" s="24"/>
      <c r="AB102" s="24"/>
      <c r="AC102" s="1215"/>
    </row>
    <row r="103" spans="1:29" ht="12" x14ac:dyDescent="0.2">
      <c r="A103" s="652"/>
      <c r="B103" s="726" t="s">
        <v>143</v>
      </c>
      <c r="C103" s="1461">
        <f>SUM(C98:D102)</f>
        <v>1.21</v>
      </c>
      <c r="D103" s="1462"/>
      <c r="E103" s="720"/>
      <c r="F103" s="721"/>
      <c r="G103" s="655"/>
      <c r="H103" s="722"/>
      <c r="I103" s="1461">
        <f>SUM(I98:J102)</f>
        <v>2.3600000000000003</v>
      </c>
      <c r="J103" s="1462"/>
      <c r="K103" s="723"/>
      <c r="L103" s="724"/>
      <c r="M103" s="723"/>
      <c r="N103" s="722"/>
      <c r="O103" s="235"/>
      <c r="P103" s="1233">
        <f>SUM(P98:P102)</f>
        <v>4.2</v>
      </c>
      <c r="Q103" s="723"/>
      <c r="R103" s="722"/>
      <c r="S103" s="723"/>
      <c r="T103" s="722"/>
      <c r="U103" s="235"/>
      <c r="V103" s="1233">
        <f>SUM(V98:V102)</f>
        <v>3.94</v>
      </c>
      <c r="W103" s="723"/>
      <c r="X103" s="722"/>
      <c r="Y103" s="723"/>
      <c r="Z103" s="1184"/>
      <c r="AA103" s="24"/>
      <c r="AB103" s="24"/>
      <c r="AC103" s="1215"/>
    </row>
    <row r="104" spans="1:29" thickBot="1" x14ac:dyDescent="0.25">
      <c r="A104" s="652"/>
      <c r="B104" s="727" t="s">
        <v>151</v>
      </c>
      <c r="C104" s="1526"/>
      <c r="D104" s="1527"/>
      <c r="E104" s="720"/>
      <c r="F104" s="721"/>
      <c r="G104" s="655"/>
      <c r="H104" s="722"/>
      <c r="I104" s="1526"/>
      <c r="J104" s="1527"/>
      <c r="K104" s="723"/>
      <c r="L104" s="724"/>
      <c r="M104" s="723"/>
      <c r="N104" s="722"/>
      <c r="O104" s="235"/>
      <c r="P104" s="1187"/>
      <c r="Q104" s="723"/>
      <c r="R104" s="722"/>
      <c r="S104" s="723"/>
      <c r="T104" s="722"/>
      <c r="U104" s="235"/>
      <c r="V104" s="1187"/>
      <c r="W104" s="723"/>
      <c r="X104" s="722"/>
      <c r="Y104" s="723"/>
      <c r="Z104" s="1184"/>
      <c r="AA104" s="24"/>
      <c r="AB104" s="24"/>
      <c r="AC104" s="1215"/>
    </row>
    <row r="105" spans="1:29" ht="12" x14ac:dyDescent="0.2">
      <c r="A105" s="652"/>
      <c r="B105" s="719" t="s">
        <v>144</v>
      </c>
      <c r="C105" s="1524">
        <v>360</v>
      </c>
      <c r="D105" s="1525"/>
      <c r="E105" s="720"/>
      <c r="F105" s="721"/>
      <c r="G105" s="655"/>
      <c r="H105" s="722"/>
      <c r="I105" s="1524">
        <v>251</v>
      </c>
      <c r="J105" s="1525"/>
      <c r="K105" s="723"/>
      <c r="L105" s="724"/>
      <c r="M105" s="723"/>
      <c r="N105" s="722"/>
      <c r="O105" s="235"/>
      <c r="P105" s="1231">
        <v>386</v>
      </c>
      <c r="Q105" s="723"/>
      <c r="R105" s="722"/>
      <c r="S105" s="723"/>
      <c r="T105" s="722"/>
      <c r="U105" s="235"/>
      <c r="V105" s="1231">
        <v>559</v>
      </c>
      <c r="W105" s="723"/>
      <c r="X105" s="722"/>
      <c r="Y105" s="723"/>
      <c r="Z105" s="1184"/>
      <c r="AA105" s="24"/>
      <c r="AB105" s="24"/>
      <c r="AC105" s="550"/>
    </row>
    <row r="106" spans="1:29" ht="12" x14ac:dyDescent="0.2">
      <c r="A106" s="652"/>
      <c r="B106" s="726" t="s">
        <v>145</v>
      </c>
      <c r="C106" s="1524">
        <v>0</v>
      </c>
      <c r="D106" s="1525"/>
      <c r="E106" s="720"/>
      <c r="F106" s="721"/>
      <c r="G106" s="655"/>
      <c r="H106" s="722"/>
      <c r="I106" s="1524">
        <v>0</v>
      </c>
      <c r="J106" s="1525"/>
      <c r="K106" s="723"/>
      <c r="L106" s="724"/>
      <c r="M106" s="723"/>
      <c r="N106" s="722"/>
      <c r="O106" s="235"/>
      <c r="P106" s="1231">
        <v>0</v>
      </c>
      <c r="Q106" s="723"/>
      <c r="R106" s="722"/>
      <c r="S106" s="723"/>
      <c r="T106" s="722"/>
      <c r="U106" s="235"/>
      <c r="V106" s="1231">
        <v>0</v>
      </c>
      <c r="W106" s="723"/>
      <c r="X106" s="722"/>
      <c r="Y106" s="723"/>
      <c r="Z106" s="1184"/>
      <c r="AA106" s="24"/>
      <c r="AB106" s="24"/>
      <c r="AC106" s="550"/>
    </row>
    <row r="107" spans="1:29" ht="12" x14ac:dyDescent="0.2">
      <c r="A107" s="652"/>
      <c r="B107" s="726" t="s">
        <v>146</v>
      </c>
      <c r="C107" s="1524">
        <v>27</v>
      </c>
      <c r="D107" s="1525"/>
      <c r="E107" s="720"/>
      <c r="F107" s="721"/>
      <c r="G107" s="655"/>
      <c r="H107" s="722"/>
      <c r="I107" s="1524">
        <v>20</v>
      </c>
      <c r="J107" s="1525"/>
      <c r="K107" s="723"/>
      <c r="L107" s="724"/>
      <c r="M107" s="723"/>
      <c r="N107" s="722"/>
      <c r="O107" s="235"/>
      <c r="P107" s="1231">
        <v>161</v>
      </c>
      <c r="Q107" s="723"/>
      <c r="R107" s="722"/>
      <c r="S107" s="723"/>
      <c r="T107" s="722"/>
      <c r="U107" s="235"/>
      <c r="V107" s="1231">
        <f>33+18</f>
        <v>51</v>
      </c>
      <c r="W107" s="723"/>
      <c r="X107" s="722"/>
      <c r="Y107" s="723"/>
      <c r="Z107" s="1184"/>
      <c r="AA107" s="24"/>
      <c r="AB107" s="24"/>
      <c r="AC107" s="550"/>
    </row>
    <row r="108" spans="1:29" ht="12" x14ac:dyDescent="0.2">
      <c r="A108" s="652"/>
      <c r="B108" s="726" t="s">
        <v>156</v>
      </c>
      <c r="C108" s="1524">
        <f>SUM(C105:D107)</f>
        <v>387</v>
      </c>
      <c r="D108" s="1525"/>
      <c r="E108" s="720"/>
      <c r="F108" s="721"/>
      <c r="G108" s="655"/>
      <c r="H108" s="722"/>
      <c r="I108" s="1524">
        <f>SUM(I105:J107)</f>
        <v>271</v>
      </c>
      <c r="J108" s="1525"/>
      <c r="K108" s="723"/>
      <c r="L108" s="724"/>
      <c r="M108" s="723"/>
      <c r="N108" s="722"/>
      <c r="O108" s="235"/>
      <c r="P108" s="1231">
        <f>SUM(P105:P107)</f>
        <v>547</v>
      </c>
      <c r="Q108" s="723"/>
      <c r="R108" s="722"/>
      <c r="S108" s="723"/>
      <c r="T108" s="722"/>
      <c r="U108" s="235"/>
      <c r="V108" s="1231">
        <f>SUM(V105:V107)</f>
        <v>610</v>
      </c>
      <c r="W108" s="723"/>
      <c r="X108" s="722"/>
      <c r="Y108" s="723"/>
      <c r="Z108" s="1184"/>
      <c r="AA108" s="24"/>
      <c r="AB108" s="24"/>
      <c r="AC108" s="550"/>
    </row>
    <row r="109" spans="1:29" thickBot="1" x14ac:dyDescent="0.25">
      <c r="A109" s="652"/>
      <c r="B109" s="727" t="s">
        <v>152</v>
      </c>
      <c r="C109" s="1461"/>
      <c r="D109" s="1462"/>
      <c r="E109" s="720"/>
      <c r="F109" s="721"/>
      <c r="G109" s="655"/>
      <c r="H109" s="722"/>
      <c r="I109" s="1461"/>
      <c r="J109" s="1462"/>
      <c r="K109" s="723"/>
      <c r="L109" s="724"/>
      <c r="M109" s="723"/>
      <c r="N109" s="722"/>
      <c r="O109" s="235"/>
      <c r="P109" s="1187"/>
      <c r="Q109" s="723"/>
      <c r="R109" s="722"/>
      <c r="S109" s="723"/>
      <c r="T109" s="722"/>
      <c r="U109" s="235"/>
      <c r="V109" s="1187"/>
      <c r="W109" s="723"/>
      <c r="X109" s="722"/>
      <c r="Y109" s="723"/>
      <c r="Z109" s="1184"/>
      <c r="AA109" s="24"/>
      <c r="AB109" s="24"/>
      <c r="AC109" s="550"/>
    </row>
    <row r="110" spans="1:29" ht="12" x14ac:dyDescent="0.2">
      <c r="A110" s="652"/>
      <c r="B110" s="719" t="s">
        <v>153</v>
      </c>
      <c r="C110" s="1461">
        <f>C105/C98</f>
        <v>375</v>
      </c>
      <c r="D110" s="1462"/>
      <c r="E110" s="728"/>
      <c r="F110" s="729"/>
      <c r="G110" s="730"/>
      <c r="H110" s="731"/>
      <c r="I110" s="1461">
        <f>I105/I98</f>
        <v>184.55882352941174</v>
      </c>
      <c r="J110" s="1462"/>
      <c r="K110" s="723"/>
      <c r="L110" s="732"/>
      <c r="M110" s="723"/>
      <c r="N110" s="722"/>
      <c r="O110" s="235"/>
      <c r="P110" s="1199">
        <f>P105/P98</f>
        <v>116.96969696969698</v>
      </c>
      <c r="Q110" s="723"/>
      <c r="R110" s="722"/>
      <c r="S110" s="723"/>
      <c r="T110" s="722"/>
      <c r="U110" s="235"/>
      <c r="V110" s="1199">
        <f>V105/V98</f>
        <v>169.90881458966564</v>
      </c>
      <c r="W110" s="723"/>
      <c r="X110" s="722"/>
      <c r="Y110" s="723"/>
      <c r="Z110" s="1184"/>
      <c r="AB110" s="24"/>
      <c r="AC110" s="550"/>
    </row>
    <row r="111" spans="1:29" ht="12" x14ac:dyDescent="0.2">
      <c r="A111" s="652"/>
      <c r="B111" s="726" t="s">
        <v>154</v>
      </c>
      <c r="C111" s="1461">
        <v>0</v>
      </c>
      <c r="D111" s="1462"/>
      <c r="E111" s="728"/>
      <c r="F111" s="729"/>
      <c r="G111" s="730"/>
      <c r="H111" s="731"/>
      <c r="I111" s="1461">
        <f>I106/SUM(I99:J101)</f>
        <v>0</v>
      </c>
      <c r="J111" s="1462"/>
      <c r="K111" s="723"/>
      <c r="L111" s="732"/>
      <c r="M111" s="723"/>
      <c r="N111" s="722"/>
      <c r="O111" s="235"/>
      <c r="P111" s="1199">
        <v>0</v>
      </c>
      <c r="Q111" s="723"/>
      <c r="R111" s="722"/>
      <c r="S111" s="723"/>
      <c r="T111" s="722"/>
      <c r="U111" s="235"/>
      <c r="V111" s="1199">
        <v>0</v>
      </c>
      <c r="W111" s="723"/>
      <c r="X111" s="722"/>
      <c r="Y111" s="723"/>
      <c r="Z111" s="1184"/>
      <c r="AB111" s="24"/>
      <c r="AC111" s="550"/>
    </row>
    <row r="112" spans="1:29" ht="12" x14ac:dyDescent="0.2">
      <c r="A112" s="652"/>
      <c r="B112" s="726" t="s">
        <v>155</v>
      </c>
      <c r="C112" s="1461">
        <f>C107/C102</f>
        <v>108</v>
      </c>
      <c r="D112" s="1462"/>
      <c r="E112" s="728"/>
      <c r="F112" s="729"/>
      <c r="G112" s="730"/>
      <c r="H112" s="731"/>
      <c r="I112" s="1461">
        <f>I107/I102</f>
        <v>40</v>
      </c>
      <c r="J112" s="1462"/>
      <c r="K112" s="723"/>
      <c r="L112" s="732"/>
      <c r="M112" s="723"/>
      <c r="N112" s="722"/>
      <c r="O112" s="235"/>
      <c r="P112" s="1199">
        <f>P107/P102</f>
        <v>178.88888888888889</v>
      </c>
      <c r="Q112" s="723"/>
      <c r="R112" s="722"/>
      <c r="S112" s="723"/>
      <c r="T112" s="722"/>
      <c r="U112" s="235"/>
      <c r="V112" s="1199">
        <f>V107/V102</f>
        <v>78.461538461538453</v>
      </c>
      <c r="W112" s="723"/>
      <c r="X112" s="722"/>
      <c r="Y112" s="723"/>
      <c r="Z112" s="1184"/>
      <c r="AB112" s="24"/>
      <c r="AC112" s="550"/>
    </row>
    <row r="113" spans="1:29" thickBot="1" x14ac:dyDescent="0.25">
      <c r="A113" s="652"/>
      <c r="B113" s="733" t="s">
        <v>147</v>
      </c>
      <c r="C113" s="1459">
        <f>C108/C103</f>
        <v>319.83471074380168</v>
      </c>
      <c r="D113" s="1460"/>
      <c r="E113" s="734"/>
      <c r="F113" s="735"/>
      <c r="G113" s="736"/>
      <c r="H113" s="737"/>
      <c r="I113" s="1459">
        <f>I108/I103</f>
        <v>114.83050847457625</v>
      </c>
      <c r="J113" s="1460"/>
      <c r="K113" s="738"/>
      <c r="L113" s="739"/>
      <c r="M113" s="738"/>
      <c r="N113" s="738"/>
      <c r="O113" s="1034"/>
      <c r="P113" s="1200">
        <f>P108/P103</f>
        <v>130.23809523809524</v>
      </c>
      <c r="Q113" s="738"/>
      <c r="R113" s="739"/>
      <c r="S113" s="738"/>
      <c r="T113" s="739"/>
      <c r="U113" s="252"/>
      <c r="V113" s="1200">
        <f>V108/V103</f>
        <v>154.82233502538071</v>
      </c>
      <c r="W113" s="738"/>
      <c r="X113" s="739"/>
      <c r="Y113" s="738"/>
      <c r="Z113" s="1185"/>
      <c r="AB113" s="24"/>
      <c r="AC113" s="550"/>
    </row>
    <row r="114" spans="1:29" thickTop="1" x14ac:dyDescent="0.2">
      <c r="B114" s="1" t="str">
        <f>'ag sum'!B126</f>
        <v>*Note: For the 2009 collection cycle and later, Instructional FTE was defined according to the national Delaware Study of Instructional Costs and Productivity</v>
      </c>
      <c r="C114" s="1"/>
      <c r="D114" s="1"/>
      <c r="E114" s="1"/>
      <c r="F114" s="1"/>
      <c r="G114" s="222"/>
      <c r="H114" s="222"/>
      <c r="I114" s="222"/>
      <c r="J114" s="222"/>
      <c r="L114" s="66"/>
      <c r="M114" s="24"/>
      <c r="N114" s="24"/>
      <c r="O114" s="24"/>
      <c r="P114" s="24"/>
      <c r="Q114" s="24"/>
      <c r="R114" s="24"/>
      <c r="S114" s="24"/>
      <c r="T114" s="24"/>
      <c r="U114" s="24"/>
      <c r="V114" s="24"/>
      <c r="W114" s="24"/>
      <c r="X114" s="24"/>
      <c r="Y114" s="24"/>
      <c r="Z114" s="24"/>
      <c r="AC114" s="24"/>
    </row>
  </sheetData>
  <mergeCells count="125">
    <mergeCell ref="Y7:Z7"/>
    <mergeCell ref="Y19:Z19"/>
    <mergeCell ref="Y27:Z27"/>
    <mergeCell ref="Y30:Z30"/>
    <mergeCell ref="Y34:Z34"/>
    <mergeCell ref="Y61:Z61"/>
    <mergeCell ref="Y96:Z96"/>
    <mergeCell ref="AB30:AC30"/>
    <mergeCell ref="M30:N30"/>
    <mergeCell ref="M27:N27"/>
    <mergeCell ref="Q96:R96"/>
    <mergeCell ref="O96:P96"/>
    <mergeCell ref="S96:T96"/>
    <mergeCell ref="S61:T61"/>
    <mergeCell ref="O34:P34"/>
    <mergeCell ref="O61:P61"/>
    <mergeCell ref="Q61:R61"/>
    <mergeCell ref="AB96:AC96"/>
    <mergeCell ref="Q7:R7"/>
    <mergeCell ref="Q19:R19"/>
    <mergeCell ref="Q27:R27"/>
    <mergeCell ref="Q34:R34"/>
    <mergeCell ref="Q30:R30"/>
    <mergeCell ref="S7:T7"/>
    <mergeCell ref="I29:J29"/>
    <mergeCell ref="I28:J28"/>
    <mergeCell ref="K7:L7"/>
    <mergeCell ref="K19:L19"/>
    <mergeCell ref="O7:P7"/>
    <mergeCell ref="O19:P19"/>
    <mergeCell ref="O27:P27"/>
    <mergeCell ref="C61:D61"/>
    <mergeCell ref="E61:F61"/>
    <mergeCell ref="E30:F30"/>
    <mergeCell ref="G30:H30"/>
    <mergeCell ref="E34:F34"/>
    <mergeCell ref="C34:D34"/>
    <mergeCell ref="C29:D29"/>
    <mergeCell ref="C30:D30"/>
    <mergeCell ref="G29:H29"/>
    <mergeCell ref="E29:F29"/>
    <mergeCell ref="E28:F28"/>
    <mergeCell ref="G28:H28"/>
    <mergeCell ref="C28:D28"/>
    <mergeCell ref="G19:H19"/>
    <mergeCell ref="K27:L27"/>
    <mergeCell ref="B18:H18"/>
    <mergeCell ref="C19:D19"/>
    <mergeCell ref="E19:F19"/>
    <mergeCell ref="C27:D27"/>
    <mergeCell ref="E27:F27"/>
    <mergeCell ref="G27:H27"/>
    <mergeCell ref="I19:J19"/>
    <mergeCell ref="AB7:AC7"/>
    <mergeCell ref="AB19:AC19"/>
    <mergeCell ref="AB34:AC34"/>
    <mergeCell ref="AB61:AC61"/>
    <mergeCell ref="I27:J27"/>
    <mergeCell ref="I34:J34"/>
    <mergeCell ref="M7:N7"/>
    <mergeCell ref="M19:N19"/>
    <mergeCell ref="M34:N34"/>
    <mergeCell ref="O30:P30"/>
    <mergeCell ref="I30:J30"/>
    <mergeCell ref="K61:L61"/>
    <mergeCell ref="K34:L34"/>
    <mergeCell ref="G34:H34"/>
    <mergeCell ref="G61:H61"/>
    <mergeCell ref="I61:J61"/>
    <mergeCell ref="K30:L30"/>
    <mergeCell ref="M61:N61"/>
    <mergeCell ref="S34:T34"/>
    <mergeCell ref="I99:J100"/>
    <mergeCell ref="I101:J101"/>
    <mergeCell ref="M96:N96"/>
    <mergeCell ref="C96:D96"/>
    <mergeCell ref="E96:F96"/>
    <mergeCell ref="I96:J96"/>
    <mergeCell ref="C98:D98"/>
    <mergeCell ref="I98:J98"/>
    <mergeCell ref="C99:D100"/>
    <mergeCell ref="C101:D101"/>
    <mergeCell ref="G96:H96"/>
    <mergeCell ref="K96:L96"/>
    <mergeCell ref="C104:D104"/>
    <mergeCell ref="I104:J104"/>
    <mergeCell ref="C105:D105"/>
    <mergeCell ref="I105:J105"/>
    <mergeCell ref="C102:D102"/>
    <mergeCell ref="I102:J102"/>
    <mergeCell ref="C103:D103"/>
    <mergeCell ref="I103:J103"/>
    <mergeCell ref="C108:D108"/>
    <mergeCell ref="I108:J108"/>
    <mergeCell ref="C109:D109"/>
    <mergeCell ref="I109:J109"/>
    <mergeCell ref="C106:D106"/>
    <mergeCell ref="I106:J106"/>
    <mergeCell ref="C107:D107"/>
    <mergeCell ref="I107:J107"/>
    <mergeCell ref="C110:D110"/>
    <mergeCell ref="I110:J110"/>
    <mergeCell ref="C113:D113"/>
    <mergeCell ref="I113:J113"/>
    <mergeCell ref="C111:D111"/>
    <mergeCell ref="I111:J111"/>
    <mergeCell ref="C112:D112"/>
    <mergeCell ref="I112:J112"/>
    <mergeCell ref="S19:T19"/>
    <mergeCell ref="S27:T27"/>
    <mergeCell ref="S30:T30"/>
    <mergeCell ref="W96:X96"/>
    <mergeCell ref="W7:X7"/>
    <mergeCell ref="W19:X19"/>
    <mergeCell ref="W27:X27"/>
    <mergeCell ref="W30:X30"/>
    <mergeCell ref="W34:X34"/>
    <mergeCell ref="W61:X61"/>
    <mergeCell ref="U96:V96"/>
    <mergeCell ref="U7:V7"/>
    <mergeCell ref="U19:V19"/>
    <mergeCell ref="U27:V27"/>
    <mergeCell ref="U30:V30"/>
    <mergeCell ref="U34:V34"/>
    <mergeCell ref="U61:V61"/>
  </mergeCells>
  <phoneticPr fontId="0" type="noConversion"/>
  <printOptions horizontalCentered="1"/>
  <pageMargins left="0.5" right="0.5" top="0.25" bottom="0.25" header="0.5" footer="0.5"/>
  <pageSetup scale="73" orientation="landscape" horizontalDpi="4294967292" verticalDpi="4294967292" r:id="rId1"/>
  <headerFooter alignWithMargins="0">
    <oddFooter>&amp;R&amp;P of &amp;N
&amp;D</oddFooter>
  </headerFooter>
  <rowBreaks count="1" manualBreakCount="1">
    <brk id="58" max="16383" man="1"/>
  </rowBreaks>
  <ignoredErrors>
    <ignoredError sqref="S71:S9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
  <sheetViews>
    <sheetView view="pageBreakPreview" zoomScaleNormal="85" zoomScaleSheetLayoutView="100" workbookViewId="0">
      <pane xSplit="2" ySplit="1" topLeftCell="O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2.75" x14ac:dyDescent="0.2"/>
  <cols>
    <col min="1" max="1" width="3.7109375" style="1" customWidth="1"/>
    <col min="2" max="2" width="29.5703125" style="1" customWidth="1"/>
    <col min="3" max="3" width="7.7109375" hidden="1" customWidth="1"/>
    <col min="4" max="4" width="10.42578125" hidden="1" customWidth="1"/>
    <col min="5" max="5" width="7.7109375" hidden="1" customWidth="1"/>
    <col min="6" max="6" width="10.42578125" hidden="1" customWidth="1"/>
    <col min="7" max="7" width="7.7109375" style="223" hidden="1" customWidth="1"/>
    <col min="8" max="8" width="10.28515625" style="223" hidden="1" customWidth="1"/>
    <col min="9" max="9" width="7.7109375" style="223" hidden="1" customWidth="1"/>
    <col min="10" max="10" width="10.42578125" style="223" hidden="1" customWidth="1"/>
    <col min="11" max="11" width="7.7109375" style="1" hidden="1" customWidth="1"/>
    <col min="12" max="12" width="10.42578125" style="1" hidden="1" customWidth="1"/>
    <col min="13" max="13" width="7.7109375" style="1" hidden="1" customWidth="1"/>
    <col min="14" max="14" width="10.28515625" style="1" hidden="1" customWidth="1"/>
    <col min="15" max="15" width="7.7109375" style="1" customWidth="1"/>
    <col min="16" max="16" width="10.28515625" style="1" customWidth="1"/>
    <col min="17" max="17" width="7.7109375" style="1" customWidth="1"/>
    <col min="18" max="18" width="10.28515625" style="1" customWidth="1"/>
    <col min="19" max="19" width="7.7109375" style="1" customWidth="1"/>
    <col min="20" max="20" width="10.28515625" style="1" customWidth="1"/>
    <col min="21" max="21" width="7.7109375" style="1" customWidth="1"/>
    <col min="22" max="22" width="10.28515625" style="1" customWidth="1"/>
    <col min="23" max="23" width="7.7109375" style="1" customWidth="1"/>
    <col min="24" max="24" width="10.28515625" style="1" customWidth="1"/>
    <col min="25" max="25" width="7.7109375" style="1" customWidth="1"/>
    <col min="26" max="26" width="10.28515625" style="1" customWidth="1"/>
    <col min="27" max="27" width="5" style="1" customWidth="1"/>
    <col min="28" max="29" width="10.28515625" style="1" customWidth="1"/>
    <col min="30" max="30" width="4.42578125" style="1" customWidth="1"/>
    <col min="31" max="16384" width="10.28515625" style="1"/>
  </cols>
  <sheetData>
    <row r="1" spans="1:31" ht="18" x14ac:dyDescent="0.25">
      <c r="A1" s="1100" t="str">
        <f>Dean_Ag!A1</f>
        <v>Department Profile Report - FY 2015</v>
      </c>
      <c r="B1" s="1100"/>
      <c r="C1" s="1100"/>
      <c r="D1" s="1100"/>
      <c r="E1" s="1100"/>
      <c r="F1" s="1100"/>
      <c r="G1" s="1100"/>
      <c r="H1" s="1100"/>
      <c r="I1" s="1101"/>
      <c r="J1" s="1101"/>
      <c r="K1" s="1101"/>
      <c r="L1" s="1101"/>
      <c r="M1" s="1101"/>
      <c r="N1" s="1101"/>
      <c r="O1" s="1101"/>
      <c r="P1" s="1101"/>
      <c r="Q1" s="1101"/>
      <c r="R1" s="1101"/>
      <c r="S1" s="1101"/>
      <c r="T1" s="1101"/>
      <c r="U1" s="1101"/>
      <c r="V1" s="1101"/>
      <c r="W1" s="1101"/>
      <c r="X1" s="1101"/>
      <c r="Y1" s="1101"/>
      <c r="Z1" s="1101"/>
      <c r="AA1" s="1101"/>
      <c r="AB1" s="1101"/>
      <c r="AC1" s="1101"/>
    </row>
    <row r="2" spans="1:31" ht="12" x14ac:dyDescent="0.2">
      <c r="C2" s="1"/>
      <c r="D2" s="1"/>
      <c r="E2" s="1"/>
      <c r="F2" s="1"/>
      <c r="G2" s="222"/>
      <c r="H2" s="222"/>
      <c r="I2" s="222"/>
      <c r="J2" s="222"/>
    </row>
    <row r="3" spans="1:31" x14ac:dyDescent="0.2">
      <c r="A3" s="3" t="s">
        <v>19</v>
      </c>
      <c r="C3" s="1"/>
      <c r="D3" s="1"/>
      <c r="E3" s="1"/>
      <c r="F3" s="1"/>
      <c r="G3" s="222"/>
      <c r="H3" s="222"/>
      <c r="I3" s="222"/>
      <c r="J3" s="222"/>
    </row>
    <row r="4" spans="1:31" ht="12" x14ac:dyDescent="0.2">
      <c r="C4" s="1"/>
      <c r="D4" s="1"/>
      <c r="E4" s="1"/>
      <c r="F4" s="1"/>
      <c r="G4" s="222"/>
      <c r="H4" s="222"/>
      <c r="I4" s="222"/>
      <c r="J4" s="222"/>
    </row>
    <row r="5" spans="1:31" x14ac:dyDescent="0.2">
      <c r="A5" s="3" t="s">
        <v>55</v>
      </c>
      <c r="C5" s="1"/>
      <c r="D5" s="1"/>
      <c r="E5" s="1"/>
      <c r="F5" s="1"/>
      <c r="G5" s="222"/>
      <c r="H5" s="222"/>
      <c r="I5" s="222"/>
      <c r="J5" s="222"/>
    </row>
    <row r="6" spans="1:31" ht="11.25" customHeight="1" thickBot="1" x14ac:dyDescent="0.25">
      <c r="A6" s="2"/>
      <c r="C6" s="1"/>
      <c r="D6" s="1"/>
      <c r="E6" s="1"/>
      <c r="F6" s="1"/>
      <c r="G6" s="222"/>
      <c r="H6" s="222"/>
      <c r="I6" s="222"/>
      <c r="J6" s="222"/>
      <c r="AB6" s="71"/>
      <c r="AC6" s="71"/>
    </row>
    <row r="7" spans="1:31" ht="13.5" customHeight="1" thickTop="1" x14ac:dyDescent="0.2">
      <c r="B7" s="38"/>
      <c r="C7" s="28" t="s">
        <v>33</v>
      </c>
      <c r="D7" s="29"/>
      <c r="E7" s="8" t="s">
        <v>34</v>
      </c>
      <c r="F7" s="5"/>
      <c r="G7" s="256" t="s">
        <v>106</v>
      </c>
      <c r="H7" s="418"/>
      <c r="I7" s="405" t="s">
        <v>118</v>
      </c>
      <c r="J7" s="469"/>
      <c r="K7" s="1512" t="s">
        <v>121</v>
      </c>
      <c r="L7" s="1509"/>
      <c r="M7" s="1512" t="s">
        <v>127</v>
      </c>
      <c r="N7" s="1513"/>
      <c r="O7" s="1509" t="s">
        <v>174</v>
      </c>
      <c r="P7" s="1513"/>
      <c r="Q7" s="1509" t="s">
        <v>193</v>
      </c>
      <c r="R7" s="1513"/>
      <c r="S7" s="1509" t="s">
        <v>218</v>
      </c>
      <c r="T7" s="1513"/>
      <c r="U7" s="1509" t="s">
        <v>221</v>
      </c>
      <c r="V7" s="1513"/>
      <c r="W7" s="1509" t="s">
        <v>232</v>
      </c>
      <c r="X7" s="1513"/>
      <c r="Y7" s="1509" t="s">
        <v>241</v>
      </c>
      <c r="Z7" s="1510"/>
      <c r="AB7" s="1517" t="s">
        <v>134</v>
      </c>
      <c r="AC7" s="1528"/>
    </row>
    <row r="8" spans="1:31" ht="12" x14ac:dyDescent="0.2">
      <c r="B8" s="39"/>
      <c r="C8" s="30" t="s">
        <v>1</v>
      </c>
      <c r="D8" s="31" t="s">
        <v>2</v>
      </c>
      <c r="E8" s="9" t="s">
        <v>1</v>
      </c>
      <c r="F8" s="6" t="s">
        <v>2</v>
      </c>
      <c r="G8" s="257" t="s">
        <v>1</v>
      </c>
      <c r="H8" s="415" t="s">
        <v>2</v>
      </c>
      <c r="I8" s="402" t="s">
        <v>1</v>
      </c>
      <c r="J8" s="470" t="s">
        <v>2</v>
      </c>
      <c r="K8" s="257" t="s">
        <v>1</v>
      </c>
      <c r="L8" s="470" t="s">
        <v>2</v>
      </c>
      <c r="M8" s="257" t="s">
        <v>1</v>
      </c>
      <c r="N8" s="415" t="s">
        <v>2</v>
      </c>
      <c r="O8" s="402" t="s">
        <v>1</v>
      </c>
      <c r="P8" s="415" t="s">
        <v>2</v>
      </c>
      <c r="Q8" s="402" t="s">
        <v>1</v>
      </c>
      <c r="R8" s="415" t="s">
        <v>2</v>
      </c>
      <c r="S8" s="402" t="s">
        <v>1</v>
      </c>
      <c r="T8" s="415" t="s">
        <v>2</v>
      </c>
      <c r="U8" s="402" t="s">
        <v>1</v>
      </c>
      <c r="V8" s="415" t="s">
        <v>2</v>
      </c>
      <c r="W8" s="402" t="s">
        <v>1</v>
      </c>
      <c r="X8" s="415" t="s">
        <v>2</v>
      </c>
      <c r="Y8" s="402" t="s">
        <v>1</v>
      </c>
      <c r="Z8" s="224" t="s">
        <v>2</v>
      </c>
      <c r="AB8" s="755" t="s">
        <v>1</v>
      </c>
      <c r="AC8" s="756" t="s">
        <v>2</v>
      </c>
    </row>
    <row r="9" spans="1:31" thickBot="1" x14ac:dyDescent="0.25">
      <c r="B9" s="40"/>
      <c r="C9" s="561" t="s">
        <v>3</v>
      </c>
      <c r="D9" s="56" t="s">
        <v>4</v>
      </c>
      <c r="E9" s="55" t="s">
        <v>3</v>
      </c>
      <c r="F9" s="282" t="s">
        <v>4</v>
      </c>
      <c r="G9" s="283" t="s">
        <v>3</v>
      </c>
      <c r="H9" s="431" t="s">
        <v>4</v>
      </c>
      <c r="I9" s="419" t="s">
        <v>3</v>
      </c>
      <c r="J9" s="471" t="s">
        <v>4</v>
      </c>
      <c r="K9" s="283" t="s">
        <v>3</v>
      </c>
      <c r="L9" s="471" t="s">
        <v>4</v>
      </c>
      <c r="M9" s="283" t="s">
        <v>3</v>
      </c>
      <c r="N9" s="431" t="s">
        <v>4</v>
      </c>
      <c r="O9" s="419" t="s">
        <v>3</v>
      </c>
      <c r="P9" s="431" t="s">
        <v>4</v>
      </c>
      <c r="Q9" s="419" t="s">
        <v>3</v>
      </c>
      <c r="R9" s="431" t="s">
        <v>4</v>
      </c>
      <c r="S9" s="419" t="s">
        <v>3</v>
      </c>
      <c r="T9" s="431" t="s">
        <v>4</v>
      </c>
      <c r="U9" s="419" t="s">
        <v>3</v>
      </c>
      <c r="V9" s="431" t="s">
        <v>4</v>
      </c>
      <c r="W9" s="419" t="s">
        <v>3</v>
      </c>
      <c r="X9" s="431" t="s">
        <v>4</v>
      </c>
      <c r="Y9" s="419" t="s">
        <v>3</v>
      </c>
      <c r="Z9" s="225" t="s">
        <v>4</v>
      </c>
      <c r="AB9" s="757" t="s">
        <v>3</v>
      </c>
      <c r="AC9" s="758" t="s">
        <v>4</v>
      </c>
    </row>
    <row r="10" spans="1:31" ht="12" x14ac:dyDescent="0.2">
      <c r="B10" s="41" t="s">
        <v>5</v>
      </c>
      <c r="C10" s="323"/>
      <c r="D10" s="58"/>
      <c r="E10" s="57"/>
      <c r="F10" s="27"/>
      <c r="G10" s="284"/>
      <c r="H10" s="393"/>
      <c r="I10" s="324"/>
      <c r="J10" s="472"/>
      <c r="K10" s="284"/>
      <c r="L10" s="472"/>
      <c r="M10" s="284"/>
      <c r="N10" s="393"/>
      <c r="O10" s="324"/>
      <c r="P10" s="393"/>
      <c r="Q10" s="324"/>
      <c r="R10" s="393"/>
      <c r="S10" s="324"/>
      <c r="T10" s="393"/>
      <c r="U10" s="324"/>
      <c r="V10" s="393"/>
      <c r="W10" s="324"/>
      <c r="X10" s="393"/>
      <c r="Y10" s="324"/>
      <c r="Z10" s="226"/>
      <c r="AB10" s="299"/>
      <c r="AC10" s="652"/>
    </row>
    <row r="11" spans="1:31" ht="12" x14ac:dyDescent="0.2">
      <c r="B11" s="593" t="s">
        <v>26</v>
      </c>
      <c r="C11" s="259"/>
      <c r="D11" s="339"/>
      <c r="E11" s="338"/>
      <c r="F11" s="340"/>
      <c r="G11" s="259"/>
      <c r="H11" s="339"/>
      <c r="I11" s="338"/>
      <c r="J11" s="340"/>
      <c r="K11" s="259"/>
      <c r="L11" s="340"/>
      <c r="M11" s="259"/>
      <c r="N11" s="339"/>
      <c r="O11" s="338"/>
      <c r="P11" s="339"/>
      <c r="Q11" s="338"/>
      <c r="R11" s="339"/>
      <c r="S11" s="338"/>
      <c r="T11" s="339"/>
      <c r="U11" s="338"/>
      <c r="V11" s="339"/>
      <c r="W11" s="338"/>
      <c r="X11" s="339"/>
      <c r="Y11" s="338"/>
      <c r="Z11" s="130"/>
      <c r="AB11" s="299"/>
      <c r="AC11" s="652"/>
    </row>
    <row r="12" spans="1:31" ht="12" x14ac:dyDescent="0.2">
      <c r="B12" s="594" t="s">
        <v>51</v>
      </c>
      <c r="C12" s="458">
        <v>5</v>
      </c>
      <c r="D12" s="457">
        <v>2</v>
      </c>
      <c r="E12" s="246">
        <v>5</v>
      </c>
      <c r="F12" s="352">
        <v>0</v>
      </c>
      <c r="G12" s="458">
        <v>8</v>
      </c>
      <c r="H12" s="457">
        <v>1</v>
      </c>
      <c r="I12" s="246">
        <v>7</v>
      </c>
      <c r="J12" s="352">
        <v>1</v>
      </c>
      <c r="K12" s="458">
        <v>3</v>
      </c>
      <c r="L12" s="352">
        <v>0</v>
      </c>
      <c r="M12" s="458">
        <v>8</v>
      </c>
      <c r="N12" s="457">
        <v>2</v>
      </c>
      <c r="O12" s="246">
        <v>7</v>
      </c>
      <c r="P12" s="457">
        <v>2</v>
      </c>
      <c r="Q12" s="246">
        <v>9</v>
      </c>
      <c r="R12" s="457">
        <v>2</v>
      </c>
      <c r="S12" s="246">
        <v>7</v>
      </c>
      <c r="T12" s="457">
        <v>3</v>
      </c>
      <c r="U12" s="246">
        <v>8</v>
      </c>
      <c r="V12" s="457">
        <v>4</v>
      </c>
      <c r="W12" s="246">
        <v>5</v>
      </c>
      <c r="X12" s="457">
        <v>2</v>
      </c>
      <c r="Y12" s="246">
        <v>10</v>
      </c>
      <c r="Z12" s="1406"/>
      <c r="AB12" s="742">
        <f>AVERAGE(W12,U12,S12,Q12,Y12)</f>
        <v>7.8</v>
      </c>
      <c r="AC12" s="759">
        <f t="shared" ref="AC12:AC15" si="0">AVERAGE(X12,V12,T12,R12,Z12)</f>
        <v>2.75</v>
      </c>
    </row>
    <row r="13" spans="1:31" ht="12" x14ac:dyDescent="0.2">
      <c r="B13" s="594" t="s">
        <v>167</v>
      </c>
      <c r="C13" s="458">
        <v>19</v>
      </c>
      <c r="D13" s="457">
        <v>2</v>
      </c>
      <c r="E13" s="246">
        <v>18</v>
      </c>
      <c r="F13" s="352">
        <v>4</v>
      </c>
      <c r="G13" s="458">
        <v>19</v>
      </c>
      <c r="H13" s="457">
        <f>5+1</f>
        <v>6</v>
      </c>
      <c r="I13" s="246">
        <v>13</v>
      </c>
      <c r="J13" s="352">
        <v>6</v>
      </c>
      <c r="K13" s="458">
        <v>9</v>
      </c>
      <c r="L13" s="352">
        <v>3</v>
      </c>
      <c r="M13" s="458">
        <v>11</v>
      </c>
      <c r="N13" s="457">
        <v>1</v>
      </c>
      <c r="O13" s="246">
        <v>16</v>
      </c>
      <c r="P13" s="457">
        <v>3</v>
      </c>
      <c r="Q13" s="246">
        <v>10</v>
      </c>
      <c r="R13" s="457">
        <v>5</v>
      </c>
      <c r="S13" s="246">
        <v>11</v>
      </c>
      <c r="T13" s="457">
        <v>5</v>
      </c>
      <c r="U13" s="246">
        <v>12</v>
      </c>
      <c r="V13" s="457">
        <v>0</v>
      </c>
      <c r="W13" s="246">
        <v>12</v>
      </c>
      <c r="X13" s="457">
        <v>6</v>
      </c>
      <c r="Y13" s="246">
        <v>10</v>
      </c>
      <c r="Z13" s="1406"/>
      <c r="AA13" s="657"/>
      <c r="AB13" s="742">
        <f t="shared" ref="AB13:AB15" si="1">AVERAGE(W13,U13,S13,Q13,Y13)</f>
        <v>11</v>
      </c>
      <c r="AC13" s="759">
        <f t="shared" si="0"/>
        <v>4</v>
      </c>
    </row>
    <row r="14" spans="1:31" ht="12" x14ac:dyDescent="0.2">
      <c r="B14" s="1151" t="s">
        <v>6</v>
      </c>
      <c r="C14" s="461">
        <v>26</v>
      </c>
      <c r="D14" s="351">
        <v>4</v>
      </c>
      <c r="E14" s="459">
        <v>29</v>
      </c>
      <c r="F14" s="460">
        <v>3</v>
      </c>
      <c r="G14" s="461">
        <v>26</v>
      </c>
      <c r="H14" s="351">
        <v>9</v>
      </c>
      <c r="I14" s="459">
        <v>18</v>
      </c>
      <c r="J14" s="460">
        <v>3</v>
      </c>
      <c r="K14" s="461">
        <v>20</v>
      </c>
      <c r="L14" s="460">
        <v>4</v>
      </c>
      <c r="M14" s="461">
        <v>17</v>
      </c>
      <c r="N14" s="351">
        <v>3</v>
      </c>
      <c r="O14" s="459">
        <v>16</v>
      </c>
      <c r="P14" s="351">
        <v>3</v>
      </c>
      <c r="Q14" s="459">
        <v>18</v>
      </c>
      <c r="R14" s="351">
        <v>3</v>
      </c>
      <c r="S14" s="459">
        <v>15</v>
      </c>
      <c r="T14" s="351">
        <v>7</v>
      </c>
      <c r="U14" s="459">
        <v>19</v>
      </c>
      <c r="V14" s="351">
        <v>2</v>
      </c>
      <c r="W14" s="459">
        <v>23</v>
      </c>
      <c r="X14" s="351">
        <v>1</v>
      </c>
      <c r="Y14" s="459">
        <v>25</v>
      </c>
      <c r="Z14" s="1411"/>
      <c r="AA14" s="657"/>
      <c r="AB14" s="742">
        <f t="shared" si="1"/>
        <v>20</v>
      </c>
      <c r="AC14" s="759">
        <f t="shared" si="0"/>
        <v>3.25</v>
      </c>
    </row>
    <row r="15" spans="1:31" thickBot="1" x14ac:dyDescent="0.25">
      <c r="B15" s="595" t="s">
        <v>228</v>
      </c>
      <c r="C15" s="358">
        <v>0</v>
      </c>
      <c r="D15" s="364">
        <v>0</v>
      </c>
      <c r="E15" s="357">
        <v>0</v>
      </c>
      <c r="F15" s="365">
        <v>0</v>
      </c>
      <c r="G15" s="358">
        <v>0</v>
      </c>
      <c r="H15" s="364">
        <v>0</v>
      </c>
      <c r="I15" s="357">
        <v>0</v>
      </c>
      <c r="J15" s="365">
        <v>0</v>
      </c>
      <c r="K15" s="358">
        <v>0</v>
      </c>
      <c r="L15" s="365">
        <v>0</v>
      </c>
      <c r="M15" s="358">
        <v>0</v>
      </c>
      <c r="N15" s="364">
        <v>1</v>
      </c>
      <c r="O15" s="357">
        <v>0</v>
      </c>
      <c r="P15" s="364">
        <v>0</v>
      </c>
      <c r="Q15" s="357">
        <v>0</v>
      </c>
      <c r="R15" s="364">
        <v>0</v>
      </c>
      <c r="S15" s="357">
        <v>0</v>
      </c>
      <c r="T15" s="364">
        <v>0</v>
      </c>
      <c r="U15" s="357">
        <v>0</v>
      </c>
      <c r="V15" s="364">
        <v>1</v>
      </c>
      <c r="W15" s="357">
        <v>0</v>
      </c>
      <c r="X15" s="364">
        <v>0</v>
      </c>
      <c r="Y15" s="357">
        <v>0</v>
      </c>
      <c r="Z15" s="1404"/>
      <c r="AA15" s="657"/>
      <c r="AB15" s="761">
        <f t="shared" si="1"/>
        <v>0</v>
      </c>
      <c r="AC15" s="1338">
        <f t="shared" si="0"/>
        <v>0.25</v>
      </c>
    </row>
    <row r="16" spans="1:31" thickTop="1" x14ac:dyDescent="0.2">
      <c r="B16" s="119" t="s">
        <v>117</v>
      </c>
      <c r="C16" s="51"/>
      <c r="D16" s="26"/>
      <c r="E16" s="51"/>
      <c r="F16" s="26"/>
      <c r="G16" s="228"/>
      <c r="H16" s="229"/>
      <c r="I16" s="228"/>
      <c r="J16" s="229"/>
      <c r="K16" s="228"/>
      <c r="L16" s="229"/>
      <c r="M16" s="627"/>
      <c r="N16" s="229"/>
      <c r="O16" s="627"/>
      <c r="P16" s="229"/>
      <c r="Q16" s="627"/>
      <c r="R16" s="229"/>
      <c r="S16" s="627"/>
      <c r="T16" s="229"/>
      <c r="U16" s="627"/>
      <c r="V16" s="229"/>
      <c r="W16" s="627"/>
      <c r="X16" s="229"/>
      <c r="Y16" s="627"/>
      <c r="Z16" s="229"/>
      <c r="AB16" s="760"/>
      <c r="AC16" s="760"/>
      <c r="AE16" s="1" t="s">
        <v>23</v>
      </c>
    </row>
    <row r="17" spans="1:29" ht="7.5" customHeight="1" thickBot="1" x14ac:dyDescent="0.25">
      <c r="C17" s="51"/>
      <c r="D17" s="26"/>
      <c r="E17" s="51"/>
      <c r="F17" s="26"/>
      <c r="G17" s="228"/>
      <c r="H17" s="229"/>
      <c r="I17" s="228"/>
      <c r="J17" s="229"/>
      <c r="K17" s="228"/>
      <c r="L17" s="229"/>
      <c r="M17" s="228"/>
      <c r="N17" s="229"/>
      <c r="O17" s="228"/>
      <c r="P17" s="229"/>
      <c r="Q17" s="228"/>
      <c r="R17" s="229"/>
      <c r="S17" s="228"/>
      <c r="T17" s="229"/>
      <c r="U17" s="228"/>
      <c r="V17" s="229"/>
      <c r="W17" s="228"/>
      <c r="X17" s="229"/>
      <c r="Y17" s="228"/>
      <c r="Z17" s="229"/>
      <c r="AB17" s="71"/>
      <c r="AC17" s="71"/>
    </row>
    <row r="18" spans="1:29" ht="14.25" customHeight="1" thickTop="1" thickBot="1" x14ac:dyDescent="0.25">
      <c r="B18" s="1055"/>
      <c r="C18" s="1498" t="s">
        <v>33</v>
      </c>
      <c r="D18" s="1499"/>
      <c r="E18" s="1501" t="s">
        <v>34</v>
      </c>
      <c r="F18" s="1501"/>
      <c r="G18" s="1500" t="s">
        <v>106</v>
      </c>
      <c r="H18" s="1495"/>
      <c r="I18" s="1494" t="s">
        <v>118</v>
      </c>
      <c r="J18" s="1494"/>
      <c r="K18" s="1500" t="s">
        <v>121</v>
      </c>
      <c r="L18" s="1494"/>
      <c r="M18" s="1500" t="s">
        <v>127</v>
      </c>
      <c r="N18" s="1495"/>
      <c r="O18" s="1494" t="s">
        <v>174</v>
      </c>
      <c r="P18" s="1495"/>
      <c r="Q18" s="1494" t="s">
        <v>193</v>
      </c>
      <c r="R18" s="1495"/>
      <c r="S18" s="1494" t="s">
        <v>218</v>
      </c>
      <c r="T18" s="1495"/>
      <c r="U18" s="1494" t="s">
        <v>221</v>
      </c>
      <c r="V18" s="1495"/>
      <c r="W18" s="1500" t="s">
        <v>232</v>
      </c>
      <c r="X18" s="1495"/>
      <c r="Y18" s="1494" t="s">
        <v>241</v>
      </c>
      <c r="Z18" s="1508"/>
      <c r="AB18" s="1529" t="s">
        <v>134</v>
      </c>
      <c r="AC18" s="1530"/>
    </row>
    <row r="19" spans="1:29" ht="12" x14ac:dyDescent="0.2">
      <c r="B19" s="41" t="s">
        <v>7</v>
      </c>
      <c r="C19" s="132"/>
      <c r="D19" s="133"/>
      <c r="E19" s="16"/>
      <c r="F19" s="16"/>
      <c r="G19" s="260"/>
      <c r="H19" s="407"/>
      <c r="I19" s="387"/>
      <c r="J19" s="387"/>
      <c r="K19" s="260"/>
      <c r="L19" s="387"/>
      <c r="M19" s="260"/>
      <c r="N19" s="407"/>
      <c r="O19" s="387"/>
      <c r="P19" s="407"/>
      <c r="Q19" s="387"/>
      <c r="R19" s="407"/>
      <c r="S19" s="387"/>
      <c r="T19" s="407"/>
      <c r="U19" s="387"/>
      <c r="V19" s="407"/>
      <c r="W19" s="387"/>
      <c r="X19" s="407"/>
      <c r="Y19" s="387"/>
      <c r="Z19" s="230"/>
      <c r="AA19" s="657"/>
      <c r="AB19" s="660"/>
      <c r="AC19" s="656"/>
    </row>
    <row r="20" spans="1:29" ht="12" x14ac:dyDescent="0.2">
      <c r="B20" s="45" t="s">
        <v>8</v>
      </c>
      <c r="C20" s="134"/>
      <c r="D20" s="135"/>
      <c r="E20" s="7"/>
      <c r="F20" s="7"/>
      <c r="G20" s="261"/>
      <c r="H20" s="389"/>
      <c r="I20" s="231"/>
      <c r="J20" s="231"/>
      <c r="K20" s="261"/>
      <c r="L20" s="231"/>
      <c r="M20" s="261"/>
      <c r="N20" s="389"/>
      <c r="O20" s="231"/>
      <c r="P20" s="389"/>
      <c r="Q20" s="231"/>
      <c r="R20" s="389"/>
      <c r="S20" s="231"/>
      <c r="T20" s="389"/>
      <c r="U20" s="231"/>
      <c r="V20" s="389"/>
      <c r="W20" s="231"/>
      <c r="X20" s="389"/>
      <c r="Y20" s="231"/>
      <c r="Z20" s="104"/>
      <c r="AA20" s="657"/>
      <c r="AC20" s="652"/>
    </row>
    <row r="21" spans="1:29" ht="12" x14ac:dyDescent="0.2">
      <c r="B21" s="45" t="s">
        <v>9</v>
      </c>
      <c r="C21" s="134"/>
      <c r="D21" s="168">
        <v>141</v>
      </c>
      <c r="E21" s="7"/>
      <c r="F21" s="99">
        <v>111</v>
      </c>
      <c r="G21" s="261"/>
      <c r="H21" s="408">
        <v>93</v>
      </c>
      <c r="I21" s="231"/>
      <c r="J21" s="244">
        <v>0</v>
      </c>
      <c r="K21" s="261"/>
      <c r="L21" s="244">
        <v>0</v>
      </c>
      <c r="M21" s="261"/>
      <c r="N21" s="408">
        <v>0</v>
      </c>
      <c r="O21" s="231"/>
      <c r="P21" s="408">
        <v>0</v>
      </c>
      <c r="Q21" s="231"/>
      <c r="R21" s="408">
        <v>0</v>
      </c>
      <c r="S21" s="231"/>
      <c r="T21" s="408">
        <v>0</v>
      </c>
      <c r="U21" s="231"/>
      <c r="V21" s="408">
        <v>0</v>
      </c>
      <c r="W21" s="231"/>
      <c r="X21" s="408">
        <v>0</v>
      </c>
      <c r="Y21" s="231"/>
      <c r="Z21" s="1432"/>
      <c r="AA21" s="657"/>
      <c r="AB21" s="16"/>
      <c r="AC21" s="752">
        <f t="shared" ref="AC21:AC25" si="2">AVERAGE(X21,V21,T21,R21,Z21)</f>
        <v>0</v>
      </c>
    </row>
    <row r="22" spans="1:29" ht="12" x14ac:dyDescent="0.2">
      <c r="B22" s="45" t="s">
        <v>10</v>
      </c>
      <c r="C22" s="134"/>
      <c r="D22" s="168">
        <v>623</v>
      </c>
      <c r="E22" s="7"/>
      <c r="F22" s="99">
        <v>591</v>
      </c>
      <c r="G22" s="261"/>
      <c r="H22" s="408">
        <v>587</v>
      </c>
      <c r="I22" s="231"/>
      <c r="J22" s="244">
        <v>678</v>
      </c>
      <c r="K22" s="261"/>
      <c r="L22" s="244">
        <v>646</v>
      </c>
      <c r="M22" s="261"/>
      <c r="N22" s="408">
        <v>537</v>
      </c>
      <c r="O22" s="231"/>
      <c r="P22" s="408">
        <v>572</v>
      </c>
      <c r="Q22" s="231"/>
      <c r="R22" s="408">
        <v>611</v>
      </c>
      <c r="S22" s="231"/>
      <c r="T22" s="408">
        <v>710</v>
      </c>
      <c r="U22" s="231"/>
      <c r="V22" s="408">
        <v>618</v>
      </c>
      <c r="W22" s="231"/>
      <c r="X22" s="408">
        <v>780</v>
      </c>
      <c r="Y22" s="231"/>
      <c r="Z22" s="1432"/>
      <c r="AA22" s="657"/>
      <c r="AB22" s="7"/>
      <c r="AC22" s="752">
        <f t="shared" si="2"/>
        <v>679.75</v>
      </c>
    </row>
    <row r="23" spans="1:29" ht="12" x14ac:dyDescent="0.2">
      <c r="B23" s="45" t="s">
        <v>11</v>
      </c>
      <c r="C23" s="134"/>
      <c r="D23" s="168">
        <v>191</v>
      </c>
      <c r="E23" s="7"/>
      <c r="F23" s="99">
        <v>304</v>
      </c>
      <c r="G23" s="261"/>
      <c r="H23" s="408">
        <v>160</v>
      </c>
      <c r="I23" s="231"/>
      <c r="J23" s="244">
        <v>214</v>
      </c>
      <c r="K23" s="261"/>
      <c r="L23" s="244">
        <v>198</v>
      </c>
      <c r="M23" s="261"/>
      <c r="N23" s="408">
        <v>216</v>
      </c>
      <c r="O23" s="231"/>
      <c r="P23" s="408">
        <v>217</v>
      </c>
      <c r="Q23" s="231"/>
      <c r="R23" s="408">
        <v>225</v>
      </c>
      <c r="S23" s="231"/>
      <c r="T23" s="408">
        <v>239</v>
      </c>
      <c r="U23" s="231"/>
      <c r="V23" s="408">
        <v>286</v>
      </c>
      <c r="W23" s="231"/>
      <c r="X23" s="408">
        <v>253</v>
      </c>
      <c r="Y23" s="231"/>
      <c r="Z23" s="1432"/>
      <c r="AB23" s="748"/>
      <c r="AC23" s="752">
        <f t="shared" si="2"/>
        <v>250.75</v>
      </c>
    </row>
    <row r="24" spans="1:29" ht="12" x14ac:dyDescent="0.2">
      <c r="B24" s="45" t="s">
        <v>12</v>
      </c>
      <c r="C24" s="134"/>
      <c r="D24" s="136">
        <v>369</v>
      </c>
      <c r="E24" s="7"/>
      <c r="F24" s="12">
        <v>322</v>
      </c>
      <c r="G24" s="261"/>
      <c r="H24" s="217">
        <v>269</v>
      </c>
      <c r="I24" s="231"/>
      <c r="J24" s="105">
        <v>164</v>
      </c>
      <c r="K24" s="261"/>
      <c r="L24" s="105">
        <v>200</v>
      </c>
      <c r="M24" s="261"/>
      <c r="N24" s="217">
        <v>177</v>
      </c>
      <c r="O24" s="231"/>
      <c r="P24" s="217">
        <v>242</v>
      </c>
      <c r="Q24" s="231"/>
      <c r="R24" s="217">
        <v>242</v>
      </c>
      <c r="S24" s="231"/>
      <c r="T24" s="217">
        <v>155</v>
      </c>
      <c r="U24" s="231"/>
      <c r="V24" s="217">
        <v>163</v>
      </c>
      <c r="W24" s="231"/>
      <c r="X24" s="217">
        <v>243</v>
      </c>
      <c r="Y24" s="231"/>
      <c r="Z24" s="1433"/>
      <c r="AB24" s="748"/>
      <c r="AC24" s="752">
        <f t="shared" si="2"/>
        <v>200.75</v>
      </c>
    </row>
    <row r="25" spans="1:29" thickBot="1" x14ac:dyDescent="0.25">
      <c r="B25" s="46" t="s">
        <v>13</v>
      </c>
      <c r="C25" s="137"/>
      <c r="D25" s="178">
        <f>SUM(D21:D24)</f>
        <v>1324</v>
      </c>
      <c r="E25" s="59"/>
      <c r="F25" s="60">
        <f>SUM(F21:F24)</f>
        <v>1328</v>
      </c>
      <c r="G25" s="262"/>
      <c r="H25" s="432">
        <f>SUM(H21:H24)</f>
        <v>1109</v>
      </c>
      <c r="I25" s="404"/>
      <c r="J25" s="473">
        <f>SUM(J21:J24)</f>
        <v>1056</v>
      </c>
      <c r="K25" s="262"/>
      <c r="L25" s="473">
        <f>SUM(L21:L24)</f>
        <v>1044</v>
      </c>
      <c r="M25" s="262"/>
      <c r="N25" s="432">
        <v>930</v>
      </c>
      <c r="O25" s="404"/>
      <c r="P25" s="432">
        <f>SUM(P21:P24)</f>
        <v>1031</v>
      </c>
      <c r="Q25" s="404"/>
      <c r="R25" s="432">
        <f>SUM(R21:R24)</f>
        <v>1078</v>
      </c>
      <c r="S25" s="404"/>
      <c r="T25" s="432">
        <f>SUM(T21:T24)</f>
        <v>1104</v>
      </c>
      <c r="U25" s="404"/>
      <c r="V25" s="432">
        <f>SUM(V21:V24)</f>
        <v>1067</v>
      </c>
      <c r="W25" s="404"/>
      <c r="X25" s="432">
        <f>SUM(X21:X24)</f>
        <v>1276</v>
      </c>
      <c r="Y25" s="404"/>
      <c r="Z25" s="1434">
        <f>SUM(Z21:Z24)</f>
        <v>0</v>
      </c>
      <c r="AB25" s="659"/>
      <c r="AC25" s="859">
        <f t="shared" si="2"/>
        <v>905</v>
      </c>
    </row>
    <row r="26" spans="1:29" ht="14.25" thickTop="1" thickBot="1" x14ac:dyDescent="0.25">
      <c r="A26" s="652"/>
      <c r="B26" s="727" t="s">
        <v>150</v>
      </c>
      <c r="C26" s="1477" t="s">
        <v>35</v>
      </c>
      <c r="D26" s="1478"/>
      <c r="E26" s="1477" t="s">
        <v>36</v>
      </c>
      <c r="F26" s="1478"/>
      <c r="G26" s="1479" t="s">
        <v>122</v>
      </c>
      <c r="H26" s="1480"/>
      <c r="I26" s="1479" t="s">
        <v>123</v>
      </c>
      <c r="J26" s="1481"/>
      <c r="K26" s="1479" t="s">
        <v>148</v>
      </c>
      <c r="L26" s="1481"/>
      <c r="M26" s="1488" t="s">
        <v>149</v>
      </c>
      <c r="N26" s="1480"/>
      <c r="O26" s="1483" t="s">
        <v>175</v>
      </c>
      <c r="P26" s="1480"/>
      <c r="Q26" s="1483" t="s">
        <v>194</v>
      </c>
      <c r="R26" s="1480"/>
      <c r="S26" s="1483" t="s">
        <v>219</v>
      </c>
      <c r="T26" s="1480"/>
      <c r="U26" s="1483" t="s">
        <v>222</v>
      </c>
      <c r="V26" s="1480"/>
      <c r="W26" s="1483" t="s">
        <v>233</v>
      </c>
      <c r="X26" s="1480"/>
      <c r="Y26" s="1483" t="s">
        <v>242</v>
      </c>
      <c r="Z26" s="1511"/>
      <c r="AA26" s="652"/>
      <c r="AB26" s="693"/>
      <c r="AC26" s="694"/>
    </row>
    <row r="27" spans="1:29" x14ac:dyDescent="0.2">
      <c r="A27" s="652"/>
      <c r="B27" s="719" t="s">
        <v>135</v>
      </c>
      <c r="C27" s="1463">
        <v>0</v>
      </c>
      <c r="D27" s="1464"/>
      <c r="E27" s="1465">
        <v>0</v>
      </c>
      <c r="F27" s="1466"/>
      <c r="G27" s="1465">
        <v>0</v>
      </c>
      <c r="H27" s="1466"/>
      <c r="I27" s="1465">
        <v>0</v>
      </c>
      <c r="J27" s="1467"/>
      <c r="K27" s="696"/>
      <c r="L27" s="697">
        <v>0</v>
      </c>
      <c r="M27" s="698"/>
      <c r="N27" s="997">
        <v>0</v>
      </c>
      <c r="O27" s="995"/>
      <c r="P27" s="997">
        <v>0</v>
      </c>
      <c r="Q27" s="1019"/>
      <c r="R27" s="997">
        <v>0</v>
      </c>
      <c r="S27" s="1019"/>
      <c r="T27" s="997">
        <v>0</v>
      </c>
      <c r="U27" s="1019"/>
      <c r="V27" s="997">
        <v>0</v>
      </c>
      <c r="W27" s="1019"/>
      <c r="X27" s="997">
        <v>0</v>
      </c>
      <c r="Y27" s="1019"/>
      <c r="Z27" s="1241">
        <v>0</v>
      </c>
      <c r="AA27" s="699"/>
      <c r="AB27" s="848"/>
      <c r="AC27" s="743">
        <f t="shared" ref="AC27:AC28" si="3">AVERAGE(X27,V27,T27,R27,Z27)</f>
        <v>0</v>
      </c>
    </row>
    <row r="28" spans="1:29" x14ac:dyDescent="0.2">
      <c r="A28" s="652"/>
      <c r="B28" s="726" t="s">
        <v>136</v>
      </c>
      <c r="C28" s="1470">
        <v>0.28799999999999998</v>
      </c>
      <c r="D28" s="1471"/>
      <c r="E28" s="1472">
        <v>0.28799999999999998</v>
      </c>
      <c r="F28" s="1473"/>
      <c r="G28" s="1472">
        <v>0.26100000000000001</v>
      </c>
      <c r="H28" s="1473"/>
      <c r="I28" s="1472">
        <v>0.17100000000000001</v>
      </c>
      <c r="J28" s="1474"/>
      <c r="K28" s="701"/>
      <c r="L28" s="702">
        <v>0.20899999999999999</v>
      </c>
      <c r="M28" s="701"/>
      <c r="N28" s="998">
        <v>0.27600000000000002</v>
      </c>
      <c r="O28" s="996"/>
      <c r="P28" s="998">
        <v>0.29799999999999999</v>
      </c>
      <c r="Q28" s="1020"/>
      <c r="R28" s="998">
        <v>0.245</v>
      </c>
      <c r="S28" s="1020"/>
      <c r="T28" s="998">
        <v>0.17199999999999999</v>
      </c>
      <c r="U28" s="1020"/>
      <c r="V28" s="998">
        <v>0.255</v>
      </c>
      <c r="W28" s="1020"/>
      <c r="X28" s="998">
        <v>0.254</v>
      </c>
      <c r="Y28" s="1020"/>
      <c r="Z28" s="1242">
        <v>0.24299999999999999</v>
      </c>
      <c r="AA28" s="699"/>
      <c r="AB28" s="848"/>
      <c r="AC28" s="743">
        <f t="shared" si="3"/>
        <v>0.23380000000000001</v>
      </c>
    </row>
    <row r="29" spans="1:29" ht="13.5" customHeight="1" thickBot="1" x14ac:dyDescent="0.25">
      <c r="B29" s="703" t="s">
        <v>137</v>
      </c>
      <c r="C29" s="1468">
        <f>1-SUM(C27:D28)</f>
        <v>0.71199999999999997</v>
      </c>
      <c r="D29" s="1469"/>
      <c r="E29" s="1468">
        <f>1-SUM(E27:F28)</f>
        <v>0.71199999999999997</v>
      </c>
      <c r="F29" s="1469"/>
      <c r="G29" s="1468">
        <f>1-SUM(G27:H28)</f>
        <v>0.73899999999999999</v>
      </c>
      <c r="H29" s="1469"/>
      <c r="I29" s="1468">
        <f>1-SUM(I27:J28)</f>
        <v>0.82899999999999996</v>
      </c>
      <c r="J29" s="1469"/>
      <c r="K29" s="1468">
        <f>1-SUM(K27:L28)</f>
        <v>0.79100000000000004</v>
      </c>
      <c r="L29" s="1469"/>
      <c r="M29" s="1468">
        <f>1-SUM(M27:N28)</f>
        <v>0.72399999999999998</v>
      </c>
      <c r="N29" s="1469"/>
      <c r="O29" s="1468">
        <f>1-P28-P27</f>
        <v>0.70199999999999996</v>
      </c>
      <c r="P29" s="1469"/>
      <c r="Q29" s="1540">
        <f>1-R28-R27</f>
        <v>0.755</v>
      </c>
      <c r="R29" s="1491"/>
      <c r="S29" s="1490">
        <f>1-T27-T28</f>
        <v>0.82800000000000007</v>
      </c>
      <c r="T29" s="1491"/>
      <c r="U29" s="1490">
        <f>1-V27-V28</f>
        <v>0.745</v>
      </c>
      <c r="V29" s="1491"/>
      <c r="W29" s="1490">
        <f>1-X27-X28</f>
        <v>0.746</v>
      </c>
      <c r="X29" s="1491"/>
      <c r="Y29" s="1490">
        <f>1-Z27-Z28</f>
        <v>0.75700000000000001</v>
      </c>
      <c r="Z29" s="1491"/>
      <c r="AA29" s="699"/>
      <c r="AB29" s="1515">
        <f t="shared" ref="AB29" si="4">AVERAGE(W29,U29,S29,Q29,Y29)</f>
        <v>0.76619999999999999</v>
      </c>
      <c r="AC29" s="1516" t="e">
        <f t="shared" ref="AC29" si="5">AVERAGE(X29,V29,T29,R29,Z29)</f>
        <v>#DIV/0!</v>
      </c>
    </row>
    <row r="30" spans="1:29" thickTop="1" x14ac:dyDescent="0.2">
      <c r="A30" s="24"/>
      <c r="B30" s="65"/>
      <c r="C30" s="68"/>
      <c r="D30" s="67"/>
      <c r="E30" s="68"/>
      <c r="F30" s="67"/>
      <c r="G30" s="233"/>
      <c r="H30" s="234"/>
      <c r="I30" s="233"/>
      <c r="J30" s="234"/>
      <c r="K30" s="233"/>
      <c r="L30" s="234"/>
      <c r="M30" s="233"/>
      <c r="N30" s="234"/>
      <c r="O30" s="233"/>
      <c r="P30" s="234"/>
      <c r="Q30" s="233"/>
      <c r="R30" s="234"/>
      <c r="S30" s="233"/>
      <c r="T30" s="234"/>
      <c r="U30" s="233"/>
      <c r="V30" s="234"/>
      <c r="W30" s="233"/>
      <c r="X30" s="234"/>
      <c r="Y30" s="233"/>
      <c r="Z30" s="234"/>
    </row>
    <row r="31" spans="1:29" x14ac:dyDescent="0.2">
      <c r="A31" s="75" t="s">
        <v>56</v>
      </c>
      <c r="B31" s="61"/>
      <c r="C31" s="24"/>
      <c r="D31" s="24"/>
      <c r="E31" s="24"/>
      <c r="F31" s="24"/>
      <c r="G31" s="235"/>
      <c r="H31" s="235"/>
      <c r="I31" s="235"/>
      <c r="J31" s="235"/>
      <c r="K31" s="235"/>
      <c r="L31" s="235"/>
      <c r="M31" s="235"/>
      <c r="N31" s="235"/>
      <c r="O31" s="235"/>
      <c r="P31" s="235"/>
      <c r="Q31" s="235"/>
      <c r="R31" s="235"/>
      <c r="S31" s="235"/>
      <c r="T31" s="235"/>
      <c r="U31" s="235"/>
      <c r="V31" s="235"/>
      <c r="W31" s="235"/>
      <c r="X31" s="235"/>
      <c r="Y31" s="235"/>
      <c r="Z31" s="235"/>
    </row>
    <row r="32" spans="1:29" ht="13.5" thickBot="1" x14ac:dyDescent="0.25">
      <c r="A32" s="75"/>
      <c r="B32" s="70"/>
      <c r="C32" s="71"/>
      <c r="D32" s="71"/>
      <c r="E32" s="71"/>
      <c r="F32" s="71"/>
      <c r="G32" s="252"/>
      <c r="H32" s="252"/>
      <c r="I32" s="252"/>
      <c r="J32" s="252"/>
      <c r="K32" s="252"/>
      <c r="L32" s="252"/>
      <c r="M32" s="252"/>
      <c r="N32" s="252"/>
      <c r="O32" s="252"/>
      <c r="P32" s="252"/>
      <c r="Q32" s="252"/>
      <c r="R32" s="252"/>
      <c r="S32" s="252"/>
      <c r="T32" s="252"/>
      <c r="U32" s="252"/>
      <c r="V32" s="252"/>
      <c r="W32" s="252"/>
      <c r="X32" s="252"/>
      <c r="Y32" s="252"/>
      <c r="Z32" s="252"/>
      <c r="AB32" s="71"/>
      <c r="AC32" s="71"/>
    </row>
    <row r="33" spans="1:29" ht="14.25" thickTop="1" thickBot="1" x14ac:dyDescent="0.25">
      <c r="A33" s="782"/>
      <c r="B33" s="508" t="s">
        <v>57</v>
      </c>
      <c r="C33" s="1498" t="s">
        <v>33</v>
      </c>
      <c r="D33" s="1499"/>
      <c r="E33" s="1501" t="s">
        <v>34</v>
      </c>
      <c r="F33" s="1501"/>
      <c r="G33" s="1500" t="s">
        <v>106</v>
      </c>
      <c r="H33" s="1495"/>
      <c r="I33" s="1494" t="s">
        <v>118</v>
      </c>
      <c r="J33" s="1494"/>
      <c r="K33" s="1500" t="s">
        <v>121</v>
      </c>
      <c r="L33" s="1494"/>
      <c r="M33" s="1500" t="s">
        <v>127</v>
      </c>
      <c r="N33" s="1495"/>
      <c r="O33" s="1494" t="s">
        <v>174</v>
      </c>
      <c r="P33" s="1495"/>
      <c r="Q33" s="1494" t="s">
        <v>193</v>
      </c>
      <c r="R33" s="1495"/>
      <c r="S33" s="1494" t="s">
        <v>218</v>
      </c>
      <c r="T33" s="1495"/>
      <c r="U33" s="1494" t="s">
        <v>221</v>
      </c>
      <c r="V33" s="1495"/>
      <c r="W33" s="1494" t="s">
        <v>232</v>
      </c>
      <c r="X33" s="1495"/>
      <c r="Y33" s="1494" t="s">
        <v>241</v>
      </c>
      <c r="Z33" s="1508"/>
      <c r="AB33" s="1529" t="s">
        <v>134</v>
      </c>
      <c r="AC33" s="1530"/>
    </row>
    <row r="34" spans="1:29" x14ac:dyDescent="0.2">
      <c r="A34" s="782"/>
      <c r="B34" s="1043" t="s">
        <v>58</v>
      </c>
      <c r="C34" s="134"/>
      <c r="D34" s="135"/>
      <c r="E34" s="7"/>
      <c r="F34" s="7"/>
      <c r="G34" s="261"/>
      <c r="H34" s="389"/>
      <c r="I34" s="231"/>
      <c r="J34" s="231"/>
      <c r="K34" s="261"/>
      <c r="L34" s="231"/>
      <c r="M34" s="261"/>
      <c r="N34" s="389"/>
      <c r="O34" s="231"/>
      <c r="P34" s="389"/>
      <c r="Q34" s="231"/>
      <c r="R34" s="389"/>
      <c r="S34" s="231"/>
      <c r="T34" s="389"/>
      <c r="U34" s="231"/>
      <c r="V34" s="389"/>
      <c r="W34" s="231"/>
      <c r="X34" s="389"/>
      <c r="Y34" s="231"/>
      <c r="Z34" s="104"/>
      <c r="AB34" s="744"/>
      <c r="AC34" s="745"/>
    </row>
    <row r="35" spans="1:29" x14ac:dyDescent="0.2">
      <c r="A35" s="782"/>
      <c r="B35" s="1044" t="s">
        <v>59</v>
      </c>
      <c r="C35" s="132"/>
      <c r="D35" s="139">
        <v>230289</v>
      </c>
      <c r="E35" s="16"/>
      <c r="F35" s="153">
        <v>256780</v>
      </c>
      <c r="G35" s="260"/>
      <c r="H35" s="219">
        <v>265077</v>
      </c>
      <c r="I35" s="387"/>
      <c r="J35" s="488">
        <v>280226</v>
      </c>
      <c r="K35" s="260"/>
      <c r="L35" s="488">
        <v>291121</v>
      </c>
      <c r="M35" s="260"/>
      <c r="N35" s="219">
        <v>304176</v>
      </c>
      <c r="O35" s="387"/>
      <c r="P35" s="219">
        <v>302504</v>
      </c>
      <c r="Q35" s="387"/>
      <c r="R35" s="219">
        <v>308322</v>
      </c>
      <c r="S35" s="387"/>
      <c r="T35" s="219">
        <v>318080</v>
      </c>
      <c r="U35" s="387"/>
      <c r="V35" s="219">
        <v>327576</v>
      </c>
      <c r="W35" s="387"/>
      <c r="X35" s="219">
        <v>328195</v>
      </c>
      <c r="Y35" s="387"/>
      <c r="Z35" s="1353">
        <v>347604</v>
      </c>
      <c r="AA35" s="657"/>
      <c r="AB35" s="7"/>
      <c r="AC35" s="746">
        <f t="shared" ref="AC35" si="6">AVERAGE(X35,V35,T35,R35,Z35)</f>
        <v>325955.40000000002</v>
      </c>
    </row>
    <row r="36" spans="1:29" x14ac:dyDescent="0.2">
      <c r="A36" s="782"/>
      <c r="B36" s="1044" t="s">
        <v>196</v>
      </c>
      <c r="C36" s="132"/>
      <c r="D36" s="139"/>
      <c r="E36" s="16"/>
      <c r="F36" s="153"/>
      <c r="G36" s="260"/>
      <c r="H36" s="219"/>
      <c r="I36" s="387"/>
      <c r="J36" s="488"/>
      <c r="K36" s="260"/>
      <c r="L36" s="488"/>
      <c r="M36" s="260"/>
      <c r="N36" s="219"/>
      <c r="O36" s="387"/>
      <c r="P36" s="219"/>
      <c r="Q36" s="387"/>
      <c r="R36" s="219"/>
      <c r="S36" s="387"/>
      <c r="T36" s="219"/>
      <c r="U36" s="387"/>
      <c r="V36" s="219"/>
      <c r="W36" s="387"/>
      <c r="X36" s="219"/>
      <c r="Y36" s="387"/>
      <c r="Z36" s="1353"/>
      <c r="AA36" s="657"/>
      <c r="AB36" s="24"/>
      <c r="AC36" s="746"/>
    </row>
    <row r="37" spans="1:29" ht="36" x14ac:dyDescent="0.2">
      <c r="A37" s="782"/>
      <c r="B37" s="1045" t="s">
        <v>198</v>
      </c>
      <c r="C37" s="134"/>
      <c r="D37" s="180"/>
      <c r="E37" s="7"/>
      <c r="F37" s="187"/>
      <c r="G37" s="261"/>
      <c r="H37" s="433"/>
      <c r="I37" s="231"/>
      <c r="J37" s="313"/>
      <c r="K37" s="261"/>
      <c r="L37" s="313"/>
      <c r="M37" s="261"/>
      <c r="N37" s="433"/>
      <c r="O37" s="231"/>
      <c r="P37" s="433"/>
      <c r="Q37" s="231"/>
      <c r="R37" s="433"/>
      <c r="S37" s="231"/>
      <c r="T37" s="433"/>
      <c r="U37" s="231"/>
      <c r="V37" s="433"/>
      <c r="W37" s="231"/>
      <c r="X37" s="433"/>
      <c r="Y37" s="231"/>
      <c r="Z37" s="1347"/>
      <c r="AA37" s="657"/>
      <c r="AB37" s="748"/>
      <c r="AC37" s="746"/>
    </row>
    <row r="38" spans="1:29" x14ac:dyDescent="0.2">
      <c r="A38" s="782"/>
      <c r="B38" s="1046" t="s">
        <v>60</v>
      </c>
      <c r="C38" s="141"/>
      <c r="D38" s="181">
        <f>SUM(D35:D37)</f>
        <v>230289</v>
      </c>
      <c r="E38" s="59"/>
      <c r="F38" s="188">
        <f>SUM(F35:F37)</f>
        <v>256780</v>
      </c>
      <c r="G38" s="264"/>
      <c r="H38" s="434">
        <f>SUM(H35:H37)</f>
        <v>265077</v>
      </c>
      <c r="I38" s="388"/>
      <c r="J38" s="474">
        <f>SUM(J35:J37)</f>
        <v>280226</v>
      </c>
      <c r="K38" s="264"/>
      <c r="L38" s="474">
        <f>SUM(L35:L37)</f>
        <v>291121</v>
      </c>
      <c r="M38" s="264"/>
      <c r="N38" s="434">
        <f>SUM(N35:N37)</f>
        <v>304176</v>
      </c>
      <c r="O38" s="388"/>
      <c r="P38" s="434">
        <f>SUM(P35:P37)</f>
        <v>302504</v>
      </c>
      <c r="Q38" s="388"/>
      <c r="R38" s="434">
        <f>SUM(R35:R37)</f>
        <v>308322</v>
      </c>
      <c r="S38" s="388"/>
      <c r="T38" s="434">
        <f>SUM(T35:T37)</f>
        <v>318080</v>
      </c>
      <c r="U38" s="388"/>
      <c r="V38" s="434">
        <f>SUM(V35:V37)</f>
        <v>327576</v>
      </c>
      <c r="W38" s="388"/>
      <c r="X38" s="434">
        <f>SUM(X35:X37)</f>
        <v>328195</v>
      </c>
      <c r="Y38" s="388"/>
      <c r="Z38" s="1348">
        <f>SUM(Z35:Z37)</f>
        <v>347604</v>
      </c>
      <c r="AA38" s="657"/>
      <c r="AB38" s="16"/>
      <c r="AC38" s="746">
        <f t="shared" ref="AC38" si="7">AVERAGE(X38,V38,T38,R38,Z38)</f>
        <v>325955.40000000002</v>
      </c>
    </row>
    <row r="39" spans="1:29" x14ac:dyDescent="0.2">
      <c r="A39" s="782"/>
      <c r="B39" s="1043" t="s">
        <v>61</v>
      </c>
      <c r="C39" s="134"/>
      <c r="D39" s="180"/>
      <c r="E39" s="7"/>
      <c r="F39" s="187"/>
      <c r="G39" s="261"/>
      <c r="H39" s="433"/>
      <c r="I39" s="231"/>
      <c r="J39" s="313"/>
      <c r="K39" s="261"/>
      <c r="L39" s="313"/>
      <c r="M39" s="261"/>
      <c r="N39" s="433"/>
      <c r="O39" s="231"/>
      <c r="P39" s="433"/>
      <c r="Q39" s="231"/>
      <c r="R39" s="433"/>
      <c r="S39" s="231"/>
      <c r="T39" s="433"/>
      <c r="U39" s="231"/>
      <c r="V39" s="433"/>
      <c r="W39" s="231"/>
      <c r="X39" s="433"/>
      <c r="Y39" s="231"/>
      <c r="Z39" s="1347"/>
      <c r="AA39" s="657"/>
      <c r="AB39" s="7"/>
      <c r="AC39" s="746"/>
    </row>
    <row r="40" spans="1:29" x14ac:dyDescent="0.2">
      <c r="A40" s="782"/>
      <c r="B40" s="1044" t="s">
        <v>59</v>
      </c>
      <c r="C40" s="134"/>
      <c r="D40" s="180">
        <v>2318365</v>
      </c>
      <c r="E40" s="7"/>
      <c r="F40" s="187">
        <v>2500093</v>
      </c>
      <c r="G40" s="261"/>
      <c r="H40" s="433">
        <v>2593756</v>
      </c>
      <c r="I40" s="231"/>
      <c r="J40" s="313">
        <v>2723514</v>
      </c>
      <c r="K40" s="261"/>
      <c r="L40" s="313">
        <v>2665785</v>
      </c>
      <c r="M40" s="261"/>
      <c r="N40" s="433">
        <v>2810820</v>
      </c>
      <c r="O40" s="231"/>
      <c r="P40" s="433">
        <v>2604227</v>
      </c>
      <c r="Q40" s="231"/>
      <c r="R40" s="433">
        <v>2664821</v>
      </c>
      <c r="S40" s="231"/>
      <c r="T40" s="433">
        <v>2715980</v>
      </c>
      <c r="U40" s="231"/>
      <c r="V40" s="433">
        <v>2649248</v>
      </c>
      <c r="W40" s="231"/>
      <c r="X40" s="433">
        <v>2827481</v>
      </c>
      <c r="Y40" s="231"/>
      <c r="Z40" s="1347">
        <v>2985112</v>
      </c>
      <c r="AA40" s="657"/>
      <c r="AB40" s="748"/>
      <c r="AC40" s="746">
        <f t="shared" ref="AC40:AC44" si="8">AVERAGE(X40,V40,T40,R40,Z40)</f>
        <v>2768528.4</v>
      </c>
    </row>
    <row r="41" spans="1:29" x14ac:dyDescent="0.2">
      <c r="A41" s="782"/>
      <c r="B41" s="1044" t="s">
        <v>196</v>
      </c>
      <c r="C41" s="134"/>
      <c r="D41" s="180"/>
      <c r="E41" s="7"/>
      <c r="F41" s="187"/>
      <c r="G41" s="261"/>
      <c r="H41" s="433"/>
      <c r="I41" s="231"/>
      <c r="J41" s="313">
        <v>19000</v>
      </c>
      <c r="K41" s="261"/>
      <c r="L41" s="313">
        <v>19000</v>
      </c>
      <c r="M41" s="261"/>
      <c r="N41" s="433">
        <v>19000</v>
      </c>
      <c r="O41" s="231"/>
      <c r="P41" s="433">
        <v>19000</v>
      </c>
      <c r="Q41" s="231"/>
      <c r="R41" s="433">
        <v>19000</v>
      </c>
      <c r="S41" s="231"/>
      <c r="T41" s="433">
        <v>19000</v>
      </c>
      <c r="U41" s="231"/>
      <c r="V41" s="433">
        <v>19000</v>
      </c>
      <c r="W41" s="231"/>
      <c r="X41" s="433">
        <v>19000</v>
      </c>
      <c r="Y41" s="231"/>
      <c r="Z41" s="1347">
        <v>19000</v>
      </c>
      <c r="AA41" s="657"/>
      <c r="AC41" s="746">
        <f t="shared" si="8"/>
        <v>19000</v>
      </c>
    </row>
    <row r="42" spans="1:29" ht="36" x14ac:dyDescent="0.2">
      <c r="A42" s="782"/>
      <c r="B42" s="1045" t="s">
        <v>198</v>
      </c>
      <c r="C42" s="134"/>
      <c r="D42" s="180">
        <v>803003</v>
      </c>
      <c r="E42" s="7"/>
      <c r="F42" s="313">
        <v>470669</v>
      </c>
      <c r="G42" s="261"/>
      <c r="H42" s="433">
        <v>472650</v>
      </c>
      <c r="I42" s="231"/>
      <c r="J42" s="313">
        <v>464518</v>
      </c>
      <c r="K42" s="261"/>
      <c r="L42" s="313">
        <v>466477</v>
      </c>
      <c r="M42" s="261"/>
      <c r="N42" s="433">
        <v>298451</v>
      </c>
      <c r="O42" s="231"/>
      <c r="P42" s="433">
        <v>295458</v>
      </c>
      <c r="Q42" s="231"/>
      <c r="R42" s="433">
        <v>291510</v>
      </c>
      <c r="S42" s="231"/>
      <c r="T42" s="433">
        <v>293431</v>
      </c>
      <c r="U42" s="231"/>
      <c r="V42" s="433">
        <v>344487</v>
      </c>
      <c r="W42" s="231"/>
      <c r="X42" s="433">
        <v>330220</v>
      </c>
      <c r="Y42" s="231"/>
      <c r="Z42" s="1347">
        <v>335563</v>
      </c>
      <c r="AA42" s="657"/>
      <c r="AB42" s="748"/>
      <c r="AC42" s="746">
        <f t="shared" si="8"/>
        <v>319042.2</v>
      </c>
    </row>
    <row r="43" spans="1:29" x14ac:dyDescent="0.2">
      <c r="A43" s="782"/>
      <c r="B43" s="1046" t="s">
        <v>62</v>
      </c>
      <c r="C43" s="141"/>
      <c r="D43" s="181">
        <f>SUM(D40:D42)</f>
        <v>3121368</v>
      </c>
      <c r="E43" s="59"/>
      <c r="F43" s="188">
        <f>SUM(F40:F42)</f>
        <v>2970762</v>
      </c>
      <c r="G43" s="264"/>
      <c r="H43" s="434">
        <f>SUM(H40:H42)</f>
        <v>3066406</v>
      </c>
      <c r="I43" s="388"/>
      <c r="J43" s="474">
        <f>SUM(J40:J42)</f>
        <v>3207032</v>
      </c>
      <c r="K43" s="264"/>
      <c r="L43" s="474">
        <f>SUM(L40:L42)</f>
        <v>3151262</v>
      </c>
      <c r="M43" s="264"/>
      <c r="N43" s="434">
        <f>SUM(N40:N42)</f>
        <v>3128271</v>
      </c>
      <c r="O43" s="388"/>
      <c r="P43" s="434">
        <f>SUM(P40:P42)</f>
        <v>2918685</v>
      </c>
      <c r="Q43" s="388"/>
      <c r="R43" s="434">
        <f>SUM(R40:R42)</f>
        <v>2975331</v>
      </c>
      <c r="S43" s="388"/>
      <c r="T43" s="434">
        <f>SUM(T40:T42)</f>
        <v>3028411</v>
      </c>
      <c r="U43" s="388"/>
      <c r="V43" s="434">
        <f>SUM(V40:V42)</f>
        <v>3012735</v>
      </c>
      <c r="W43" s="388"/>
      <c r="X43" s="434">
        <f>SUM(X40:X42)</f>
        <v>3176701</v>
      </c>
      <c r="Y43" s="388"/>
      <c r="Z43" s="1348">
        <f>SUM(Z40:Z42)</f>
        <v>3339675</v>
      </c>
      <c r="AA43" s="657"/>
      <c r="AB43" s="318"/>
      <c r="AC43" s="746">
        <f t="shared" si="8"/>
        <v>3106570.6</v>
      </c>
    </row>
    <row r="44" spans="1:29" ht="13.5" thickBot="1" x14ac:dyDescent="0.25">
      <c r="A44" s="782"/>
      <c r="B44" s="1047" t="s">
        <v>63</v>
      </c>
      <c r="C44" s="134"/>
      <c r="D44" s="181">
        <f>SUM(D38,D43)</f>
        <v>3351657</v>
      </c>
      <c r="E44" s="7"/>
      <c r="F44" s="188">
        <f>SUM(F38,F43)</f>
        <v>3227542</v>
      </c>
      <c r="G44" s="261"/>
      <c r="H44" s="434">
        <f>SUM(H38,H43)</f>
        <v>3331483</v>
      </c>
      <c r="I44" s="231"/>
      <c r="J44" s="474">
        <f>SUM(J38,J43)</f>
        <v>3487258</v>
      </c>
      <c r="K44" s="261"/>
      <c r="L44" s="474">
        <f>SUM(L38,L43)</f>
        <v>3442383</v>
      </c>
      <c r="M44" s="261"/>
      <c r="N44" s="434">
        <f>SUM(N38,N43)</f>
        <v>3432447</v>
      </c>
      <c r="O44" s="231"/>
      <c r="P44" s="434">
        <f>SUM(P38,P43)</f>
        <v>3221189</v>
      </c>
      <c r="Q44" s="231"/>
      <c r="R44" s="434">
        <f>SUM(R38,R43)</f>
        <v>3283653</v>
      </c>
      <c r="S44" s="231"/>
      <c r="T44" s="434">
        <f>SUM(T38,T43)</f>
        <v>3346491</v>
      </c>
      <c r="U44" s="231"/>
      <c r="V44" s="434">
        <f>SUM(V38,V43)</f>
        <v>3340311</v>
      </c>
      <c r="W44" s="231"/>
      <c r="X44" s="434">
        <f>SUM(X38,X43)</f>
        <v>3504896</v>
      </c>
      <c r="Y44" s="231"/>
      <c r="Z44" s="1348">
        <f>SUM(Z38,Z43)</f>
        <v>3687279</v>
      </c>
      <c r="AA44" s="657"/>
      <c r="AB44" s="665"/>
      <c r="AC44" s="1189">
        <f t="shared" si="8"/>
        <v>3432526</v>
      </c>
    </row>
    <row r="45" spans="1:29" ht="12" x14ac:dyDescent="0.2">
      <c r="A45" s="652"/>
      <c r="B45" s="1048" t="s">
        <v>206</v>
      </c>
      <c r="C45" s="142"/>
      <c r="D45" s="143"/>
      <c r="E45" s="54"/>
      <c r="F45" s="54"/>
      <c r="G45" s="265"/>
      <c r="H45" s="435"/>
      <c r="I45" s="138"/>
      <c r="J45" s="138"/>
      <c r="K45" s="265"/>
      <c r="L45" s="138"/>
      <c r="M45" s="265"/>
      <c r="N45" s="435"/>
      <c r="O45" s="138"/>
      <c r="P45" s="435"/>
      <c r="Q45" s="138"/>
      <c r="R45" s="435"/>
      <c r="S45" s="138"/>
      <c r="T45" s="435"/>
      <c r="U45" s="138"/>
      <c r="V45" s="435"/>
      <c r="W45" s="138"/>
      <c r="X45" s="435"/>
      <c r="Y45" s="138"/>
      <c r="Z45" s="236"/>
      <c r="AA45" s="657"/>
      <c r="AB45" s="744"/>
      <c r="AC45" s="747"/>
    </row>
    <row r="46" spans="1:29" ht="11.45" customHeight="1" x14ac:dyDescent="0.2">
      <c r="A46" s="652"/>
      <c r="B46" s="45" t="s">
        <v>14</v>
      </c>
      <c r="C46" s="149"/>
      <c r="D46" s="182">
        <f>230852+24297</f>
        <v>255149</v>
      </c>
      <c r="E46" s="7"/>
      <c r="F46" s="328">
        <v>289001</v>
      </c>
      <c r="G46" s="261"/>
      <c r="H46" s="454">
        <v>270860.21999999997</v>
      </c>
      <c r="I46" s="231"/>
      <c r="J46" s="511">
        <v>358107</v>
      </c>
      <c r="K46" s="1037"/>
      <c r="L46" s="690">
        <v>343642</v>
      </c>
      <c r="M46" s="261"/>
      <c r="N46" s="1010">
        <v>326594</v>
      </c>
      <c r="O46" s="231"/>
      <c r="P46" s="1248">
        <v>320561</v>
      </c>
      <c r="Q46" s="327"/>
      <c r="R46" s="1247">
        <v>415300</v>
      </c>
      <c r="S46" s="327"/>
      <c r="T46" s="1247">
        <v>332618</v>
      </c>
      <c r="U46" s="327"/>
      <c r="V46" s="1247">
        <v>416631</v>
      </c>
      <c r="W46" s="327"/>
      <c r="X46" s="1248">
        <v>390299.05</v>
      </c>
      <c r="Y46" s="327"/>
      <c r="Z46" s="1330"/>
      <c r="AA46" s="657"/>
      <c r="AB46" s="748"/>
      <c r="AC46" s="854">
        <f>AVERAGE(X46,V46,T46,R46,P46)</f>
        <v>375081.81</v>
      </c>
    </row>
    <row r="47" spans="1:29" ht="11.45" customHeight="1" x14ac:dyDescent="0.2">
      <c r="A47" s="652"/>
      <c r="B47" s="1129" t="s">
        <v>15</v>
      </c>
      <c r="C47" s="147"/>
      <c r="D47" s="183">
        <f>1924517+311157+517390</f>
        <v>2753064</v>
      </c>
      <c r="E47" s="13"/>
      <c r="F47" s="386">
        <f>2308850+537195</f>
        <v>2846045</v>
      </c>
      <c r="G47" s="296"/>
      <c r="H47" s="503">
        <v>2840093</v>
      </c>
      <c r="I47" s="421"/>
      <c r="J47" s="327">
        <f>409751+2196782</f>
        <v>2606533</v>
      </c>
      <c r="K47" s="296"/>
      <c r="L47" s="328">
        <f>1899943+15848+47475+66233+250862+322432+15558+382845+41561</f>
        <v>3042757</v>
      </c>
      <c r="M47" s="296"/>
      <c r="N47" s="1117">
        <f>0+2545105+408271</f>
        <v>2953376</v>
      </c>
      <c r="O47" s="421"/>
      <c r="P47" s="454">
        <f>2188594+161103+471246+59092</f>
        <v>2880035</v>
      </c>
      <c r="Q47" s="327"/>
      <c r="R47" s="454">
        <f>189516.92+2174744.48+471030.79+85460.43</f>
        <v>2920752.62</v>
      </c>
      <c r="S47" s="327"/>
      <c r="T47" s="454">
        <f>28992.99+1916217.59+2824+482396.94+35284.05</f>
        <v>2465715.5699999998</v>
      </c>
      <c r="U47" s="327"/>
      <c r="V47" s="454">
        <v>3259290</v>
      </c>
      <c r="W47" s="327"/>
      <c r="X47" s="454">
        <v>2979180.74</v>
      </c>
      <c r="Y47" s="327"/>
      <c r="Z47" s="1323"/>
      <c r="AA47" s="657"/>
      <c r="AB47" s="318"/>
      <c r="AC47" s="854">
        <f>AVERAGE(X47,V47,T47,R47,P47)</f>
        <v>2900994.7859999998</v>
      </c>
    </row>
    <row r="48" spans="1:29" thickBot="1" x14ac:dyDescent="0.25">
      <c r="A48" s="652"/>
      <c r="B48" s="1130" t="s">
        <v>32</v>
      </c>
      <c r="C48" s="144"/>
      <c r="D48" s="157"/>
      <c r="E48" s="19"/>
      <c r="F48" s="306"/>
      <c r="G48" s="266"/>
      <c r="H48" s="436"/>
      <c r="I48" s="422"/>
      <c r="J48" s="332"/>
      <c r="K48" s="266"/>
      <c r="L48" s="332"/>
      <c r="M48" s="266"/>
      <c r="N48" s="436"/>
      <c r="O48" s="422"/>
      <c r="P48" s="436"/>
      <c r="Q48" s="422"/>
      <c r="R48" s="436"/>
      <c r="S48" s="422"/>
      <c r="T48" s="436"/>
      <c r="U48" s="422"/>
      <c r="V48" s="436"/>
      <c r="W48" s="422"/>
      <c r="X48" s="436"/>
      <c r="Y48" s="422"/>
      <c r="Z48" s="237"/>
      <c r="AA48" s="657"/>
      <c r="AB48" s="849"/>
      <c r="AC48" s="850"/>
    </row>
    <row r="49" spans="1:29" ht="12" x14ac:dyDescent="0.2">
      <c r="A49" s="652"/>
      <c r="B49" s="1131"/>
      <c r="C49" s="145" t="s">
        <v>97</v>
      </c>
      <c r="D49" s="146" t="s">
        <v>104</v>
      </c>
      <c r="E49" s="53" t="s">
        <v>97</v>
      </c>
      <c r="F49" s="155" t="s">
        <v>104</v>
      </c>
      <c r="G49" s="267" t="s">
        <v>97</v>
      </c>
      <c r="H49" s="437" t="s">
        <v>104</v>
      </c>
      <c r="I49" s="423" t="s">
        <v>97</v>
      </c>
      <c r="J49" s="475" t="s">
        <v>104</v>
      </c>
      <c r="K49" s="267" t="s">
        <v>97</v>
      </c>
      <c r="L49" s="475" t="s">
        <v>104</v>
      </c>
      <c r="M49" s="267" t="s">
        <v>97</v>
      </c>
      <c r="N49" s="437" t="s">
        <v>104</v>
      </c>
      <c r="O49" s="423" t="s">
        <v>97</v>
      </c>
      <c r="P49" s="437" t="s">
        <v>104</v>
      </c>
      <c r="Q49" s="423" t="s">
        <v>97</v>
      </c>
      <c r="R49" s="437" t="s">
        <v>104</v>
      </c>
      <c r="S49" s="423" t="s">
        <v>97</v>
      </c>
      <c r="T49" s="437" t="s">
        <v>104</v>
      </c>
      <c r="U49" s="423" t="s">
        <v>97</v>
      </c>
      <c r="V49" s="437" t="s">
        <v>104</v>
      </c>
      <c r="W49" s="423" t="s">
        <v>97</v>
      </c>
      <c r="X49" s="437" t="s">
        <v>104</v>
      </c>
      <c r="Y49" s="423" t="s">
        <v>97</v>
      </c>
      <c r="Z49" s="250" t="s">
        <v>104</v>
      </c>
      <c r="AA49" s="657"/>
      <c r="AB49" s="749" t="s">
        <v>97</v>
      </c>
      <c r="AC49" s="250" t="s">
        <v>104</v>
      </c>
    </row>
    <row r="50" spans="1:29" ht="12" x14ac:dyDescent="0.2">
      <c r="A50" s="652"/>
      <c r="B50" s="1072" t="s">
        <v>50</v>
      </c>
      <c r="C50" s="764">
        <v>60</v>
      </c>
      <c r="D50" s="642">
        <v>3698863.1</v>
      </c>
      <c r="E50" s="64">
        <v>52</v>
      </c>
      <c r="F50" s="574">
        <v>3392192.5</v>
      </c>
      <c r="G50" s="768">
        <v>36</v>
      </c>
      <c r="H50" s="503">
        <v>3638224</v>
      </c>
      <c r="I50" s="771">
        <v>33</v>
      </c>
      <c r="J50" s="641">
        <v>1657687.65</v>
      </c>
      <c r="K50" s="771">
        <v>36</v>
      </c>
      <c r="L50" s="573">
        <v>1667417</v>
      </c>
      <c r="M50" s="1093">
        <v>38</v>
      </c>
      <c r="N50" s="503">
        <v>2838165</v>
      </c>
      <c r="O50" s="1093">
        <v>39</v>
      </c>
      <c r="P50" s="503">
        <v>2843199</v>
      </c>
      <c r="Q50" s="1093">
        <v>50</v>
      </c>
      <c r="R50" s="503">
        <v>4493817</v>
      </c>
      <c r="S50" s="1093">
        <v>41</v>
      </c>
      <c r="T50" s="503">
        <v>2075431</v>
      </c>
      <c r="U50" s="1093">
        <v>44</v>
      </c>
      <c r="V50" s="503">
        <v>3409549</v>
      </c>
      <c r="W50" s="1093">
        <v>44</v>
      </c>
      <c r="X50" s="503">
        <v>1753990</v>
      </c>
      <c r="Y50" s="992"/>
      <c r="Z50" s="385"/>
      <c r="AA50" s="657"/>
      <c r="AB50" s="855">
        <f t="shared" ref="AB50" si="9">AVERAGE(W50,U50,S50,Q50,Y50)</f>
        <v>44.75</v>
      </c>
      <c r="AC50" s="854">
        <f t="shared" ref="AC50" si="10">AVERAGE(X50,V50,T50,R50,Z50)</f>
        <v>2933196.75</v>
      </c>
    </row>
    <row r="51" spans="1:29" ht="12" x14ac:dyDescent="0.2">
      <c r="A51" s="652"/>
      <c r="B51" s="1072"/>
      <c r="C51" s="765"/>
      <c r="D51" s="148"/>
      <c r="E51" s="767"/>
      <c r="F51" s="156"/>
      <c r="G51" s="769"/>
      <c r="H51" s="564"/>
      <c r="I51" s="772"/>
      <c r="J51" s="564"/>
      <c r="K51" s="772"/>
      <c r="L51" s="565"/>
      <c r="M51" s="1095"/>
      <c r="N51" s="644"/>
      <c r="O51" s="1095"/>
      <c r="P51" s="644"/>
      <c r="Q51" s="1095"/>
      <c r="R51" s="644"/>
      <c r="S51" s="1095"/>
      <c r="T51" s="644"/>
      <c r="U51" s="1095"/>
      <c r="V51" s="644"/>
      <c r="W51" s="1095"/>
      <c r="X51" s="644"/>
      <c r="Y51" s="1029"/>
      <c r="Z51" s="251"/>
      <c r="AA51" s="657"/>
      <c r="AB51" s="855"/>
      <c r="AC51" s="854"/>
    </row>
    <row r="52" spans="1:29" thickBot="1" x14ac:dyDescent="0.25">
      <c r="A52" s="652"/>
      <c r="B52" s="1073" t="s">
        <v>16</v>
      </c>
      <c r="C52" s="766">
        <v>46</v>
      </c>
      <c r="D52" s="157">
        <v>1670454</v>
      </c>
      <c r="E52" s="751">
        <v>35</v>
      </c>
      <c r="F52" s="537">
        <v>1507496.1</v>
      </c>
      <c r="G52" s="770">
        <v>29</v>
      </c>
      <c r="H52" s="604">
        <v>2784940</v>
      </c>
      <c r="I52" s="773">
        <v>42</v>
      </c>
      <c r="J52" s="604">
        <v>2848309</v>
      </c>
      <c r="K52" s="773">
        <v>30</v>
      </c>
      <c r="L52" s="575">
        <v>2075416</v>
      </c>
      <c r="M52" s="770">
        <v>30</v>
      </c>
      <c r="N52" s="632">
        <v>1560774</v>
      </c>
      <c r="O52" s="770">
        <v>33</v>
      </c>
      <c r="P52" s="632">
        <v>1898520</v>
      </c>
      <c r="Q52" s="770">
        <v>33</v>
      </c>
      <c r="R52" s="632">
        <v>2316683</v>
      </c>
      <c r="S52" s="770">
        <v>28</v>
      </c>
      <c r="T52" s="632">
        <v>1361623</v>
      </c>
      <c r="U52" s="770">
        <v>31</v>
      </c>
      <c r="V52" s="632">
        <v>1641243</v>
      </c>
      <c r="W52" s="770">
        <v>33</v>
      </c>
      <c r="X52" s="632">
        <v>2951497</v>
      </c>
      <c r="Y52" s="993"/>
      <c r="Z52" s="368"/>
      <c r="AA52" s="657"/>
      <c r="AB52" s="856">
        <f t="shared" ref="AB52" si="11">AVERAGE(W52,U52,S52,Q52,Y52)</f>
        <v>31.25</v>
      </c>
      <c r="AC52" s="854">
        <f t="shared" ref="AC52" si="12">AVERAGE(X52,V52,T52,R52,Z52)</f>
        <v>2067761.5</v>
      </c>
    </row>
    <row r="53" spans="1:29" ht="12" x14ac:dyDescent="0.2">
      <c r="A53" s="652"/>
      <c r="B53" s="1048" t="s">
        <v>68</v>
      </c>
      <c r="C53" s="185"/>
      <c r="D53" s="193"/>
      <c r="E53" s="94"/>
      <c r="F53" s="293"/>
      <c r="G53" s="297"/>
      <c r="H53" s="439"/>
      <c r="I53" s="424"/>
      <c r="J53" s="476"/>
      <c r="K53" s="297"/>
      <c r="L53" s="476"/>
      <c r="M53" s="297"/>
      <c r="N53" s="439"/>
      <c r="O53" s="424"/>
      <c r="P53" s="439"/>
      <c r="Q53" s="424"/>
      <c r="R53" s="439"/>
      <c r="S53" s="424"/>
      <c r="T53" s="439"/>
      <c r="U53" s="424"/>
      <c r="V53" s="439"/>
      <c r="W53" s="424"/>
      <c r="X53" s="439"/>
      <c r="Y53" s="424"/>
      <c r="Z53" s="238"/>
      <c r="AA53" s="657"/>
      <c r="AB53" s="851"/>
      <c r="AC53" s="852"/>
    </row>
    <row r="54" spans="1:29" ht="12" x14ac:dyDescent="0.2">
      <c r="A54" s="652"/>
      <c r="B54" s="1132" t="s">
        <v>69</v>
      </c>
      <c r="C54" s="186"/>
      <c r="D54" s="194"/>
      <c r="E54" s="25"/>
      <c r="F54" s="26"/>
      <c r="G54" s="269"/>
      <c r="H54" s="440"/>
      <c r="I54" s="239"/>
      <c r="J54" s="229"/>
      <c r="K54" s="269"/>
      <c r="L54" s="229"/>
      <c r="M54" s="269"/>
      <c r="N54" s="440"/>
      <c r="O54" s="239"/>
      <c r="P54" s="440"/>
      <c r="Q54" s="239"/>
      <c r="R54" s="440"/>
      <c r="S54" s="239"/>
      <c r="T54" s="440"/>
      <c r="U54" s="239"/>
      <c r="V54" s="440"/>
      <c r="W54" s="239"/>
      <c r="X54" s="440"/>
      <c r="Y54" s="239"/>
      <c r="Z54" s="240"/>
      <c r="AA54" s="657"/>
      <c r="AC54" s="652"/>
    </row>
    <row r="55" spans="1:29" ht="12" x14ac:dyDescent="0.2">
      <c r="A55" s="652"/>
      <c r="B55" s="1074" t="s">
        <v>70</v>
      </c>
      <c r="C55" s="149"/>
      <c r="D55" s="158">
        <v>12561.81</v>
      </c>
      <c r="E55" s="17"/>
      <c r="F55" s="294">
        <v>16891.09</v>
      </c>
      <c r="G55" s="268"/>
      <c r="H55" s="529">
        <v>27533.17</v>
      </c>
      <c r="I55" s="425"/>
      <c r="J55" s="536">
        <v>13489.44</v>
      </c>
      <c r="K55" s="268"/>
      <c r="L55" s="619">
        <v>26232.400000000001</v>
      </c>
      <c r="M55" s="268"/>
      <c r="N55" s="529">
        <v>25557</v>
      </c>
      <c r="O55" s="425"/>
      <c r="P55" s="529">
        <v>17942</v>
      </c>
      <c r="Q55" s="425"/>
      <c r="R55" s="529">
        <v>8546</v>
      </c>
      <c r="S55" s="425"/>
      <c r="T55" s="1010">
        <v>14805</v>
      </c>
      <c r="U55" s="425"/>
      <c r="V55" s="1010">
        <v>11279.3</v>
      </c>
      <c r="W55" s="425"/>
      <c r="X55" s="1010">
        <v>19134.68</v>
      </c>
      <c r="Y55" s="425"/>
      <c r="Z55" s="1334"/>
      <c r="AA55" s="657"/>
      <c r="AB55" s="318"/>
      <c r="AC55" s="750">
        <f t="shared" ref="AC55:AC56" si="13">AVERAGE(X55,V55,T55,R55,P55)</f>
        <v>14341.395999999999</v>
      </c>
    </row>
    <row r="56" spans="1:29" ht="14.25" customHeight="1" thickBot="1" x14ac:dyDescent="0.25">
      <c r="A56" s="652"/>
      <c r="B56" s="1075" t="s">
        <v>71</v>
      </c>
      <c r="C56" s="151"/>
      <c r="D56" s="159">
        <v>0</v>
      </c>
      <c r="E56" s="14"/>
      <c r="F56" s="307">
        <v>0</v>
      </c>
      <c r="G56" s="270"/>
      <c r="H56" s="451">
        <v>0</v>
      </c>
      <c r="I56" s="270"/>
      <c r="J56" s="307">
        <v>0</v>
      </c>
      <c r="K56" s="270"/>
      <c r="L56" s="307">
        <v>0</v>
      </c>
      <c r="M56" s="270"/>
      <c r="N56" s="455">
        <v>0</v>
      </c>
      <c r="O56" s="426"/>
      <c r="P56" s="455">
        <v>0</v>
      </c>
      <c r="Q56" s="426"/>
      <c r="R56" s="455">
        <v>0</v>
      </c>
      <c r="S56" s="426"/>
      <c r="T56" s="455">
        <v>0</v>
      </c>
      <c r="U56" s="426"/>
      <c r="V56" s="455">
        <v>0</v>
      </c>
      <c r="W56" s="426"/>
      <c r="X56" s="455">
        <v>0</v>
      </c>
      <c r="Y56" s="426"/>
      <c r="Z56" s="1326"/>
      <c r="AB56" s="659"/>
      <c r="AC56" s="854">
        <f t="shared" si="13"/>
        <v>0</v>
      </c>
    </row>
    <row r="57" spans="1:29" thickTop="1" x14ac:dyDescent="0.2">
      <c r="A57" s="24"/>
      <c r="B57" s="61"/>
      <c r="C57" s="25"/>
      <c r="D57" s="62"/>
      <c r="E57" s="25"/>
      <c r="F57" s="26"/>
      <c r="G57" s="239"/>
      <c r="H57" s="229"/>
      <c r="I57" s="239"/>
      <c r="J57" s="229"/>
      <c r="K57" s="239"/>
      <c r="L57" s="229"/>
      <c r="M57" s="623"/>
      <c r="N57" s="229"/>
      <c r="O57" s="623"/>
      <c r="P57" s="229"/>
      <c r="Q57" s="623"/>
      <c r="R57" s="229"/>
      <c r="S57" s="623"/>
      <c r="T57" s="229"/>
      <c r="U57" s="623"/>
      <c r="V57" s="229"/>
      <c r="W57" s="623"/>
      <c r="X57" s="229"/>
      <c r="Y57" s="623"/>
      <c r="Z57" s="229"/>
      <c r="AB57" s="66"/>
      <c r="AC57" s="664"/>
    </row>
    <row r="58" spans="1:29" x14ac:dyDescent="0.2">
      <c r="A58" s="75" t="s">
        <v>66</v>
      </c>
      <c r="B58" s="61"/>
      <c r="C58" s="25"/>
      <c r="D58" s="62"/>
      <c r="E58" s="25"/>
      <c r="F58" s="26"/>
      <c r="G58" s="239"/>
      <c r="H58" s="229"/>
      <c r="I58" s="239"/>
      <c r="J58" s="229"/>
      <c r="K58" s="239"/>
      <c r="L58" s="229"/>
      <c r="M58" s="239"/>
      <c r="N58" s="229"/>
      <c r="O58" s="239"/>
      <c r="P58" s="229"/>
      <c r="Q58" s="239"/>
      <c r="R58" s="229"/>
      <c r="S58" s="239"/>
      <c r="T58" s="229"/>
      <c r="U58" s="239"/>
      <c r="V58" s="229"/>
      <c r="W58" s="239"/>
      <c r="X58" s="229"/>
      <c r="Y58" s="239"/>
      <c r="Z58" s="229"/>
    </row>
    <row r="59" spans="1:29" thickBot="1" x14ac:dyDescent="0.25">
      <c r="A59" s="24"/>
      <c r="B59" s="61"/>
      <c r="C59" s="25"/>
      <c r="D59" s="62"/>
      <c r="E59" s="25"/>
      <c r="F59" s="26"/>
      <c r="G59" s="239"/>
      <c r="H59" s="229"/>
      <c r="I59" s="239"/>
      <c r="J59" s="229"/>
      <c r="K59" s="239"/>
      <c r="L59" s="229"/>
      <c r="M59" s="239"/>
      <c r="N59" s="229"/>
      <c r="O59" s="239"/>
      <c r="P59" s="229"/>
      <c r="Q59" s="239"/>
      <c r="R59" s="229"/>
      <c r="S59" s="239"/>
      <c r="T59" s="229"/>
      <c r="U59" s="239"/>
      <c r="V59" s="229"/>
      <c r="W59" s="239"/>
      <c r="X59" s="229"/>
      <c r="Y59" s="239"/>
      <c r="Z59" s="229"/>
      <c r="AB59" s="71"/>
    </row>
    <row r="60" spans="1:29" ht="13.5" thickTop="1" thickBot="1" x14ac:dyDescent="0.25">
      <c r="A60" s="652"/>
      <c r="B60" s="1055"/>
      <c r="C60" s="1498" t="s">
        <v>33</v>
      </c>
      <c r="D60" s="1499"/>
      <c r="E60" s="1501" t="s">
        <v>34</v>
      </c>
      <c r="F60" s="1501"/>
      <c r="G60" s="1500" t="s">
        <v>106</v>
      </c>
      <c r="H60" s="1495"/>
      <c r="I60" s="1494" t="s">
        <v>118</v>
      </c>
      <c r="J60" s="1494"/>
      <c r="K60" s="1500" t="s">
        <v>121</v>
      </c>
      <c r="L60" s="1494"/>
      <c r="M60" s="1500" t="s">
        <v>127</v>
      </c>
      <c r="N60" s="1495"/>
      <c r="O60" s="1494" t="s">
        <v>174</v>
      </c>
      <c r="P60" s="1495"/>
      <c r="Q60" s="1494" t="s">
        <v>193</v>
      </c>
      <c r="R60" s="1495"/>
      <c r="S60" s="1494" t="s">
        <v>218</v>
      </c>
      <c r="T60" s="1495"/>
      <c r="U60" s="1494" t="s">
        <v>221</v>
      </c>
      <c r="V60" s="1495"/>
      <c r="W60" s="1494" t="s">
        <v>232</v>
      </c>
      <c r="X60" s="1495"/>
      <c r="Y60" s="1494" t="s">
        <v>241</v>
      </c>
      <c r="Z60" s="1508"/>
      <c r="AB60" s="1521" t="s">
        <v>134</v>
      </c>
      <c r="AC60" s="1531"/>
    </row>
    <row r="61" spans="1:29" ht="12" x14ac:dyDescent="0.2">
      <c r="A61" s="652"/>
      <c r="B61" s="41" t="s">
        <v>37</v>
      </c>
      <c r="C61" s="132"/>
      <c r="D61" s="133"/>
      <c r="E61" s="16"/>
      <c r="F61" s="16"/>
      <c r="G61" s="260"/>
      <c r="H61" s="407"/>
      <c r="I61" s="387"/>
      <c r="J61" s="387"/>
      <c r="K61" s="260"/>
      <c r="L61" s="387"/>
      <c r="M61" s="260"/>
      <c r="N61" s="407"/>
      <c r="O61" s="387"/>
      <c r="P61" s="407"/>
      <c r="Q61" s="387"/>
      <c r="R61" s="407"/>
      <c r="S61" s="387"/>
      <c r="T61" s="407"/>
      <c r="U61" s="387"/>
      <c r="V61" s="407"/>
      <c r="W61" s="387"/>
      <c r="X61" s="407"/>
      <c r="Y61" s="387"/>
      <c r="Z61" s="230"/>
      <c r="AA61" s="657"/>
      <c r="AC61" s="652"/>
    </row>
    <row r="62" spans="1:29" ht="12" x14ac:dyDescent="0.2">
      <c r="A62" s="652"/>
      <c r="B62" s="98" t="s">
        <v>38</v>
      </c>
      <c r="C62" s="134"/>
      <c r="D62" s="168"/>
      <c r="E62" s="7"/>
      <c r="F62" s="99"/>
      <c r="G62" s="261"/>
      <c r="H62" s="408"/>
      <c r="I62" s="231"/>
      <c r="J62" s="244"/>
      <c r="K62" s="261"/>
      <c r="L62" s="244"/>
      <c r="M62" s="261"/>
      <c r="N62" s="408"/>
      <c r="O62" s="231"/>
      <c r="P62" s="408"/>
      <c r="Q62" s="231"/>
      <c r="R62" s="408"/>
      <c r="S62" s="231"/>
      <c r="T62" s="408"/>
      <c r="U62" s="231"/>
      <c r="V62" s="408"/>
      <c r="W62" s="231"/>
      <c r="X62" s="408"/>
      <c r="Y62" s="231"/>
      <c r="Z62" s="221"/>
      <c r="AA62" s="657"/>
      <c r="AC62" s="652"/>
    </row>
    <row r="63" spans="1:29" ht="12" x14ac:dyDescent="0.2">
      <c r="A63" s="652"/>
      <c r="B63" s="42" t="s">
        <v>39</v>
      </c>
      <c r="C63" s="134"/>
      <c r="D63" s="168">
        <v>0</v>
      </c>
      <c r="E63" s="7"/>
      <c r="F63" s="99">
        <v>0</v>
      </c>
      <c r="G63" s="261"/>
      <c r="H63" s="408">
        <v>1</v>
      </c>
      <c r="I63" s="231"/>
      <c r="J63" s="244">
        <v>2</v>
      </c>
      <c r="K63" s="261"/>
      <c r="L63" s="244">
        <v>2</v>
      </c>
      <c r="M63" s="261"/>
      <c r="N63" s="408">
        <v>2</v>
      </c>
      <c r="O63" s="231"/>
      <c r="P63" s="408">
        <v>1</v>
      </c>
      <c r="Q63" s="231"/>
      <c r="R63" s="408">
        <v>1</v>
      </c>
      <c r="S63" s="231"/>
      <c r="T63" s="408">
        <v>2</v>
      </c>
      <c r="U63" s="231"/>
      <c r="V63" s="408">
        <v>1</v>
      </c>
      <c r="W63" s="231"/>
      <c r="X63" s="408">
        <v>0</v>
      </c>
      <c r="Y63" s="231"/>
      <c r="Z63" s="221">
        <v>0</v>
      </c>
      <c r="AA63" s="657"/>
      <c r="AC63" s="658">
        <f t="shared" ref="AC63:AC64" si="14">AVERAGE(X63,V63,T63,R63,Z63)</f>
        <v>0.8</v>
      </c>
    </row>
    <row r="64" spans="1:29" ht="12" x14ac:dyDescent="0.2">
      <c r="A64" s="652"/>
      <c r="B64" s="42" t="s">
        <v>161</v>
      </c>
      <c r="C64" s="134"/>
      <c r="D64" s="168">
        <v>0</v>
      </c>
      <c r="E64" s="7"/>
      <c r="F64" s="99">
        <v>0</v>
      </c>
      <c r="G64" s="261"/>
      <c r="H64" s="408">
        <v>0</v>
      </c>
      <c r="I64" s="231"/>
      <c r="J64" s="244">
        <v>0</v>
      </c>
      <c r="K64" s="261"/>
      <c r="L64" s="244">
        <v>0</v>
      </c>
      <c r="M64" s="261"/>
      <c r="N64" s="408">
        <v>0</v>
      </c>
      <c r="O64" s="231"/>
      <c r="P64" s="408">
        <v>0</v>
      </c>
      <c r="Q64" s="231"/>
      <c r="R64" s="408">
        <v>0</v>
      </c>
      <c r="S64" s="231"/>
      <c r="T64" s="408">
        <v>0</v>
      </c>
      <c r="U64" s="231"/>
      <c r="V64" s="408">
        <v>0</v>
      </c>
      <c r="W64" s="231"/>
      <c r="X64" s="408">
        <v>0</v>
      </c>
      <c r="Y64" s="231"/>
      <c r="Z64" s="221">
        <v>0</v>
      </c>
      <c r="AA64" s="657"/>
      <c r="AB64" s="318"/>
      <c r="AC64" s="752">
        <f t="shared" si="14"/>
        <v>0</v>
      </c>
    </row>
    <row r="65" spans="1:29" ht="12" x14ac:dyDescent="0.2">
      <c r="A65" s="652"/>
      <c r="B65" s="98" t="s">
        <v>40</v>
      </c>
      <c r="C65" s="134"/>
      <c r="D65" s="136"/>
      <c r="E65" s="7"/>
      <c r="F65" s="12"/>
      <c r="G65" s="261"/>
      <c r="H65" s="217"/>
      <c r="I65" s="231"/>
      <c r="J65" s="105"/>
      <c r="K65" s="261"/>
      <c r="L65" s="105"/>
      <c r="M65" s="261"/>
      <c r="N65" s="217"/>
      <c r="O65" s="231"/>
      <c r="P65" s="217"/>
      <c r="Q65" s="231"/>
      <c r="R65" s="217"/>
      <c r="S65" s="231"/>
      <c r="T65" s="217"/>
      <c r="U65" s="231"/>
      <c r="V65" s="217"/>
      <c r="W65" s="231"/>
      <c r="X65" s="217"/>
      <c r="Y65" s="231"/>
      <c r="Z65" s="232"/>
      <c r="AA65" s="657"/>
      <c r="AB65" s="748"/>
      <c r="AC65" s="753"/>
    </row>
    <row r="66" spans="1:29" ht="12" x14ac:dyDescent="0.2">
      <c r="A66" s="652"/>
      <c r="B66" s="42" t="s">
        <v>39</v>
      </c>
      <c r="C66" s="134"/>
      <c r="D66" s="136">
        <v>19</v>
      </c>
      <c r="E66" s="7"/>
      <c r="F66" s="12">
        <v>19</v>
      </c>
      <c r="G66" s="261"/>
      <c r="H66" s="217">
        <v>20</v>
      </c>
      <c r="I66" s="231"/>
      <c r="J66" s="105">
        <v>17</v>
      </c>
      <c r="K66" s="261"/>
      <c r="L66" s="105">
        <v>16</v>
      </c>
      <c r="M66" s="261"/>
      <c r="N66" s="217">
        <v>17</v>
      </c>
      <c r="O66" s="231"/>
      <c r="P66" s="217">
        <v>18</v>
      </c>
      <c r="Q66" s="231"/>
      <c r="R66" s="217">
        <v>18</v>
      </c>
      <c r="S66" s="231"/>
      <c r="T66" s="217">
        <v>15</v>
      </c>
      <c r="U66" s="231"/>
      <c r="V66" s="217">
        <v>18</v>
      </c>
      <c r="W66" s="231"/>
      <c r="X66" s="217">
        <v>21</v>
      </c>
      <c r="Y66" s="231"/>
      <c r="Z66" s="232">
        <v>20</v>
      </c>
      <c r="AA66" s="657"/>
      <c r="AC66" s="658">
        <f t="shared" ref="AC66:AC68" si="15">AVERAGE(X66,V66,T66,R66,Z66)</f>
        <v>18.399999999999999</v>
      </c>
    </row>
    <row r="67" spans="1:29" ht="12" x14ac:dyDescent="0.2">
      <c r="A67" s="652"/>
      <c r="B67" s="680" t="s">
        <v>161</v>
      </c>
      <c r="C67" s="134"/>
      <c r="D67" s="136">
        <v>1</v>
      </c>
      <c r="E67" s="7"/>
      <c r="F67" s="12">
        <v>1</v>
      </c>
      <c r="G67" s="261"/>
      <c r="H67" s="217">
        <v>1</v>
      </c>
      <c r="I67" s="231"/>
      <c r="J67" s="105">
        <v>1</v>
      </c>
      <c r="K67" s="261"/>
      <c r="L67" s="105">
        <v>1</v>
      </c>
      <c r="M67" s="261"/>
      <c r="N67" s="217">
        <v>0</v>
      </c>
      <c r="O67" s="231"/>
      <c r="P67" s="217">
        <v>0</v>
      </c>
      <c r="Q67" s="231"/>
      <c r="R67" s="217">
        <v>0</v>
      </c>
      <c r="S67" s="231"/>
      <c r="T67" s="217">
        <v>0</v>
      </c>
      <c r="U67" s="231"/>
      <c r="V67" s="217">
        <v>0</v>
      </c>
      <c r="W67" s="231"/>
      <c r="X67" s="217">
        <v>0</v>
      </c>
      <c r="Y67" s="231"/>
      <c r="Z67" s="232">
        <v>0</v>
      </c>
      <c r="AA67" s="657"/>
      <c r="AB67" s="318"/>
      <c r="AC67" s="752">
        <f t="shared" si="15"/>
        <v>0</v>
      </c>
    </row>
    <row r="68" spans="1:29" thickBot="1" x14ac:dyDescent="0.25">
      <c r="A68" s="652"/>
      <c r="B68" s="1056" t="s">
        <v>13</v>
      </c>
      <c r="C68" s="196"/>
      <c r="D68" s="208">
        <f>SUM(D63:D67)</f>
        <v>20</v>
      </c>
      <c r="E68" s="120"/>
      <c r="F68" s="47">
        <f>SUM(F63:F67)</f>
        <v>20</v>
      </c>
      <c r="G68" s="288"/>
      <c r="H68" s="409">
        <v>22</v>
      </c>
      <c r="I68" s="396"/>
      <c r="J68" s="315">
        <f>SUM(J63:J67)</f>
        <v>20</v>
      </c>
      <c r="K68" s="288"/>
      <c r="L68" s="315">
        <f>SUM(L63:L67)</f>
        <v>19</v>
      </c>
      <c r="M68" s="288"/>
      <c r="N68" s="409">
        <f>SUM(N63:N67)</f>
        <v>19</v>
      </c>
      <c r="O68" s="396"/>
      <c r="P68" s="409">
        <f>SUM(P63:P67)</f>
        <v>19</v>
      </c>
      <c r="Q68" s="396"/>
      <c r="R68" s="409">
        <f>SUM(R63:R67)</f>
        <v>19</v>
      </c>
      <c r="S68" s="396"/>
      <c r="T68" s="409">
        <f>SUM(T63:T67)</f>
        <v>17</v>
      </c>
      <c r="U68" s="396"/>
      <c r="V68" s="409">
        <f>SUM(V63:V67)</f>
        <v>19</v>
      </c>
      <c r="W68" s="396"/>
      <c r="X68" s="409">
        <f>SUM(X63:X67)</f>
        <v>21</v>
      </c>
      <c r="Y68" s="396"/>
      <c r="Z68" s="1359">
        <f>SUM(Z63:Z67)</f>
        <v>20</v>
      </c>
      <c r="AB68" s="659"/>
      <c r="AC68" s="786">
        <f t="shared" si="15"/>
        <v>19.2</v>
      </c>
    </row>
    <row r="69" spans="1:29" thickTop="1" x14ac:dyDescent="0.2">
      <c r="A69" s="652"/>
      <c r="B69" s="710" t="s">
        <v>100</v>
      </c>
      <c r="C69" s="197" t="s">
        <v>97</v>
      </c>
      <c r="D69" s="198" t="s">
        <v>98</v>
      </c>
      <c r="E69" s="128" t="s">
        <v>97</v>
      </c>
      <c r="F69" s="195" t="s">
        <v>98</v>
      </c>
      <c r="G69" s="289" t="s">
        <v>97</v>
      </c>
      <c r="H69" s="441" t="s">
        <v>98</v>
      </c>
      <c r="I69" s="427" t="s">
        <v>97</v>
      </c>
      <c r="J69" s="477" t="s">
        <v>98</v>
      </c>
      <c r="K69" s="289" t="s">
        <v>97</v>
      </c>
      <c r="L69" s="477" t="s">
        <v>98</v>
      </c>
      <c r="M69" s="289" t="s">
        <v>97</v>
      </c>
      <c r="N69" s="441" t="s">
        <v>98</v>
      </c>
      <c r="O69" s="427" t="s">
        <v>97</v>
      </c>
      <c r="P69" s="441" t="s">
        <v>98</v>
      </c>
      <c r="Q69" s="427" t="s">
        <v>97</v>
      </c>
      <c r="R69" s="441" t="s">
        <v>98</v>
      </c>
      <c r="S69" s="427" t="s">
        <v>97</v>
      </c>
      <c r="T69" s="441" t="s">
        <v>98</v>
      </c>
      <c r="U69" s="427" t="s">
        <v>97</v>
      </c>
      <c r="V69" s="441" t="s">
        <v>98</v>
      </c>
      <c r="W69" s="427" t="s">
        <v>97</v>
      </c>
      <c r="X69" s="441" t="s">
        <v>98</v>
      </c>
      <c r="Y69" s="427" t="s">
        <v>97</v>
      </c>
      <c r="Z69" s="243" t="s">
        <v>98</v>
      </c>
      <c r="AB69" s="741" t="s">
        <v>97</v>
      </c>
      <c r="AC69" s="648" t="s">
        <v>98</v>
      </c>
    </row>
    <row r="70" spans="1:29" ht="12" x14ac:dyDescent="0.2">
      <c r="A70" s="652"/>
      <c r="B70" s="42" t="s">
        <v>81</v>
      </c>
      <c r="C70" s="199">
        <v>11</v>
      </c>
      <c r="D70" s="200">
        <f>C70/$D$68</f>
        <v>0.55000000000000004</v>
      </c>
      <c r="E70" s="125">
        <f>10+1</f>
        <v>11</v>
      </c>
      <c r="F70" s="206">
        <f t="shared" ref="F70:F77" si="16">E70/$F$68</f>
        <v>0.55000000000000004</v>
      </c>
      <c r="G70" s="199">
        <v>13</v>
      </c>
      <c r="H70" s="372">
        <f>G70/$H$68</f>
        <v>0.59090909090909094</v>
      </c>
      <c r="I70" s="359">
        <v>13</v>
      </c>
      <c r="J70" s="485">
        <f t="shared" ref="J70:J77" si="17">I70/$J$68</f>
        <v>0.65</v>
      </c>
      <c r="K70" s="359">
        <v>12</v>
      </c>
      <c r="L70" s="485">
        <f t="shared" ref="L70:L77" si="18">K70/$L$68</f>
        <v>0.63157894736842102</v>
      </c>
      <c r="M70" s="359">
        <v>13</v>
      </c>
      <c r="N70" s="372">
        <f t="shared" ref="N70:N75" si="19">M70/N$68</f>
        <v>0.68421052631578949</v>
      </c>
      <c r="O70" s="353">
        <v>13</v>
      </c>
      <c r="P70" s="372">
        <f t="shared" ref="P70:P75" si="20">O70/P$68</f>
        <v>0.68421052631578949</v>
      </c>
      <c r="Q70" s="353">
        <v>13</v>
      </c>
      <c r="R70" s="372">
        <f t="shared" ref="R70:T77" si="21">Q70/R$68</f>
        <v>0.68421052631578949</v>
      </c>
      <c r="S70" s="353">
        <f>12</f>
        <v>12</v>
      </c>
      <c r="T70" s="372">
        <f t="shared" si="21"/>
        <v>0.70588235294117652</v>
      </c>
      <c r="U70" s="353">
        <v>13</v>
      </c>
      <c r="V70" s="372">
        <f t="shared" ref="V70:V77" si="22">U70/V$68</f>
        <v>0.68421052631578949</v>
      </c>
      <c r="W70" s="353">
        <v>13</v>
      </c>
      <c r="X70" s="372">
        <f t="shared" ref="X70:X77" si="23">W70/X$68</f>
        <v>0.61904761904761907</v>
      </c>
      <c r="Y70" s="353">
        <v>14</v>
      </c>
      <c r="Z70" s="1397">
        <f t="shared" ref="Z70:Z77" si="24">Y70/Z$68</f>
        <v>0.7</v>
      </c>
      <c r="AB70" s="687">
        <f t="shared" ref="AB70:AB77" si="25">AVERAGE(W70,U70,S70,Q70,Y70)</f>
        <v>13</v>
      </c>
      <c r="AC70" s="685">
        <f t="shared" ref="AC70:AC77" si="26">AVERAGE(X70,V70,T70,R70,Z70)</f>
        <v>0.67867020492407482</v>
      </c>
    </row>
    <row r="71" spans="1:29" ht="12" x14ac:dyDescent="0.2">
      <c r="A71" s="652"/>
      <c r="B71" s="1057" t="s">
        <v>82</v>
      </c>
      <c r="C71" s="199">
        <v>0</v>
      </c>
      <c r="D71" s="200">
        <f t="shared" ref="D71:D89" si="27">C71/$D$68</f>
        <v>0</v>
      </c>
      <c r="E71" s="125">
        <v>0</v>
      </c>
      <c r="F71" s="206">
        <f t="shared" si="16"/>
        <v>0</v>
      </c>
      <c r="G71" s="199">
        <v>0</v>
      </c>
      <c r="H71" s="372">
        <f t="shared" ref="H71:H77" si="28">G71/$H$68</f>
        <v>0</v>
      </c>
      <c r="I71" s="359">
        <v>0</v>
      </c>
      <c r="J71" s="485">
        <f t="shared" si="17"/>
        <v>0</v>
      </c>
      <c r="K71" s="359">
        <v>0</v>
      </c>
      <c r="L71" s="485">
        <f t="shared" si="18"/>
        <v>0</v>
      </c>
      <c r="M71" s="359">
        <v>0</v>
      </c>
      <c r="N71" s="372">
        <f t="shared" si="19"/>
        <v>0</v>
      </c>
      <c r="O71" s="353">
        <v>0</v>
      </c>
      <c r="P71" s="372">
        <f t="shared" si="20"/>
        <v>0</v>
      </c>
      <c r="Q71" s="353">
        <v>0</v>
      </c>
      <c r="R71" s="372">
        <f t="shared" si="21"/>
        <v>0</v>
      </c>
      <c r="S71" s="353">
        <f>0</f>
        <v>0</v>
      </c>
      <c r="T71" s="372">
        <f t="shared" si="21"/>
        <v>0</v>
      </c>
      <c r="U71" s="353">
        <v>0</v>
      </c>
      <c r="V71" s="372">
        <f t="shared" si="22"/>
        <v>0</v>
      </c>
      <c r="W71" s="353">
        <v>0</v>
      </c>
      <c r="X71" s="372">
        <f t="shared" si="23"/>
        <v>0</v>
      </c>
      <c r="Y71" s="353">
        <v>0</v>
      </c>
      <c r="Z71" s="1397">
        <f t="shared" si="24"/>
        <v>0</v>
      </c>
      <c r="AA71" s="657"/>
      <c r="AB71" s="803">
        <f t="shared" si="25"/>
        <v>0</v>
      </c>
      <c r="AC71" s="685">
        <f t="shared" si="26"/>
        <v>0</v>
      </c>
    </row>
    <row r="72" spans="1:29" ht="12" x14ac:dyDescent="0.2">
      <c r="A72" s="652"/>
      <c r="B72" s="1057" t="s">
        <v>83</v>
      </c>
      <c r="C72" s="199">
        <v>1</v>
      </c>
      <c r="D72" s="200">
        <f t="shared" si="27"/>
        <v>0.05</v>
      </c>
      <c r="E72" s="125">
        <v>1</v>
      </c>
      <c r="F72" s="206">
        <f t="shared" si="16"/>
        <v>0.05</v>
      </c>
      <c r="G72" s="199">
        <v>1</v>
      </c>
      <c r="H72" s="372">
        <f t="shared" si="28"/>
        <v>4.5454545454545456E-2</v>
      </c>
      <c r="I72" s="359">
        <v>1</v>
      </c>
      <c r="J72" s="485">
        <f t="shared" si="17"/>
        <v>0.05</v>
      </c>
      <c r="K72" s="359">
        <v>1</v>
      </c>
      <c r="L72" s="485">
        <f t="shared" si="18"/>
        <v>5.2631578947368418E-2</v>
      </c>
      <c r="M72" s="359">
        <v>0</v>
      </c>
      <c r="N72" s="372">
        <f t="shared" si="19"/>
        <v>0</v>
      </c>
      <c r="O72" s="353">
        <v>0</v>
      </c>
      <c r="P72" s="372">
        <f t="shared" si="20"/>
        <v>0</v>
      </c>
      <c r="Q72" s="353">
        <v>1</v>
      </c>
      <c r="R72" s="372">
        <f t="shared" si="21"/>
        <v>5.2631578947368418E-2</v>
      </c>
      <c r="S72" s="353">
        <f>1</f>
        <v>1</v>
      </c>
      <c r="T72" s="372">
        <f t="shared" si="21"/>
        <v>5.8823529411764705E-2</v>
      </c>
      <c r="U72" s="353">
        <v>1</v>
      </c>
      <c r="V72" s="372">
        <f t="shared" si="22"/>
        <v>5.2631578947368418E-2</v>
      </c>
      <c r="W72" s="353">
        <v>1</v>
      </c>
      <c r="X72" s="372">
        <f t="shared" si="23"/>
        <v>4.7619047619047616E-2</v>
      </c>
      <c r="Y72" s="353">
        <v>1</v>
      </c>
      <c r="Z72" s="1397">
        <f t="shared" si="24"/>
        <v>0.05</v>
      </c>
      <c r="AA72" s="657"/>
      <c r="AB72" s="803">
        <f t="shared" si="25"/>
        <v>1</v>
      </c>
      <c r="AC72" s="685">
        <f t="shared" si="26"/>
        <v>5.2341146985109832E-2</v>
      </c>
    </row>
    <row r="73" spans="1:29" ht="12" x14ac:dyDescent="0.2">
      <c r="A73" s="652"/>
      <c r="B73" s="1057" t="s">
        <v>84</v>
      </c>
      <c r="C73" s="199">
        <v>1</v>
      </c>
      <c r="D73" s="200">
        <f t="shared" si="27"/>
        <v>0.05</v>
      </c>
      <c r="E73" s="125">
        <v>1</v>
      </c>
      <c r="F73" s="206">
        <f t="shared" si="16"/>
        <v>0.05</v>
      </c>
      <c r="G73" s="199">
        <v>1</v>
      </c>
      <c r="H73" s="372">
        <f t="shared" si="28"/>
        <v>4.5454545454545456E-2</v>
      </c>
      <c r="I73" s="359">
        <v>1</v>
      </c>
      <c r="J73" s="485">
        <f t="shared" si="17"/>
        <v>0.05</v>
      </c>
      <c r="K73" s="359">
        <v>1</v>
      </c>
      <c r="L73" s="485">
        <f t="shared" si="18"/>
        <v>5.2631578947368418E-2</v>
      </c>
      <c r="M73" s="359">
        <v>1</v>
      </c>
      <c r="N73" s="372">
        <f t="shared" si="19"/>
        <v>5.2631578947368418E-2</v>
      </c>
      <c r="O73" s="353">
        <v>1</v>
      </c>
      <c r="P73" s="372">
        <f t="shared" si="20"/>
        <v>5.2631578947368418E-2</v>
      </c>
      <c r="Q73" s="353">
        <v>1</v>
      </c>
      <c r="R73" s="372">
        <f t="shared" si="21"/>
        <v>5.2631578947368418E-2</v>
      </c>
      <c r="S73" s="353">
        <f>1</f>
        <v>1</v>
      </c>
      <c r="T73" s="372">
        <f t="shared" si="21"/>
        <v>5.8823529411764705E-2</v>
      </c>
      <c r="U73" s="353">
        <v>1</v>
      </c>
      <c r="V73" s="372">
        <f t="shared" si="22"/>
        <v>5.2631578947368418E-2</v>
      </c>
      <c r="W73" s="353">
        <v>1</v>
      </c>
      <c r="X73" s="372">
        <f t="shared" si="23"/>
        <v>4.7619047619047616E-2</v>
      </c>
      <c r="Y73" s="353">
        <v>1</v>
      </c>
      <c r="Z73" s="1397">
        <f t="shared" si="24"/>
        <v>0.05</v>
      </c>
      <c r="AA73" s="657"/>
      <c r="AB73" s="803">
        <f t="shared" si="25"/>
        <v>1</v>
      </c>
      <c r="AC73" s="685">
        <f t="shared" si="26"/>
        <v>5.2341146985109832E-2</v>
      </c>
    </row>
    <row r="74" spans="1:29" ht="12" x14ac:dyDescent="0.2">
      <c r="A74" s="652"/>
      <c r="B74" s="1057" t="s">
        <v>85</v>
      </c>
      <c r="C74" s="199">
        <v>4</v>
      </c>
      <c r="D74" s="200">
        <f t="shared" si="27"/>
        <v>0.2</v>
      </c>
      <c r="E74" s="125">
        <v>4</v>
      </c>
      <c r="F74" s="206">
        <f t="shared" si="16"/>
        <v>0.2</v>
      </c>
      <c r="G74" s="199">
        <v>5</v>
      </c>
      <c r="H74" s="372">
        <f t="shared" si="28"/>
        <v>0.22727272727272727</v>
      </c>
      <c r="I74" s="359">
        <v>4</v>
      </c>
      <c r="J74" s="485">
        <f t="shared" si="17"/>
        <v>0.2</v>
      </c>
      <c r="K74" s="359">
        <v>4</v>
      </c>
      <c r="L74" s="485">
        <f t="shared" si="18"/>
        <v>0.21052631578947367</v>
      </c>
      <c r="M74" s="359">
        <v>4</v>
      </c>
      <c r="N74" s="372">
        <f t="shared" si="19"/>
        <v>0.21052631578947367</v>
      </c>
      <c r="O74" s="353">
        <v>4</v>
      </c>
      <c r="P74" s="372">
        <f t="shared" si="20"/>
        <v>0.21052631578947367</v>
      </c>
      <c r="Q74" s="353">
        <v>4</v>
      </c>
      <c r="R74" s="372">
        <f t="shared" si="21"/>
        <v>0.21052631578947367</v>
      </c>
      <c r="S74" s="353">
        <f>3</f>
        <v>3</v>
      </c>
      <c r="T74" s="372">
        <f t="shared" si="21"/>
        <v>0.17647058823529413</v>
      </c>
      <c r="U74" s="353">
        <v>3</v>
      </c>
      <c r="V74" s="372">
        <f t="shared" si="22"/>
        <v>0.15789473684210525</v>
      </c>
      <c r="W74" s="353">
        <v>5</v>
      </c>
      <c r="X74" s="372">
        <f t="shared" si="23"/>
        <v>0.23809523809523808</v>
      </c>
      <c r="Y74" s="353">
        <v>4</v>
      </c>
      <c r="Z74" s="1397">
        <f t="shared" si="24"/>
        <v>0.2</v>
      </c>
      <c r="AA74" s="657"/>
      <c r="AB74" s="803">
        <f t="shared" si="25"/>
        <v>3.8</v>
      </c>
      <c r="AC74" s="685">
        <f t="shared" si="26"/>
        <v>0.19659737579242226</v>
      </c>
    </row>
    <row r="75" spans="1:29" ht="12" x14ac:dyDescent="0.2">
      <c r="A75" s="652"/>
      <c r="B75" s="1057" t="s">
        <v>86</v>
      </c>
      <c r="C75" s="199">
        <v>3</v>
      </c>
      <c r="D75" s="200">
        <f t="shared" si="27"/>
        <v>0.15</v>
      </c>
      <c r="E75" s="125">
        <v>3</v>
      </c>
      <c r="F75" s="206">
        <f t="shared" si="16"/>
        <v>0.15</v>
      </c>
      <c r="G75" s="199">
        <v>2</v>
      </c>
      <c r="H75" s="372">
        <f t="shared" si="28"/>
        <v>9.0909090909090912E-2</v>
      </c>
      <c r="I75" s="359">
        <v>1</v>
      </c>
      <c r="J75" s="485">
        <f t="shared" si="17"/>
        <v>0.05</v>
      </c>
      <c r="K75" s="359">
        <v>1</v>
      </c>
      <c r="L75" s="485">
        <f t="shared" si="18"/>
        <v>5.2631578947368418E-2</v>
      </c>
      <c r="M75" s="359">
        <v>1</v>
      </c>
      <c r="N75" s="372">
        <f t="shared" si="19"/>
        <v>5.2631578947368418E-2</v>
      </c>
      <c r="O75" s="353">
        <v>1</v>
      </c>
      <c r="P75" s="372">
        <f t="shared" si="20"/>
        <v>5.2631578947368418E-2</v>
      </c>
      <c r="Q75" s="353">
        <v>0</v>
      </c>
      <c r="R75" s="372">
        <f t="shared" si="21"/>
        <v>0</v>
      </c>
      <c r="S75" s="353">
        <f>0</f>
        <v>0</v>
      </c>
      <c r="T75" s="372">
        <f t="shared" si="21"/>
        <v>0</v>
      </c>
      <c r="U75" s="353">
        <v>1</v>
      </c>
      <c r="V75" s="372">
        <f t="shared" si="22"/>
        <v>5.2631578947368418E-2</v>
      </c>
      <c r="W75" s="353">
        <v>1</v>
      </c>
      <c r="X75" s="372">
        <f t="shared" si="23"/>
        <v>4.7619047619047616E-2</v>
      </c>
      <c r="Y75" s="353">
        <v>0</v>
      </c>
      <c r="Z75" s="1397">
        <f t="shared" si="24"/>
        <v>0</v>
      </c>
      <c r="AA75" s="657"/>
      <c r="AB75" s="803">
        <f t="shared" si="25"/>
        <v>0.4</v>
      </c>
      <c r="AC75" s="685">
        <f t="shared" si="26"/>
        <v>2.0050125313283207E-2</v>
      </c>
    </row>
    <row r="76" spans="1:29" ht="12" x14ac:dyDescent="0.2">
      <c r="A76" s="652"/>
      <c r="B76" s="1057" t="s">
        <v>201</v>
      </c>
      <c r="C76" s="201"/>
      <c r="D76" s="200"/>
      <c r="E76" s="126"/>
      <c r="F76" s="206"/>
      <c r="G76" s="1252"/>
      <c r="H76" s="1253"/>
      <c r="I76" s="1258"/>
      <c r="J76" s="1259"/>
      <c r="K76" s="1258"/>
      <c r="L76" s="1259"/>
      <c r="M76" s="1258"/>
      <c r="N76" s="1253"/>
      <c r="O76" s="1260"/>
      <c r="P76" s="1253"/>
      <c r="Q76" s="360">
        <v>0</v>
      </c>
      <c r="R76" s="372">
        <f t="shared" si="21"/>
        <v>0</v>
      </c>
      <c r="S76" s="360">
        <f>0</f>
        <v>0</v>
      </c>
      <c r="T76" s="372">
        <f t="shared" si="21"/>
        <v>0</v>
      </c>
      <c r="U76" s="360">
        <v>0</v>
      </c>
      <c r="V76" s="372">
        <f t="shared" si="22"/>
        <v>0</v>
      </c>
      <c r="W76" s="360">
        <v>0</v>
      </c>
      <c r="X76" s="372">
        <f t="shared" si="23"/>
        <v>0</v>
      </c>
      <c r="Y76" s="360">
        <v>0</v>
      </c>
      <c r="Z76" s="1397">
        <f t="shared" si="24"/>
        <v>0</v>
      </c>
      <c r="AA76" s="657"/>
      <c r="AB76" s="803">
        <f t="shared" si="25"/>
        <v>0</v>
      </c>
      <c r="AC76" s="685">
        <f t="shared" si="26"/>
        <v>0</v>
      </c>
    </row>
    <row r="77" spans="1:29" ht="12" x14ac:dyDescent="0.2">
      <c r="A77" s="652"/>
      <c r="B77" s="1057" t="s">
        <v>87</v>
      </c>
      <c r="C77" s="201">
        <v>0</v>
      </c>
      <c r="D77" s="200">
        <f t="shared" si="27"/>
        <v>0</v>
      </c>
      <c r="E77" s="126">
        <v>0</v>
      </c>
      <c r="F77" s="206">
        <f t="shared" si="16"/>
        <v>0</v>
      </c>
      <c r="G77" s="201">
        <v>0</v>
      </c>
      <c r="H77" s="372">
        <f t="shared" si="28"/>
        <v>0</v>
      </c>
      <c r="I77" s="359">
        <v>0</v>
      </c>
      <c r="J77" s="485">
        <f t="shared" si="17"/>
        <v>0</v>
      </c>
      <c r="K77" s="359">
        <v>0</v>
      </c>
      <c r="L77" s="485">
        <f t="shared" si="18"/>
        <v>0</v>
      </c>
      <c r="M77" s="361">
        <v>0</v>
      </c>
      <c r="N77" s="372">
        <f>M77/N$68</f>
        <v>0</v>
      </c>
      <c r="O77" s="360"/>
      <c r="P77" s="372">
        <f>O77/P$68</f>
        <v>0</v>
      </c>
      <c r="Q77" s="360">
        <v>0</v>
      </c>
      <c r="R77" s="372">
        <f t="shared" si="21"/>
        <v>0</v>
      </c>
      <c r="S77" s="360">
        <f>0</f>
        <v>0</v>
      </c>
      <c r="T77" s="372">
        <f t="shared" si="21"/>
        <v>0</v>
      </c>
      <c r="U77" s="360">
        <v>0</v>
      </c>
      <c r="V77" s="372">
        <f t="shared" si="22"/>
        <v>0</v>
      </c>
      <c r="W77" s="360">
        <v>0</v>
      </c>
      <c r="X77" s="372">
        <f t="shared" si="23"/>
        <v>0</v>
      </c>
      <c r="Y77" s="360">
        <v>0</v>
      </c>
      <c r="Z77" s="1397">
        <f t="shared" si="24"/>
        <v>0</v>
      </c>
      <c r="AA77" s="657"/>
      <c r="AB77" s="803">
        <f t="shared" si="25"/>
        <v>0</v>
      </c>
      <c r="AC77" s="685">
        <f t="shared" si="26"/>
        <v>0</v>
      </c>
    </row>
    <row r="78" spans="1:29" ht="12" x14ac:dyDescent="0.2">
      <c r="A78" s="652"/>
      <c r="B78" s="1058" t="s">
        <v>101</v>
      </c>
      <c r="C78" s="202"/>
      <c r="D78" s="200"/>
      <c r="E78" s="164"/>
      <c r="F78" s="285"/>
      <c r="G78" s="290"/>
      <c r="H78" s="452"/>
      <c r="I78" s="164"/>
      <c r="J78" s="485"/>
      <c r="K78" s="290"/>
      <c r="L78" s="485"/>
      <c r="M78" s="290"/>
      <c r="N78" s="372"/>
      <c r="O78" s="164"/>
      <c r="P78" s="372"/>
      <c r="Q78" s="164"/>
      <c r="R78" s="372"/>
      <c r="S78" s="164"/>
      <c r="T78" s="372"/>
      <c r="U78" s="164"/>
      <c r="V78" s="372"/>
      <c r="W78" s="164"/>
      <c r="X78" s="372"/>
      <c r="Y78" s="164"/>
      <c r="Z78" s="1397"/>
      <c r="AA78" s="657"/>
      <c r="AB78" s="803"/>
      <c r="AC78" s="685"/>
    </row>
    <row r="79" spans="1:29" ht="12" x14ac:dyDescent="0.2">
      <c r="A79" s="652"/>
      <c r="B79" s="42" t="s">
        <v>88</v>
      </c>
      <c r="C79" s="210">
        <v>19</v>
      </c>
      <c r="D79" s="200">
        <f t="shared" si="27"/>
        <v>0.95</v>
      </c>
      <c r="E79" s="99">
        <f>18+1</f>
        <v>19</v>
      </c>
      <c r="F79" s="286">
        <f>E79/$F$68</f>
        <v>0.95</v>
      </c>
      <c r="G79" s="210">
        <v>21</v>
      </c>
      <c r="H79" s="372">
        <f>G79/$H$68</f>
        <v>0.95454545454545459</v>
      </c>
      <c r="I79" s="244">
        <v>20</v>
      </c>
      <c r="J79" s="372">
        <f>I79/$J$68</f>
        <v>1</v>
      </c>
      <c r="K79" s="210">
        <v>19</v>
      </c>
      <c r="L79" s="372">
        <f>K79/$L$68</f>
        <v>1</v>
      </c>
      <c r="M79" s="370">
        <v>19</v>
      </c>
      <c r="N79" s="372">
        <f>M79/N$68</f>
        <v>1</v>
      </c>
      <c r="O79" s="428">
        <v>19</v>
      </c>
      <c r="P79" s="372">
        <f>O79/P$68</f>
        <v>1</v>
      </c>
      <c r="Q79" s="428">
        <v>19</v>
      </c>
      <c r="R79" s="372">
        <f>Q79/R$68</f>
        <v>1</v>
      </c>
      <c r="S79" s="428">
        <f>17</f>
        <v>17</v>
      </c>
      <c r="T79" s="372">
        <f>S79/T$68</f>
        <v>1</v>
      </c>
      <c r="U79" s="428">
        <v>19</v>
      </c>
      <c r="V79" s="372">
        <f>U79/V$68</f>
        <v>1</v>
      </c>
      <c r="W79" s="428">
        <v>21</v>
      </c>
      <c r="X79" s="372">
        <f>W79/X$68</f>
        <v>1</v>
      </c>
      <c r="Y79" s="428">
        <v>20</v>
      </c>
      <c r="Z79" s="1397">
        <f>Y79/Z$68</f>
        <v>1</v>
      </c>
      <c r="AA79" s="657"/>
      <c r="AB79" s="803">
        <f t="shared" ref="AB79:AB80" si="29">AVERAGE(W79,U79,S79,Q79,Y79)</f>
        <v>19.2</v>
      </c>
      <c r="AC79" s="685">
        <f t="shared" ref="AC79:AC80" si="30">AVERAGE(X79,V79,T79,R79,Z79)</f>
        <v>1</v>
      </c>
    </row>
    <row r="80" spans="1:29" ht="12" x14ac:dyDescent="0.2">
      <c r="A80" s="652"/>
      <c r="B80" s="42" t="s">
        <v>89</v>
      </c>
      <c r="C80" s="210">
        <v>1</v>
      </c>
      <c r="D80" s="200">
        <f t="shared" si="27"/>
        <v>0.05</v>
      </c>
      <c r="E80" s="165">
        <v>1</v>
      </c>
      <c r="F80" s="286">
        <f>E80/$F$68</f>
        <v>0.05</v>
      </c>
      <c r="G80" s="370">
        <v>1</v>
      </c>
      <c r="H80" s="372">
        <f>G80/$H$68</f>
        <v>4.5454545454545456E-2</v>
      </c>
      <c r="I80" s="428">
        <v>0</v>
      </c>
      <c r="J80" s="485">
        <f>I80/$J$68</f>
        <v>0</v>
      </c>
      <c r="K80" s="370">
        <v>0</v>
      </c>
      <c r="L80" s="485">
        <f>K80/$L$68</f>
        <v>0</v>
      </c>
      <c r="M80" s="370">
        <v>0</v>
      </c>
      <c r="N80" s="372">
        <f>M80/N$68</f>
        <v>0</v>
      </c>
      <c r="O80" s="428">
        <v>0</v>
      </c>
      <c r="P80" s="372">
        <f>O80/P$68</f>
        <v>0</v>
      </c>
      <c r="Q80" s="428">
        <v>0</v>
      </c>
      <c r="R80" s="372">
        <f>Q80/R$68</f>
        <v>0</v>
      </c>
      <c r="S80" s="428">
        <f>0</f>
        <v>0</v>
      </c>
      <c r="T80" s="372">
        <f>S80/T$68</f>
        <v>0</v>
      </c>
      <c r="U80" s="428">
        <v>0</v>
      </c>
      <c r="V80" s="372">
        <f>U80/V$68</f>
        <v>0</v>
      </c>
      <c r="W80" s="428">
        <v>0</v>
      </c>
      <c r="X80" s="372">
        <f>W80/X$68</f>
        <v>0</v>
      </c>
      <c r="Y80" s="428">
        <v>0</v>
      </c>
      <c r="Z80" s="1397">
        <f>Y80/Z$68</f>
        <v>0</v>
      </c>
      <c r="AA80" s="657"/>
      <c r="AB80" s="803">
        <f t="shared" si="29"/>
        <v>0</v>
      </c>
      <c r="AC80" s="685">
        <f t="shared" si="30"/>
        <v>0</v>
      </c>
    </row>
    <row r="81" spans="1:29" ht="12" x14ac:dyDescent="0.2">
      <c r="A81" s="652"/>
      <c r="B81" s="1058" t="s">
        <v>102</v>
      </c>
      <c r="C81" s="203"/>
      <c r="D81" s="200"/>
      <c r="E81" s="166"/>
      <c r="F81" s="286"/>
      <c r="G81" s="291"/>
      <c r="H81" s="372"/>
      <c r="I81" s="429"/>
      <c r="J81" s="485"/>
      <c r="K81" s="291"/>
      <c r="L81" s="485"/>
      <c r="M81" s="291"/>
      <c r="N81" s="372"/>
      <c r="O81" s="429"/>
      <c r="P81" s="372"/>
      <c r="Q81" s="429"/>
      <c r="R81" s="372"/>
      <c r="S81" s="429"/>
      <c r="T81" s="372"/>
      <c r="U81" s="429"/>
      <c r="V81" s="372"/>
      <c r="W81" s="429"/>
      <c r="X81" s="372"/>
      <c r="Y81" s="429"/>
      <c r="Z81" s="1397"/>
      <c r="AA81" s="657"/>
      <c r="AB81" s="803"/>
      <c r="AC81" s="685"/>
    </row>
    <row r="82" spans="1:29" ht="12" x14ac:dyDescent="0.2">
      <c r="A82" s="652"/>
      <c r="B82" s="42" t="s">
        <v>90</v>
      </c>
      <c r="C82" s="209">
        <v>14</v>
      </c>
      <c r="D82" s="200">
        <f t="shared" si="27"/>
        <v>0.7</v>
      </c>
      <c r="E82" s="165">
        <f>13+1</f>
        <v>14</v>
      </c>
      <c r="F82" s="286">
        <f>E82/$F$68</f>
        <v>0.7</v>
      </c>
      <c r="G82" s="370">
        <v>13</v>
      </c>
      <c r="H82" s="372">
        <f>G82/$H$68</f>
        <v>0.59090909090909094</v>
      </c>
      <c r="I82" s="428">
        <v>12</v>
      </c>
      <c r="J82" s="485">
        <f>I82/$J$68</f>
        <v>0.6</v>
      </c>
      <c r="K82" s="370">
        <v>11</v>
      </c>
      <c r="L82" s="485">
        <f>K82/$L$68</f>
        <v>0.57894736842105265</v>
      </c>
      <c r="M82" s="370">
        <v>13</v>
      </c>
      <c r="N82" s="372">
        <f>M82/N$68</f>
        <v>0.68421052631578949</v>
      </c>
      <c r="O82" s="428">
        <v>14</v>
      </c>
      <c r="P82" s="372">
        <f>O82/P$68</f>
        <v>0.73684210526315785</v>
      </c>
      <c r="Q82" s="428">
        <v>16</v>
      </c>
      <c r="R82" s="372">
        <f>Q82/R$68</f>
        <v>0.84210526315789469</v>
      </c>
      <c r="S82" s="428">
        <f>14</f>
        <v>14</v>
      </c>
      <c r="T82" s="372">
        <f>S82/T$68</f>
        <v>0.82352941176470584</v>
      </c>
      <c r="U82" s="428">
        <v>16</v>
      </c>
      <c r="V82" s="372">
        <f>U82/V$68</f>
        <v>0.84210526315789469</v>
      </c>
      <c r="W82" s="428">
        <v>16</v>
      </c>
      <c r="X82" s="372">
        <f>W82/X$68</f>
        <v>0.76190476190476186</v>
      </c>
      <c r="Y82" s="428">
        <v>17</v>
      </c>
      <c r="Z82" s="1397">
        <f>Y82/Z$68</f>
        <v>0.85</v>
      </c>
      <c r="AA82" s="657"/>
      <c r="AB82" s="803">
        <f t="shared" ref="AB82:AB84" si="31">AVERAGE(W82,U82,S82,Q82,Y82)</f>
        <v>15.8</v>
      </c>
      <c r="AC82" s="685">
        <f t="shared" ref="AC82:AC84" si="32">AVERAGE(X82,V82,T82,R82,Z82)</f>
        <v>0.8239289399970513</v>
      </c>
    </row>
    <row r="83" spans="1:29" ht="12" x14ac:dyDescent="0.2">
      <c r="A83" s="652"/>
      <c r="B83" s="42" t="s">
        <v>91</v>
      </c>
      <c r="C83" s="209">
        <v>4</v>
      </c>
      <c r="D83" s="200">
        <f t="shared" si="27"/>
        <v>0.2</v>
      </c>
      <c r="E83" s="165">
        <v>4</v>
      </c>
      <c r="F83" s="286">
        <f>E83/$F$68</f>
        <v>0.2</v>
      </c>
      <c r="G83" s="370">
        <v>5</v>
      </c>
      <c r="H83" s="372">
        <f>G83/$H$68</f>
        <v>0.22727272727272727</v>
      </c>
      <c r="I83" s="428">
        <v>6</v>
      </c>
      <c r="J83" s="485">
        <f>I83/$J$68</f>
        <v>0.3</v>
      </c>
      <c r="K83" s="370">
        <v>6</v>
      </c>
      <c r="L83" s="485">
        <f>K83/$L$68</f>
        <v>0.31578947368421051</v>
      </c>
      <c r="M83" s="370">
        <v>5</v>
      </c>
      <c r="N83" s="372">
        <f>M83/N$68</f>
        <v>0.26315789473684209</v>
      </c>
      <c r="O83" s="428">
        <v>4</v>
      </c>
      <c r="P83" s="372">
        <f>O83/P$68</f>
        <v>0.21052631578947367</v>
      </c>
      <c r="Q83" s="428">
        <v>2</v>
      </c>
      <c r="R83" s="372">
        <f>Q83/R$68</f>
        <v>0.10526315789473684</v>
      </c>
      <c r="S83" s="428">
        <f>2</f>
        <v>2</v>
      </c>
      <c r="T83" s="372">
        <f>S83/T$68</f>
        <v>0.11764705882352941</v>
      </c>
      <c r="U83" s="428">
        <v>1</v>
      </c>
      <c r="V83" s="372">
        <f>U83/V$68</f>
        <v>5.2631578947368418E-2</v>
      </c>
      <c r="W83" s="428">
        <v>1</v>
      </c>
      <c r="X83" s="372">
        <f>W83/X$68</f>
        <v>4.7619047619047616E-2</v>
      </c>
      <c r="Y83" s="428">
        <v>1</v>
      </c>
      <c r="Z83" s="1397">
        <f>Y83/Z$68</f>
        <v>0.05</v>
      </c>
      <c r="AA83" s="657"/>
      <c r="AB83" s="803">
        <f t="shared" si="31"/>
        <v>1.4</v>
      </c>
      <c r="AC83" s="685">
        <f t="shared" si="32"/>
        <v>7.4632168656936462E-2</v>
      </c>
    </row>
    <row r="84" spans="1:29" ht="12" x14ac:dyDescent="0.2">
      <c r="A84" s="652"/>
      <c r="B84" s="42" t="s">
        <v>92</v>
      </c>
      <c r="C84" s="209">
        <v>2</v>
      </c>
      <c r="D84" s="200">
        <f t="shared" si="27"/>
        <v>0.1</v>
      </c>
      <c r="E84" s="165">
        <v>2</v>
      </c>
      <c r="F84" s="286">
        <f>E84/$F$68</f>
        <v>0.1</v>
      </c>
      <c r="G84" s="370">
        <v>4</v>
      </c>
      <c r="H84" s="372">
        <f>G84/$H$68</f>
        <v>0.18181818181818182</v>
      </c>
      <c r="I84" s="428">
        <v>2</v>
      </c>
      <c r="J84" s="485">
        <f>I84/$J$68</f>
        <v>0.1</v>
      </c>
      <c r="K84" s="370">
        <v>2</v>
      </c>
      <c r="L84" s="485">
        <f>K84/$L$68</f>
        <v>0.10526315789473684</v>
      </c>
      <c r="M84" s="370">
        <v>1</v>
      </c>
      <c r="N84" s="372">
        <f>M84/N$68</f>
        <v>5.2631578947368418E-2</v>
      </c>
      <c r="O84" s="428">
        <v>1</v>
      </c>
      <c r="P84" s="372">
        <f>O84/P$68</f>
        <v>5.2631578947368418E-2</v>
      </c>
      <c r="Q84" s="428">
        <v>1</v>
      </c>
      <c r="R84" s="372">
        <f>Q84/R$68</f>
        <v>5.2631578947368418E-2</v>
      </c>
      <c r="S84" s="428">
        <f>1</f>
        <v>1</v>
      </c>
      <c r="T84" s="372">
        <f>S84/T$68</f>
        <v>5.8823529411764705E-2</v>
      </c>
      <c r="U84" s="428">
        <v>2</v>
      </c>
      <c r="V84" s="372">
        <f>U84/V$68</f>
        <v>0.10526315789473684</v>
      </c>
      <c r="W84" s="428">
        <v>4</v>
      </c>
      <c r="X84" s="372">
        <f>W84/X$68</f>
        <v>0.19047619047619047</v>
      </c>
      <c r="Y84" s="428">
        <v>2</v>
      </c>
      <c r="Z84" s="1397">
        <f>Y84/Z$68</f>
        <v>0.1</v>
      </c>
      <c r="AA84" s="657"/>
      <c r="AB84" s="803">
        <f t="shared" si="31"/>
        <v>2</v>
      </c>
      <c r="AC84" s="685">
        <f t="shared" si="32"/>
        <v>0.1014388913460121</v>
      </c>
    </row>
    <row r="85" spans="1:29" ht="12" x14ac:dyDescent="0.2">
      <c r="A85" s="652"/>
      <c r="B85" s="1058" t="s">
        <v>103</v>
      </c>
      <c r="C85" s="203"/>
      <c r="D85" s="200"/>
      <c r="E85" s="166"/>
      <c r="F85" s="286"/>
      <c r="G85" s="291"/>
      <c r="H85" s="372"/>
      <c r="I85" s="429"/>
      <c r="J85" s="485"/>
      <c r="K85" s="291"/>
      <c r="L85" s="485"/>
      <c r="M85" s="291"/>
      <c r="N85" s="372"/>
      <c r="O85" s="429"/>
      <c r="P85" s="372"/>
      <c r="Q85" s="429"/>
      <c r="R85" s="372"/>
      <c r="S85" s="429"/>
      <c r="T85" s="372"/>
      <c r="U85" s="429"/>
      <c r="V85" s="372"/>
      <c r="W85" s="429"/>
      <c r="X85" s="372"/>
      <c r="Y85" s="429"/>
      <c r="Z85" s="1397"/>
      <c r="AA85" s="657"/>
      <c r="AB85" s="803"/>
      <c r="AC85" s="685"/>
    </row>
    <row r="86" spans="1:29" ht="12" x14ac:dyDescent="0.2">
      <c r="A86" s="652"/>
      <c r="B86" s="42" t="s">
        <v>93</v>
      </c>
      <c r="C86" s="209">
        <v>20</v>
      </c>
      <c r="D86" s="200">
        <f t="shared" si="27"/>
        <v>1</v>
      </c>
      <c r="E86" s="165">
        <f>19+1</f>
        <v>20</v>
      </c>
      <c r="F86" s="286">
        <f>E86/$F$68</f>
        <v>1</v>
      </c>
      <c r="G86" s="370">
        <v>22</v>
      </c>
      <c r="H86" s="372">
        <f>G86/$H$68</f>
        <v>1</v>
      </c>
      <c r="I86" s="428">
        <v>20</v>
      </c>
      <c r="J86" s="485">
        <f>I86/$J$68</f>
        <v>1</v>
      </c>
      <c r="K86" s="370">
        <v>19</v>
      </c>
      <c r="L86" s="485">
        <f>K86/$L$68</f>
        <v>1</v>
      </c>
      <c r="M86" s="370">
        <v>19</v>
      </c>
      <c r="N86" s="372">
        <f>M86/N$68</f>
        <v>1</v>
      </c>
      <c r="O86" s="428">
        <v>19</v>
      </c>
      <c r="P86" s="372">
        <f>O86/P$68</f>
        <v>1</v>
      </c>
      <c r="Q86" s="428">
        <v>19</v>
      </c>
      <c r="R86" s="372">
        <f>Q86/R$68</f>
        <v>1</v>
      </c>
      <c r="S86" s="428">
        <f>17</f>
        <v>17</v>
      </c>
      <c r="T86" s="372">
        <f>S86/T$68</f>
        <v>1</v>
      </c>
      <c r="U86" s="428">
        <v>19</v>
      </c>
      <c r="V86" s="372">
        <f>U86/V$68</f>
        <v>1</v>
      </c>
      <c r="W86" s="428">
        <v>21</v>
      </c>
      <c r="X86" s="372">
        <f>W86/X$68</f>
        <v>1</v>
      </c>
      <c r="Y86" s="428">
        <v>20</v>
      </c>
      <c r="Z86" s="1397">
        <f>Y86/Z$68</f>
        <v>1</v>
      </c>
      <c r="AA86" s="657"/>
      <c r="AB86" s="803">
        <f t="shared" ref="AB86:AB89" si="33">AVERAGE(W86,U86,S86,Q86,Y86)</f>
        <v>19.2</v>
      </c>
      <c r="AC86" s="685">
        <f t="shared" ref="AC86:AC89" si="34">AVERAGE(X86,V86,T86,R86,Z86)</f>
        <v>1</v>
      </c>
    </row>
    <row r="87" spans="1:29" ht="12" x14ac:dyDescent="0.2">
      <c r="A87" s="652"/>
      <c r="B87" s="42" t="s">
        <v>94</v>
      </c>
      <c r="C87" s="209">
        <v>0</v>
      </c>
      <c r="D87" s="200">
        <f t="shared" si="27"/>
        <v>0</v>
      </c>
      <c r="E87" s="165">
        <v>0</v>
      </c>
      <c r="F87" s="286">
        <f>E87/$F$68</f>
        <v>0</v>
      </c>
      <c r="G87" s="370">
        <v>0</v>
      </c>
      <c r="H87" s="372">
        <f>G87/$H$68</f>
        <v>0</v>
      </c>
      <c r="I87" s="428">
        <v>0</v>
      </c>
      <c r="J87" s="485">
        <f>I87/$J$68</f>
        <v>0</v>
      </c>
      <c r="K87" s="370">
        <v>0</v>
      </c>
      <c r="L87" s="485">
        <f>K87/$L$68</f>
        <v>0</v>
      </c>
      <c r="M87" s="370">
        <v>0</v>
      </c>
      <c r="N87" s="372">
        <f>M87/N$68</f>
        <v>0</v>
      </c>
      <c r="O87" s="428">
        <v>0</v>
      </c>
      <c r="P87" s="372">
        <f>O87/P$68</f>
        <v>0</v>
      </c>
      <c r="Q87" s="428">
        <v>0</v>
      </c>
      <c r="R87" s="372">
        <f>Q87/R$68</f>
        <v>0</v>
      </c>
      <c r="S87" s="428">
        <f>0</f>
        <v>0</v>
      </c>
      <c r="T87" s="372">
        <f>S87/T$68</f>
        <v>0</v>
      </c>
      <c r="U87" s="428">
        <v>0</v>
      </c>
      <c r="V87" s="372">
        <f>U87/V$68</f>
        <v>0</v>
      </c>
      <c r="W87" s="428">
        <v>0</v>
      </c>
      <c r="X87" s="372">
        <f>W87/X$68</f>
        <v>0</v>
      </c>
      <c r="Y87" s="428">
        <v>0</v>
      </c>
      <c r="Z87" s="1397">
        <f>Y87/Z$68</f>
        <v>0</v>
      </c>
      <c r="AA87" s="657"/>
      <c r="AB87" s="803">
        <f t="shared" si="33"/>
        <v>0</v>
      </c>
      <c r="AC87" s="685">
        <f t="shared" si="34"/>
        <v>0</v>
      </c>
    </row>
    <row r="88" spans="1:29" ht="12" x14ac:dyDescent="0.2">
      <c r="A88" s="652"/>
      <c r="B88" s="42" t="s">
        <v>95</v>
      </c>
      <c r="C88" s="209">
        <v>0</v>
      </c>
      <c r="D88" s="200">
        <f t="shared" si="27"/>
        <v>0</v>
      </c>
      <c r="E88" s="165">
        <v>0</v>
      </c>
      <c r="F88" s="286">
        <f>E88/$F$68</f>
        <v>0</v>
      </c>
      <c r="G88" s="370">
        <v>0</v>
      </c>
      <c r="H88" s="372">
        <f>G88/$H$68</f>
        <v>0</v>
      </c>
      <c r="I88" s="428">
        <v>0</v>
      </c>
      <c r="J88" s="485">
        <f>I88/$J$68</f>
        <v>0</v>
      </c>
      <c r="K88" s="370">
        <v>0</v>
      </c>
      <c r="L88" s="485">
        <f>K88/$L$68</f>
        <v>0</v>
      </c>
      <c r="M88" s="370">
        <v>0</v>
      </c>
      <c r="N88" s="372">
        <f>M88/N$68</f>
        <v>0</v>
      </c>
      <c r="O88" s="428">
        <v>0</v>
      </c>
      <c r="P88" s="372">
        <f>O88/P$68</f>
        <v>0</v>
      </c>
      <c r="Q88" s="428">
        <v>0</v>
      </c>
      <c r="R88" s="372">
        <f>Q88/R$68</f>
        <v>0</v>
      </c>
      <c r="S88" s="428">
        <f>0</f>
        <v>0</v>
      </c>
      <c r="T88" s="372">
        <f>S88/T$68</f>
        <v>0</v>
      </c>
      <c r="U88" s="428">
        <v>0</v>
      </c>
      <c r="V88" s="372">
        <f>U88/V$68</f>
        <v>0</v>
      </c>
      <c r="W88" s="428">
        <v>0</v>
      </c>
      <c r="X88" s="372">
        <f>W88/X$68</f>
        <v>0</v>
      </c>
      <c r="Y88" s="428">
        <v>0</v>
      </c>
      <c r="Z88" s="1397">
        <f>Y88/Z$68</f>
        <v>0</v>
      </c>
      <c r="AA88" s="657"/>
      <c r="AB88" s="803">
        <f t="shared" si="33"/>
        <v>0</v>
      </c>
      <c r="AC88" s="685">
        <f t="shared" si="34"/>
        <v>0</v>
      </c>
    </row>
    <row r="89" spans="1:29" thickBot="1" x14ac:dyDescent="0.25">
      <c r="A89" s="652"/>
      <c r="B89" s="682" t="s">
        <v>96</v>
      </c>
      <c r="C89" s="204">
        <v>0</v>
      </c>
      <c r="D89" s="205">
        <f t="shared" si="27"/>
        <v>0</v>
      </c>
      <c r="E89" s="167">
        <v>0</v>
      </c>
      <c r="F89" s="287">
        <f>E89/$F$68</f>
        <v>0</v>
      </c>
      <c r="G89" s="371">
        <v>0</v>
      </c>
      <c r="H89" s="453">
        <f>G89/$H$68</f>
        <v>0</v>
      </c>
      <c r="I89" s="430">
        <v>0</v>
      </c>
      <c r="J89" s="486">
        <f>I89/$J$68</f>
        <v>0</v>
      </c>
      <c r="K89" s="371">
        <v>0</v>
      </c>
      <c r="L89" s="486">
        <f>K89/$L$68</f>
        <v>0</v>
      </c>
      <c r="M89" s="371">
        <v>0</v>
      </c>
      <c r="N89" s="453">
        <f>M89/N$68</f>
        <v>0</v>
      </c>
      <c r="O89" s="430">
        <v>0</v>
      </c>
      <c r="P89" s="453">
        <f>O89/P$68</f>
        <v>0</v>
      </c>
      <c r="Q89" s="430">
        <v>0</v>
      </c>
      <c r="R89" s="453">
        <f>Q89/R$68</f>
        <v>0</v>
      </c>
      <c r="S89" s="430">
        <f>0</f>
        <v>0</v>
      </c>
      <c r="T89" s="453">
        <f>S89/T$68</f>
        <v>0</v>
      </c>
      <c r="U89" s="430">
        <v>0</v>
      </c>
      <c r="V89" s="453">
        <f>U89/V$68</f>
        <v>0</v>
      </c>
      <c r="W89" s="430">
        <v>0</v>
      </c>
      <c r="X89" s="453">
        <f>W89/X$68</f>
        <v>0</v>
      </c>
      <c r="Y89" s="430">
        <v>0</v>
      </c>
      <c r="Z89" s="1398">
        <f>Y89/Z$68</f>
        <v>0</v>
      </c>
      <c r="AA89" s="657"/>
      <c r="AB89" s="689">
        <f t="shared" si="33"/>
        <v>0</v>
      </c>
      <c r="AC89" s="686">
        <f t="shared" si="34"/>
        <v>0</v>
      </c>
    </row>
    <row r="90" spans="1:29" thickTop="1" x14ac:dyDescent="0.2">
      <c r="A90" s="652"/>
      <c r="B90" s="669" t="s">
        <v>131</v>
      </c>
      <c r="C90" s="52"/>
      <c r="D90" s="671"/>
      <c r="E90" s="672"/>
      <c r="F90" s="670"/>
      <c r="G90" s="672"/>
      <c r="H90" s="670"/>
      <c r="I90" s="672"/>
      <c r="J90" s="670"/>
      <c r="K90" s="672"/>
      <c r="L90" s="670"/>
      <c r="M90" s="705"/>
      <c r="N90" s="1025"/>
      <c r="O90" s="705"/>
      <c r="P90" s="1025"/>
      <c r="Q90" s="705"/>
      <c r="R90" s="1333"/>
      <c r="S90" s="705"/>
      <c r="T90" s="1333"/>
      <c r="U90" s="705"/>
      <c r="V90" s="1333"/>
      <c r="W90" s="705"/>
      <c r="X90" s="1333"/>
      <c r="Y90" s="705"/>
      <c r="Z90" s="1251"/>
      <c r="AA90" s="652"/>
      <c r="AC90" s="652"/>
    </row>
    <row r="91" spans="1:29" ht="12" x14ac:dyDescent="0.2">
      <c r="A91" s="652"/>
      <c r="B91" s="676"/>
      <c r="C91" s="101" t="s">
        <v>97</v>
      </c>
      <c r="D91" s="677" t="s">
        <v>17</v>
      </c>
      <c r="E91" s="101" t="s">
        <v>97</v>
      </c>
      <c r="F91" s="677" t="s">
        <v>17</v>
      </c>
      <c r="G91" s="101" t="s">
        <v>97</v>
      </c>
      <c r="H91" s="677" t="s">
        <v>17</v>
      </c>
      <c r="I91" s="101" t="s">
        <v>97</v>
      </c>
      <c r="J91" s="677" t="s">
        <v>17</v>
      </c>
      <c r="K91" s="101" t="s">
        <v>97</v>
      </c>
      <c r="L91" s="677" t="s">
        <v>17</v>
      </c>
      <c r="M91" s="101" t="s">
        <v>97</v>
      </c>
      <c r="N91" s="677" t="s">
        <v>17</v>
      </c>
      <c r="O91" s="101" t="s">
        <v>97</v>
      </c>
      <c r="P91" s="677" t="s">
        <v>17</v>
      </c>
      <c r="Q91" s="253" t="s">
        <v>97</v>
      </c>
      <c r="R91" s="677" t="s">
        <v>17</v>
      </c>
      <c r="S91" s="253" t="s">
        <v>97</v>
      </c>
      <c r="T91" s="677" t="s">
        <v>17</v>
      </c>
      <c r="U91" s="253" t="s">
        <v>97</v>
      </c>
      <c r="V91" s="677" t="s">
        <v>17</v>
      </c>
      <c r="W91" s="253" t="s">
        <v>97</v>
      </c>
      <c r="X91" s="677" t="s">
        <v>17</v>
      </c>
      <c r="Y91" s="253" t="s">
        <v>97</v>
      </c>
      <c r="Z91" s="678" t="s">
        <v>17</v>
      </c>
      <c r="AA91" s="652"/>
      <c r="AB91" s="101" t="s">
        <v>97</v>
      </c>
      <c r="AC91" s="678" t="s">
        <v>17</v>
      </c>
    </row>
    <row r="92" spans="1:29" ht="12" x14ac:dyDescent="0.2">
      <c r="A92" s="652"/>
      <c r="B92" s="680" t="s">
        <v>132</v>
      </c>
      <c r="C92" s="101">
        <v>30</v>
      </c>
      <c r="D92" s="899">
        <v>14.1</v>
      </c>
      <c r="E92" s="253">
        <v>34</v>
      </c>
      <c r="F92" s="706">
        <v>16.3</v>
      </c>
      <c r="G92" s="253">
        <v>26</v>
      </c>
      <c r="H92" s="706">
        <v>13</v>
      </c>
      <c r="I92" s="253">
        <v>18</v>
      </c>
      <c r="J92" s="706">
        <v>8.9</v>
      </c>
      <c r="K92" s="101">
        <v>21</v>
      </c>
      <c r="L92" s="706">
        <v>10.5</v>
      </c>
      <c r="M92" s="840">
        <v>24</v>
      </c>
      <c r="N92" s="717">
        <v>11.4</v>
      </c>
      <c r="O92" s="840">
        <v>23</v>
      </c>
      <c r="P92" s="717">
        <v>10.9</v>
      </c>
      <c r="Q92" s="840">
        <v>21</v>
      </c>
      <c r="R92" s="440">
        <v>9.9</v>
      </c>
      <c r="S92" s="840">
        <v>18</v>
      </c>
      <c r="T92" s="440">
        <v>8.4</v>
      </c>
      <c r="U92" s="840">
        <v>20</v>
      </c>
      <c r="V92" s="440">
        <v>9.6999999999999993</v>
      </c>
      <c r="W92" s="840">
        <v>22</v>
      </c>
      <c r="X92" s="440">
        <v>10.1</v>
      </c>
      <c r="Y92" s="840">
        <v>28</v>
      </c>
      <c r="Z92" s="240">
        <v>13.3</v>
      </c>
      <c r="AA92" s="900"/>
      <c r="AB92" s="877">
        <f t="shared" ref="AB92:AB94" si="35">AVERAGE(W92,U92,S92,Q92,Y92)</f>
        <v>21.8</v>
      </c>
      <c r="AC92" s="896">
        <f t="shared" ref="AC92:AC94" si="36">AVERAGE(X92,V92,T92,R92,Z92)</f>
        <v>10.279999999999998</v>
      </c>
    </row>
    <row r="93" spans="1:29" ht="12" x14ac:dyDescent="0.2">
      <c r="A93" s="652"/>
      <c r="B93" s="680" t="s">
        <v>133</v>
      </c>
      <c r="C93" s="101">
        <v>3</v>
      </c>
      <c r="D93" s="899">
        <v>0.6</v>
      </c>
      <c r="E93" s="253">
        <v>4</v>
      </c>
      <c r="F93" s="706">
        <v>0.7</v>
      </c>
      <c r="G93" s="253">
        <v>1</v>
      </c>
      <c r="H93" s="706">
        <v>0.5</v>
      </c>
      <c r="I93" s="253">
        <v>1</v>
      </c>
      <c r="J93" s="706">
        <v>0.5</v>
      </c>
      <c r="K93" s="101">
        <v>1</v>
      </c>
      <c r="L93" s="706">
        <v>0.5</v>
      </c>
      <c r="M93" s="840">
        <v>3</v>
      </c>
      <c r="N93" s="717">
        <v>0.6</v>
      </c>
      <c r="O93" s="840">
        <v>2</v>
      </c>
      <c r="P93" s="717">
        <v>0.6</v>
      </c>
      <c r="Q93" s="840">
        <v>1</v>
      </c>
      <c r="R93" s="440">
        <v>0.5</v>
      </c>
      <c r="S93" s="840">
        <v>3</v>
      </c>
      <c r="T93" s="440">
        <v>0.6</v>
      </c>
      <c r="U93" s="840">
        <v>2</v>
      </c>
      <c r="V93" s="440">
        <v>0.8</v>
      </c>
      <c r="W93" s="840">
        <v>3</v>
      </c>
      <c r="X93" s="440">
        <v>1.1000000000000001</v>
      </c>
      <c r="Y93" s="840">
        <v>3</v>
      </c>
      <c r="Z93" s="240">
        <v>1</v>
      </c>
      <c r="AA93" s="900"/>
      <c r="AB93" s="877">
        <f t="shared" si="35"/>
        <v>2.4</v>
      </c>
      <c r="AC93" s="896">
        <f t="shared" si="36"/>
        <v>0.8</v>
      </c>
    </row>
    <row r="94" spans="1:29" thickBot="1" x14ac:dyDescent="0.25">
      <c r="A94" s="652"/>
      <c r="B94" s="682" t="s">
        <v>158</v>
      </c>
      <c r="C94" s="683">
        <v>0</v>
      </c>
      <c r="D94" s="902">
        <v>0</v>
      </c>
      <c r="E94" s="878">
        <v>0</v>
      </c>
      <c r="F94" s="707">
        <v>0</v>
      </c>
      <c r="G94" s="878">
        <v>0</v>
      </c>
      <c r="H94" s="707">
        <v>0</v>
      </c>
      <c r="I94" s="878">
        <v>0</v>
      </c>
      <c r="J94" s="707">
        <v>0</v>
      </c>
      <c r="K94" s="683">
        <v>0</v>
      </c>
      <c r="L94" s="707">
        <v>0</v>
      </c>
      <c r="M94" s="843">
        <v>0</v>
      </c>
      <c r="N94" s="1036">
        <v>0</v>
      </c>
      <c r="O94" s="843">
        <v>0</v>
      </c>
      <c r="P94" s="1036">
        <v>0</v>
      </c>
      <c r="Q94" s="843">
        <v>0</v>
      </c>
      <c r="R94" s="1001">
        <v>0</v>
      </c>
      <c r="S94" s="843">
        <v>0</v>
      </c>
      <c r="T94" s="1001">
        <v>0</v>
      </c>
      <c r="U94" s="843">
        <v>0</v>
      </c>
      <c r="V94" s="1001">
        <v>0</v>
      </c>
      <c r="W94" s="843">
        <v>0</v>
      </c>
      <c r="X94" s="1001">
        <v>0</v>
      </c>
      <c r="Y94" s="843">
        <v>0</v>
      </c>
      <c r="Z94" s="1391">
        <v>0</v>
      </c>
      <c r="AA94" s="900"/>
      <c r="AB94" s="877">
        <f t="shared" si="35"/>
        <v>0</v>
      </c>
      <c r="AC94" s="898">
        <f t="shared" si="36"/>
        <v>0</v>
      </c>
    </row>
    <row r="95" spans="1:29" ht="14.25" thickTop="1" thickBot="1" x14ac:dyDescent="0.25">
      <c r="A95" s="652"/>
      <c r="B95" s="709"/>
      <c r="C95" s="1477" t="s">
        <v>35</v>
      </c>
      <c r="D95" s="1482"/>
      <c r="E95" s="1477" t="s">
        <v>36</v>
      </c>
      <c r="F95" s="1482"/>
      <c r="G95" s="1479" t="s">
        <v>122</v>
      </c>
      <c r="H95" s="1487"/>
      <c r="I95" s="1479" t="s">
        <v>123</v>
      </c>
      <c r="J95" s="1487"/>
      <c r="K95" s="1479" t="s">
        <v>148</v>
      </c>
      <c r="L95" s="1487"/>
      <c r="M95" s="1488" t="s">
        <v>149</v>
      </c>
      <c r="N95" s="1484"/>
      <c r="O95" s="1483" t="s">
        <v>175</v>
      </c>
      <c r="P95" s="1484"/>
      <c r="Q95" s="1483" t="s">
        <v>194</v>
      </c>
      <c r="R95" s="1484"/>
      <c r="S95" s="1483" t="s">
        <v>219</v>
      </c>
      <c r="T95" s="1484"/>
      <c r="U95" s="1483" t="s">
        <v>222</v>
      </c>
      <c r="V95" s="1484"/>
      <c r="W95" s="1483" t="s">
        <v>233</v>
      </c>
      <c r="X95" s="1484"/>
      <c r="Y95" s="1483" t="s">
        <v>242</v>
      </c>
      <c r="Z95" s="1489"/>
      <c r="AA95" s="24"/>
      <c r="AB95" s="1485"/>
      <c r="AC95" s="1486"/>
    </row>
    <row r="96" spans="1:29" x14ac:dyDescent="0.2">
      <c r="A96" s="652"/>
      <c r="B96" s="710" t="s">
        <v>157</v>
      </c>
      <c r="C96" s="1"/>
      <c r="D96" s="711"/>
      <c r="E96" s="712"/>
      <c r="F96" s="713"/>
      <c r="G96" s="714"/>
      <c r="H96" s="715"/>
      <c r="I96" s="716"/>
      <c r="J96" s="717"/>
      <c r="K96" s="655"/>
      <c r="L96" s="718"/>
      <c r="M96" s="655"/>
      <c r="N96" s="722"/>
      <c r="O96" s="222"/>
      <c r="P96" s="1187"/>
      <c r="Q96" s="655"/>
      <c r="R96" s="722"/>
      <c r="S96" s="655"/>
      <c r="T96" s="722"/>
      <c r="U96" s="222"/>
      <c r="V96" s="1187"/>
      <c r="W96" s="655"/>
      <c r="X96" s="722"/>
      <c r="Y96" s="655"/>
      <c r="Z96" s="1184"/>
      <c r="AA96" s="24"/>
      <c r="AB96" s="24"/>
      <c r="AC96" s="24"/>
    </row>
    <row r="97" spans="1:29" ht="12" x14ac:dyDescent="0.2">
      <c r="A97" s="652"/>
      <c r="B97" s="1059" t="s">
        <v>138</v>
      </c>
      <c r="C97" s="1461">
        <v>2.1</v>
      </c>
      <c r="D97" s="1462"/>
      <c r="E97" s="720"/>
      <c r="F97" s="721"/>
      <c r="G97" s="655"/>
      <c r="H97" s="722"/>
      <c r="I97" s="1461">
        <v>2.5</v>
      </c>
      <c r="J97" s="1462"/>
      <c r="K97" s="723"/>
      <c r="L97" s="724"/>
      <c r="M97" s="723"/>
      <c r="N97" s="722"/>
      <c r="O97" s="235"/>
      <c r="P97" s="1233">
        <v>3.7</v>
      </c>
      <c r="Q97" s="723"/>
      <c r="R97" s="722"/>
      <c r="S97" s="723"/>
      <c r="T97" s="722"/>
      <c r="U97" s="235"/>
      <c r="V97" s="1233">
        <v>2.2000000000000002</v>
      </c>
      <c r="W97" s="723"/>
      <c r="X97" s="722"/>
      <c r="Y97" s="723"/>
      <c r="Z97" s="1184"/>
      <c r="AA97" s="24"/>
      <c r="AB97" s="24"/>
      <c r="AC97" s="1215"/>
    </row>
    <row r="98" spans="1:29" ht="12" x14ac:dyDescent="0.2">
      <c r="A98" s="652"/>
      <c r="B98" s="1060" t="s">
        <v>139</v>
      </c>
      <c r="C98" s="1461">
        <v>0</v>
      </c>
      <c r="D98" s="1462"/>
      <c r="E98" s="720"/>
      <c r="F98" s="721"/>
      <c r="G98" s="655"/>
      <c r="H98" s="722"/>
      <c r="I98" s="1461">
        <v>0</v>
      </c>
      <c r="J98" s="1462"/>
      <c r="K98" s="723"/>
      <c r="L98" s="724"/>
      <c r="M98" s="723"/>
      <c r="N98" s="722"/>
      <c r="O98" s="235"/>
      <c r="P98" s="1233"/>
      <c r="Q98" s="723"/>
      <c r="R98" s="722"/>
      <c r="S98" s="723"/>
      <c r="T98" s="722"/>
      <c r="U98" s="235"/>
      <c r="V98" s="1233"/>
      <c r="W98" s="723"/>
      <c r="X98" s="722"/>
      <c r="Y98" s="723"/>
      <c r="Z98" s="1184"/>
      <c r="AA98" s="24"/>
      <c r="AB98" s="24"/>
      <c r="AC98" s="1215"/>
    </row>
    <row r="99" spans="1:29" ht="12" x14ac:dyDescent="0.2">
      <c r="A99" s="652"/>
      <c r="B99" s="1060" t="s">
        <v>140</v>
      </c>
      <c r="C99" s="1461"/>
      <c r="D99" s="1462"/>
      <c r="E99" s="720"/>
      <c r="F99" s="721"/>
      <c r="G99" s="655"/>
      <c r="H99" s="722"/>
      <c r="I99" s="1461"/>
      <c r="J99" s="1462"/>
      <c r="K99" s="723"/>
      <c r="L99" s="724"/>
      <c r="M99" s="723"/>
      <c r="N99" s="722"/>
      <c r="O99" s="235"/>
      <c r="P99" s="1233">
        <v>0</v>
      </c>
      <c r="Q99" s="723"/>
      <c r="R99" s="722"/>
      <c r="S99" s="723"/>
      <c r="T99" s="722"/>
      <c r="U99" s="235"/>
      <c r="V99" s="1233">
        <v>1</v>
      </c>
      <c r="W99" s="723"/>
      <c r="X99" s="722"/>
      <c r="Y99" s="723"/>
      <c r="Z99" s="1184"/>
      <c r="AA99" s="24"/>
      <c r="AB99" s="24"/>
      <c r="AC99" s="1215"/>
    </row>
    <row r="100" spans="1:29" ht="12" x14ac:dyDescent="0.2">
      <c r="A100" s="652"/>
      <c r="B100" s="1059" t="s">
        <v>141</v>
      </c>
      <c r="C100" s="1461">
        <v>0.6</v>
      </c>
      <c r="D100" s="1462"/>
      <c r="E100" s="720"/>
      <c r="F100" s="721"/>
      <c r="G100" s="655"/>
      <c r="H100" s="722"/>
      <c r="I100" s="1461">
        <v>0.5</v>
      </c>
      <c r="J100" s="1462"/>
      <c r="K100" s="723"/>
      <c r="L100" s="724"/>
      <c r="M100" s="723"/>
      <c r="N100" s="722"/>
      <c r="O100" s="235"/>
      <c r="P100" s="1233">
        <v>0.6</v>
      </c>
      <c r="Q100" s="723"/>
      <c r="R100" s="722"/>
      <c r="S100" s="723"/>
      <c r="T100" s="722"/>
      <c r="U100" s="235"/>
      <c r="V100" s="1233">
        <v>0</v>
      </c>
      <c r="W100" s="723"/>
      <c r="X100" s="722"/>
      <c r="Y100" s="723"/>
      <c r="Z100" s="1184"/>
      <c r="AA100" s="24"/>
      <c r="AB100" s="24"/>
      <c r="AC100" s="1215"/>
    </row>
    <row r="101" spans="1:29" ht="12" x14ac:dyDescent="0.2">
      <c r="A101" s="652"/>
      <c r="B101" s="1061" t="s">
        <v>142</v>
      </c>
      <c r="C101" s="1461">
        <v>0</v>
      </c>
      <c r="D101" s="1462"/>
      <c r="E101" s="720"/>
      <c r="F101" s="721"/>
      <c r="G101" s="655"/>
      <c r="H101" s="722"/>
      <c r="I101" s="1461">
        <v>0</v>
      </c>
      <c r="J101" s="1462"/>
      <c r="K101" s="723"/>
      <c r="L101" s="724"/>
      <c r="M101" s="723"/>
      <c r="N101" s="722"/>
      <c r="O101" s="235"/>
      <c r="P101" s="1233">
        <v>0.6</v>
      </c>
      <c r="Q101" s="723"/>
      <c r="R101" s="722"/>
      <c r="S101" s="723"/>
      <c r="T101" s="722"/>
      <c r="U101" s="235"/>
      <c r="V101" s="1233">
        <v>0</v>
      </c>
      <c r="W101" s="723"/>
      <c r="X101" s="722"/>
      <c r="Y101" s="723"/>
      <c r="Z101" s="1184"/>
      <c r="AA101" s="24"/>
      <c r="AB101" s="24"/>
      <c r="AC101" s="1215"/>
    </row>
    <row r="102" spans="1:29" ht="12" x14ac:dyDescent="0.2">
      <c r="A102" s="652"/>
      <c r="B102" s="1061" t="s">
        <v>143</v>
      </c>
      <c r="C102" s="1461">
        <f>SUM(C97:D101)</f>
        <v>2.7</v>
      </c>
      <c r="D102" s="1462"/>
      <c r="E102" s="720"/>
      <c r="F102" s="721"/>
      <c r="G102" s="655"/>
      <c r="H102" s="722"/>
      <c r="I102" s="1461">
        <f>SUM(I97:J101)</f>
        <v>3</v>
      </c>
      <c r="J102" s="1462"/>
      <c r="K102" s="723"/>
      <c r="L102" s="724"/>
      <c r="M102" s="723"/>
      <c r="N102" s="722"/>
      <c r="O102" s="235"/>
      <c r="P102" s="1233">
        <f>SUM(P97:P101)</f>
        <v>4.8999999999999995</v>
      </c>
      <c r="Q102" s="723"/>
      <c r="R102" s="722"/>
      <c r="S102" s="723"/>
      <c r="T102" s="722"/>
      <c r="U102" s="235"/>
      <c r="V102" s="1233">
        <f>SUM(V97:V101)</f>
        <v>3.2</v>
      </c>
      <c r="W102" s="723"/>
      <c r="X102" s="722"/>
      <c r="Y102" s="723"/>
      <c r="Z102" s="1184"/>
      <c r="AA102" s="24"/>
      <c r="AB102" s="24"/>
      <c r="AC102" s="1215"/>
    </row>
    <row r="103" spans="1:29" thickBot="1" x14ac:dyDescent="0.25">
      <c r="A103" s="652"/>
      <c r="B103" s="1062" t="s">
        <v>151</v>
      </c>
      <c r="C103" s="1526"/>
      <c r="D103" s="1527"/>
      <c r="E103" s="720"/>
      <c r="F103" s="721"/>
      <c r="G103" s="655"/>
      <c r="H103" s="722"/>
      <c r="I103" s="1526"/>
      <c r="J103" s="1527"/>
      <c r="K103" s="723"/>
      <c r="L103" s="724"/>
      <c r="M103" s="723"/>
      <c r="N103" s="722"/>
      <c r="O103" s="235"/>
      <c r="P103" s="1187"/>
      <c r="Q103" s="723"/>
      <c r="R103" s="722"/>
      <c r="S103" s="723"/>
      <c r="T103" s="722"/>
      <c r="U103" s="235"/>
      <c r="V103" s="1187"/>
      <c r="W103" s="723"/>
      <c r="X103" s="722"/>
      <c r="Y103" s="723"/>
      <c r="Z103" s="1184"/>
      <c r="AA103" s="24"/>
      <c r="AB103" s="24"/>
      <c r="AC103" s="1215"/>
    </row>
    <row r="104" spans="1:29" ht="12" x14ac:dyDescent="0.2">
      <c r="A104" s="652"/>
      <c r="B104" s="1059" t="s">
        <v>144</v>
      </c>
      <c r="C104" s="1524">
        <v>630</v>
      </c>
      <c r="D104" s="1525"/>
      <c r="E104" s="720"/>
      <c r="F104" s="721"/>
      <c r="G104" s="655"/>
      <c r="H104" s="722"/>
      <c r="I104" s="1524">
        <v>616</v>
      </c>
      <c r="J104" s="1525"/>
      <c r="K104" s="723"/>
      <c r="L104" s="724"/>
      <c r="M104" s="723"/>
      <c r="N104" s="722"/>
      <c r="O104" s="235"/>
      <c r="P104" s="1231">
        <v>554</v>
      </c>
      <c r="Q104" s="723"/>
      <c r="R104" s="722"/>
      <c r="S104" s="723"/>
      <c r="T104" s="722"/>
      <c r="U104" s="235"/>
      <c r="V104" s="1231">
        <v>530</v>
      </c>
      <c r="W104" s="723"/>
      <c r="X104" s="722"/>
      <c r="Y104" s="723"/>
      <c r="Z104" s="1184"/>
      <c r="AA104" s="24"/>
      <c r="AB104" s="24"/>
      <c r="AC104" s="550"/>
    </row>
    <row r="105" spans="1:29" ht="12" x14ac:dyDescent="0.2">
      <c r="A105" s="652"/>
      <c r="B105" s="1061" t="s">
        <v>145</v>
      </c>
      <c r="C105" s="1524">
        <v>0</v>
      </c>
      <c r="D105" s="1525"/>
      <c r="E105" s="720"/>
      <c r="F105" s="721"/>
      <c r="G105" s="655"/>
      <c r="H105" s="722"/>
      <c r="I105" s="1524">
        <v>0</v>
      </c>
      <c r="J105" s="1525"/>
      <c r="K105" s="723"/>
      <c r="L105" s="724"/>
      <c r="M105" s="723"/>
      <c r="N105" s="722"/>
      <c r="O105" s="235"/>
      <c r="P105" s="1231">
        <v>0</v>
      </c>
      <c r="Q105" s="723"/>
      <c r="R105" s="722"/>
      <c r="S105" s="723"/>
      <c r="T105" s="722"/>
      <c r="U105" s="235"/>
      <c r="V105" s="1231">
        <v>0</v>
      </c>
      <c r="W105" s="723"/>
      <c r="X105" s="722"/>
      <c r="Y105" s="723"/>
      <c r="Z105" s="1184"/>
      <c r="AA105" s="24"/>
      <c r="AB105" s="24"/>
      <c r="AC105" s="550"/>
    </row>
    <row r="106" spans="1:29" ht="12" x14ac:dyDescent="0.2">
      <c r="A106" s="652"/>
      <c r="B106" s="1061" t="s">
        <v>146</v>
      </c>
      <c r="C106" s="1524">
        <v>0</v>
      </c>
      <c r="D106" s="1525"/>
      <c r="E106" s="720"/>
      <c r="F106" s="721"/>
      <c r="G106" s="655"/>
      <c r="H106" s="722"/>
      <c r="I106" s="1524">
        <v>0</v>
      </c>
      <c r="J106" s="1525"/>
      <c r="K106" s="723"/>
      <c r="L106" s="724"/>
      <c r="M106" s="723"/>
      <c r="N106" s="722"/>
      <c r="O106" s="235"/>
      <c r="P106" s="1231">
        <v>6</v>
      </c>
      <c r="Q106" s="723"/>
      <c r="R106" s="722"/>
      <c r="S106" s="723"/>
      <c r="T106" s="722"/>
      <c r="U106" s="235"/>
      <c r="V106" s="1231">
        <v>0</v>
      </c>
      <c r="W106" s="723"/>
      <c r="X106" s="722"/>
      <c r="Y106" s="723"/>
      <c r="Z106" s="1184"/>
      <c r="AA106" s="24"/>
      <c r="AB106" s="24"/>
      <c r="AC106" s="550"/>
    </row>
    <row r="107" spans="1:29" ht="12" x14ac:dyDescent="0.2">
      <c r="A107" s="652"/>
      <c r="B107" s="1061" t="s">
        <v>156</v>
      </c>
      <c r="C107" s="1524">
        <f>SUM(C104:D106)</f>
        <v>630</v>
      </c>
      <c r="D107" s="1525"/>
      <c r="E107" s="720"/>
      <c r="F107" s="721"/>
      <c r="G107" s="655"/>
      <c r="H107" s="722"/>
      <c r="I107" s="1524">
        <f>SUM(I104:J106)</f>
        <v>616</v>
      </c>
      <c r="J107" s="1525"/>
      <c r="K107" s="723"/>
      <c r="L107" s="724"/>
      <c r="M107" s="723"/>
      <c r="N107" s="722"/>
      <c r="O107" s="235"/>
      <c r="P107" s="1231">
        <f>SUM(P104:P106)</f>
        <v>560</v>
      </c>
      <c r="Q107" s="723"/>
      <c r="R107" s="722"/>
      <c r="S107" s="723"/>
      <c r="T107" s="722"/>
      <c r="U107" s="235"/>
      <c r="V107" s="1231">
        <f>SUM(V104:V106)</f>
        <v>530</v>
      </c>
      <c r="W107" s="723"/>
      <c r="X107" s="722"/>
      <c r="Y107" s="723"/>
      <c r="Z107" s="1184"/>
      <c r="AA107" s="24"/>
      <c r="AB107" s="24"/>
      <c r="AC107" s="550"/>
    </row>
    <row r="108" spans="1:29" thickBot="1" x14ac:dyDescent="0.25">
      <c r="A108" s="652"/>
      <c r="B108" s="1062" t="s">
        <v>152</v>
      </c>
      <c r="C108" s="1461"/>
      <c r="D108" s="1462"/>
      <c r="E108" s="720"/>
      <c r="F108" s="721"/>
      <c r="G108" s="655"/>
      <c r="H108" s="722"/>
      <c r="I108" s="1461"/>
      <c r="J108" s="1462"/>
      <c r="K108" s="723"/>
      <c r="L108" s="724"/>
      <c r="M108" s="723"/>
      <c r="N108" s="722"/>
      <c r="O108" s="235"/>
      <c r="P108" s="1187"/>
      <c r="Q108" s="723"/>
      <c r="R108" s="722"/>
      <c r="S108" s="723"/>
      <c r="T108" s="722"/>
      <c r="U108" s="235"/>
      <c r="V108" s="1187"/>
      <c r="W108" s="723"/>
      <c r="X108" s="722"/>
      <c r="Y108" s="723"/>
      <c r="Z108" s="1184"/>
      <c r="AA108" s="24"/>
      <c r="AB108" s="24"/>
      <c r="AC108" s="550"/>
    </row>
    <row r="109" spans="1:29" ht="12" x14ac:dyDescent="0.2">
      <c r="A109" s="652"/>
      <c r="B109" s="1059" t="s">
        <v>153</v>
      </c>
      <c r="C109" s="1461">
        <f>C104/C97</f>
        <v>300</v>
      </c>
      <c r="D109" s="1462"/>
      <c r="E109" s="728"/>
      <c r="F109" s="729"/>
      <c r="G109" s="730"/>
      <c r="H109" s="731"/>
      <c r="I109" s="1461">
        <f>I104/I97</f>
        <v>246.4</v>
      </c>
      <c r="J109" s="1462"/>
      <c r="K109" s="723"/>
      <c r="L109" s="732"/>
      <c r="M109" s="723"/>
      <c r="N109" s="722"/>
      <c r="O109" s="235"/>
      <c r="P109" s="1199">
        <f>P104/P97</f>
        <v>149.72972972972971</v>
      </c>
      <c r="Q109" s="723"/>
      <c r="R109" s="722"/>
      <c r="S109" s="723"/>
      <c r="T109" s="722"/>
      <c r="U109" s="235"/>
      <c r="V109" s="1199">
        <f>V104/V97</f>
        <v>240.90909090909088</v>
      </c>
      <c r="W109" s="723"/>
      <c r="X109" s="722"/>
      <c r="Y109" s="723"/>
      <c r="Z109" s="1184"/>
      <c r="AB109" s="24"/>
      <c r="AC109" s="550"/>
    </row>
    <row r="110" spans="1:29" ht="12" x14ac:dyDescent="0.2">
      <c r="A110" s="652"/>
      <c r="B110" s="1061" t="s">
        <v>154</v>
      </c>
      <c r="C110" s="1461">
        <f>C105/SUM(C98:D100)</f>
        <v>0</v>
      </c>
      <c r="D110" s="1462"/>
      <c r="E110" s="728"/>
      <c r="F110" s="729"/>
      <c r="G110" s="730"/>
      <c r="H110" s="731"/>
      <c r="I110" s="1461">
        <f>I105/SUM(I98:J100)</f>
        <v>0</v>
      </c>
      <c r="J110" s="1462"/>
      <c r="K110" s="723"/>
      <c r="L110" s="732"/>
      <c r="M110" s="723"/>
      <c r="N110" s="722"/>
      <c r="O110" s="235"/>
      <c r="P110" s="1199">
        <f>P105/SUM(P98:Q100)</f>
        <v>0</v>
      </c>
      <c r="Q110" s="723"/>
      <c r="R110" s="722"/>
      <c r="S110" s="723"/>
      <c r="T110" s="722"/>
      <c r="U110" s="235"/>
      <c r="V110" s="1199">
        <v>0</v>
      </c>
      <c r="W110" s="723"/>
      <c r="X110" s="722"/>
      <c r="Y110" s="723"/>
      <c r="Z110" s="1184"/>
      <c r="AB110" s="24"/>
      <c r="AC110" s="550"/>
    </row>
    <row r="111" spans="1:29" ht="12" x14ac:dyDescent="0.2">
      <c r="A111" s="652"/>
      <c r="B111" s="1061" t="s">
        <v>155</v>
      </c>
      <c r="C111" s="1461">
        <v>0</v>
      </c>
      <c r="D111" s="1462"/>
      <c r="E111" s="728"/>
      <c r="F111" s="729"/>
      <c r="G111" s="730"/>
      <c r="H111" s="731"/>
      <c r="I111" s="1461">
        <v>0</v>
      </c>
      <c r="J111" s="1462"/>
      <c r="K111" s="723"/>
      <c r="L111" s="732"/>
      <c r="M111" s="723"/>
      <c r="N111" s="722"/>
      <c r="O111" s="235"/>
      <c r="P111" s="1199">
        <f>P106/P101</f>
        <v>10</v>
      </c>
      <c r="Q111" s="723"/>
      <c r="R111" s="722"/>
      <c r="S111" s="723"/>
      <c r="T111" s="722"/>
      <c r="U111" s="235"/>
      <c r="V111" s="1199">
        <v>0</v>
      </c>
      <c r="W111" s="723"/>
      <c r="X111" s="722"/>
      <c r="Y111" s="723"/>
      <c r="Z111" s="1184"/>
      <c r="AB111" s="24"/>
      <c r="AC111" s="550"/>
    </row>
    <row r="112" spans="1:29" thickBot="1" x14ac:dyDescent="0.25">
      <c r="A112" s="652"/>
      <c r="B112" s="1063" t="s">
        <v>147</v>
      </c>
      <c r="C112" s="1459">
        <f>C107/C102</f>
        <v>233.33333333333331</v>
      </c>
      <c r="D112" s="1460"/>
      <c r="E112" s="734"/>
      <c r="F112" s="735"/>
      <c r="G112" s="736"/>
      <c r="H112" s="737"/>
      <c r="I112" s="1459">
        <f>I107/I102</f>
        <v>205.33333333333334</v>
      </c>
      <c r="J112" s="1460"/>
      <c r="K112" s="738"/>
      <c r="L112" s="739"/>
      <c r="M112" s="738"/>
      <c r="N112" s="739"/>
      <c r="O112" s="252"/>
      <c r="P112" s="1200">
        <f>P107/P102</f>
        <v>114.28571428571429</v>
      </c>
      <c r="Q112" s="738"/>
      <c r="R112" s="739"/>
      <c r="S112" s="738"/>
      <c r="T112" s="739"/>
      <c r="U112" s="252"/>
      <c r="V112" s="1200">
        <f>V107/V102</f>
        <v>165.625</v>
      </c>
      <c r="W112" s="738"/>
      <c r="X112" s="739"/>
      <c r="Y112" s="738"/>
      <c r="Z112" s="1185"/>
      <c r="AB112" s="24"/>
      <c r="AC112" s="550"/>
    </row>
    <row r="113" spans="2:29" ht="13.5" thickTop="1" x14ac:dyDescent="0.2">
      <c r="B113" s="1" t="str">
        <f>'ag sum'!B126</f>
        <v>*Note: For the 2009 collection cycle and later, Instructional FTE was defined according to the national Delaware Study of Instructional Costs and Productivity</v>
      </c>
      <c r="AC113" s="24"/>
    </row>
  </sheetData>
  <mergeCells count="124">
    <mergeCell ref="Y18:Z18"/>
    <mergeCell ref="Y26:Z26"/>
    <mergeCell ref="Y29:Z29"/>
    <mergeCell ref="Y33:Z33"/>
    <mergeCell ref="Y60:Z60"/>
    <mergeCell ref="Y95:Z95"/>
    <mergeCell ref="AB29:AC29"/>
    <mergeCell ref="AB7:AC7"/>
    <mergeCell ref="M7:N7"/>
    <mergeCell ref="W7:X7"/>
    <mergeCell ref="S7:T7"/>
    <mergeCell ref="S29:T29"/>
    <mergeCell ref="S33:T33"/>
    <mergeCell ref="S60:T60"/>
    <mergeCell ref="W18:X18"/>
    <mergeCell ref="W26:X26"/>
    <mergeCell ref="W29:X29"/>
    <mergeCell ref="W33:X33"/>
    <mergeCell ref="W60:X60"/>
    <mergeCell ref="U7:V7"/>
    <mergeCell ref="U18:V18"/>
    <mergeCell ref="U26:V26"/>
    <mergeCell ref="U29:V29"/>
    <mergeCell ref="U33:V33"/>
    <mergeCell ref="U60:V60"/>
    <mergeCell ref="O33:P33"/>
    <mergeCell ref="O60:P60"/>
    <mergeCell ref="AB33:AC33"/>
    <mergeCell ref="AB60:AC60"/>
    <mergeCell ref="AB18:AC18"/>
    <mergeCell ref="Y7:Z7"/>
    <mergeCell ref="I18:J18"/>
    <mergeCell ref="S95:T95"/>
    <mergeCell ref="S18:T18"/>
    <mergeCell ref="S26:T26"/>
    <mergeCell ref="K7:L7"/>
    <mergeCell ref="Q18:R18"/>
    <mergeCell ref="Q26:R26"/>
    <mergeCell ref="Q29:R29"/>
    <mergeCell ref="Q7:R7"/>
    <mergeCell ref="O7:P7"/>
    <mergeCell ref="O29:P29"/>
    <mergeCell ref="O18:P18"/>
    <mergeCell ref="O95:P95"/>
    <mergeCell ref="K18:L18"/>
    <mergeCell ref="K33:L33"/>
    <mergeCell ref="K60:L60"/>
    <mergeCell ref="M26:N26"/>
    <mergeCell ref="M29:N29"/>
    <mergeCell ref="M33:N33"/>
    <mergeCell ref="M60:N60"/>
    <mergeCell ref="K95:L95"/>
    <mergeCell ref="M95:N95"/>
    <mergeCell ref="K29:L29"/>
    <mergeCell ref="M18:N18"/>
    <mergeCell ref="K26:L26"/>
    <mergeCell ref="O26:P26"/>
    <mergeCell ref="AB95:AC95"/>
    <mergeCell ref="W95:X95"/>
    <mergeCell ref="U95:V95"/>
    <mergeCell ref="C18:D18"/>
    <mergeCell ref="E18:F18"/>
    <mergeCell ref="C28:D28"/>
    <mergeCell ref="E28:F28"/>
    <mergeCell ref="C29:D29"/>
    <mergeCell ref="G27:H27"/>
    <mergeCell ref="G18:H18"/>
    <mergeCell ref="E29:F29"/>
    <mergeCell ref="G29:H29"/>
    <mergeCell ref="E27:F27"/>
    <mergeCell ref="E26:F26"/>
    <mergeCell ref="E33:F33"/>
    <mergeCell ref="C33:D33"/>
    <mergeCell ref="G26:H26"/>
    <mergeCell ref="C26:D26"/>
    <mergeCell ref="C27:D27"/>
    <mergeCell ref="I29:J29"/>
    <mergeCell ref="I33:J33"/>
    <mergeCell ref="G33:H33"/>
    <mergeCell ref="I28:J28"/>
    <mergeCell ref="G28:H28"/>
    <mergeCell ref="I27:J27"/>
    <mergeCell ref="I26:J26"/>
    <mergeCell ref="I104:J104"/>
    <mergeCell ref="C101:D101"/>
    <mergeCell ref="I101:J101"/>
    <mergeCell ref="C102:D102"/>
    <mergeCell ref="I102:J102"/>
    <mergeCell ref="C60:D60"/>
    <mergeCell ref="E60:F60"/>
    <mergeCell ref="C95:D95"/>
    <mergeCell ref="E95:F95"/>
    <mergeCell ref="G95:H95"/>
    <mergeCell ref="I95:J95"/>
    <mergeCell ref="I60:J60"/>
    <mergeCell ref="C100:D100"/>
    <mergeCell ref="I100:J100"/>
    <mergeCell ref="C97:D97"/>
    <mergeCell ref="I97:J97"/>
    <mergeCell ref="G60:H60"/>
    <mergeCell ref="C112:D112"/>
    <mergeCell ref="I112:J112"/>
    <mergeCell ref="C108:D108"/>
    <mergeCell ref="I108:J108"/>
    <mergeCell ref="C109:D109"/>
    <mergeCell ref="Q33:R33"/>
    <mergeCell ref="Q60:R60"/>
    <mergeCell ref="Q95:R95"/>
    <mergeCell ref="C111:D111"/>
    <mergeCell ref="I111:J111"/>
    <mergeCell ref="I109:J109"/>
    <mergeCell ref="C110:D110"/>
    <mergeCell ref="I110:J110"/>
    <mergeCell ref="C105:D105"/>
    <mergeCell ref="I105:J105"/>
    <mergeCell ref="C106:D106"/>
    <mergeCell ref="I106:J106"/>
    <mergeCell ref="C107:D107"/>
    <mergeCell ref="I107:J107"/>
    <mergeCell ref="C103:D103"/>
    <mergeCell ref="I103:J103"/>
    <mergeCell ref="C98:D99"/>
    <mergeCell ref="I98:J99"/>
    <mergeCell ref="C104:D104"/>
  </mergeCells>
  <phoneticPr fontId="0" type="noConversion"/>
  <printOptions horizontalCentered="1"/>
  <pageMargins left="0.32" right="0.27" top="0.5" bottom="0.5" header="0.5" footer="0.5"/>
  <pageSetup scale="72" orientation="landscape" horizontalDpi="4294967292" verticalDpi="4294967292" r:id="rId1"/>
  <headerFooter alignWithMargins="0">
    <oddFooter>&amp;R&amp;P of &amp;N
&amp;D</oddFooter>
  </headerFooter>
  <rowBreaks count="1" manualBreakCount="1">
    <brk id="57" max="16383" man="1"/>
  </rowBreaks>
  <ignoredErrors>
    <ignoredError sqref="S70:S8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4"/>
  <sheetViews>
    <sheetView view="pageBreakPreview" zoomScaleNormal="85" zoomScaleSheetLayoutView="100" workbookViewId="0">
      <pane xSplit="6" topLeftCell="O1" activePane="topRight" state="frozen"/>
      <selection activeCell="AE82" sqref="AE82"/>
      <selection pane="topRight" activeCell="AE82" sqref="AE82"/>
    </sheetView>
  </sheetViews>
  <sheetFormatPr defaultColWidth="10.28515625" defaultRowHeight="12.75" x14ac:dyDescent="0.2"/>
  <cols>
    <col min="1" max="1" width="2.7109375" style="1" customWidth="1"/>
    <col min="2" max="2" width="30.140625" style="1" customWidth="1"/>
    <col min="3" max="3" width="7.7109375" hidden="1" customWidth="1"/>
    <col min="4" max="4" width="10.42578125" hidden="1" customWidth="1"/>
    <col min="5" max="5" width="7.7109375" hidden="1" customWidth="1"/>
    <col min="6" max="6" width="10.42578125" hidden="1" customWidth="1"/>
    <col min="7" max="7" width="7.7109375" style="223" hidden="1" customWidth="1"/>
    <col min="8" max="8" width="10.42578125" style="223" hidden="1" customWidth="1"/>
    <col min="9" max="9" width="7.7109375" style="223" hidden="1" customWidth="1"/>
    <col min="10" max="10" width="10.42578125" style="223" hidden="1" customWidth="1"/>
    <col min="11" max="11" width="7.7109375" style="1" hidden="1" customWidth="1"/>
    <col min="12" max="12" width="10.5703125" style="1" hidden="1" customWidth="1"/>
    <col min="13" max="13" width="7.7109375" style="1" hidden="1" customWidth="1"/>
    <col min="14" max="14" width="10.42578125" style="1" hidden="1" customWidth="1"/>
    <col min="15" max="15" width="7.7109375" style="1" customWidth="1"/>
    <col min="16" max="16" width="10.42578125" style="1" customWidth="1"/>
    <col min="17" max="17" width="7.7109375" style="1" customWidth="1"/>
    <col min="18" max="18" width="11.42578125" style="1" customWidth="1"/>
    <col min="19" max="19" width="7.7109375" style="1" customWidth="1"/>
    <col min="20" max="20" width="10.42578125" style="1" customWidth="1"/>
    <col min="21" max="21" width="7.7109375" style="1" customWidth="1"/>
    <col min="22" max="22" width="10.85546875" style="1" bestFit="1" customWidth="1"/>
    <col min="23" max="23" width="7.7109375" style="1" customWidth="1"/>
    <col min="24" max="24" width="10.42578125" style="1" customWidth="1"/>
    <col min="25" max="25" width="7.7109375" style="1" customWidth="1"/>
    <col min="26" max="26" width="10.42578125" style="1" customWidth="1"/>
    <col min="27" max="27" width="2.85546875" style="1" customWidth="1"/>
    <col min="28" max="28" width="7.7109375" style="1" customWidth="1"/>
    <col min="29" max="29" width="10.5703125" style="1" customWidth="1"/>
    <col min="30" max="30" width="3.140625" style="1" customWidth="1"/>
    <col min="31" max="16384" width="10.28515625" style="1"/>
  </cols>
  <sheetData>
    <row r="1" spans="1:29" ht="18" x14ac:dyDescent="0.25">
      <c r="A1" s="1100" t="str">
        <f>Dean_Ag!A1</f>
        <v>Department Profile Report - FY 2015</v>
      </c>
      <c r="B1" s="1100"/>
      <c r="C1" s="1100"/>
      <c r="D1" s="1100"/>
      <c r="E1" s="1100"/>
      <c r="F1" s="1100"/>
      <c r="G1" s="1100"/>
      <c r="H1" s="1100"/>
      <c r="I1" s="1101"/>
      <c r="J1" s="1101"/>
      <c r="K1" s="1101"/>
      <c r="L1" s="1101"/>
      <c r="M1" s="1101"/>
      <c r="N1" s="1101"/>
      <c r="O1" s="1101"/>
      <c r="P1" s="1101"/>
      <c r="Q1" s="1101"/>
      <c r="R1" s="1101"/>
      <c r="S1" s="1101"/>
      <c r="T1" s="1101"/>
      <c r="U1" s="1101"/>
      <c r="V1" s="1101"/>
      <c r="W1" s="1101"/>
      <c r="X1" s="1101"/>
      <c r="Y1" s="1101"/>
      <c r="Z1" s="1101"/>
      <c r="AA1" s="1101"/>
      <c r="AB1" s="1101"/>
      <c r="AC1" s="1101"/>
    </row>
    <row r="2" spans="1:29" x14ac:dyDescent="0.2">
      <c r="A2" s="3" t="s">
        <v>21</v>
      </c>
      <c r="B2" s="222"/>
      <c r="C2" s="1"/>
      <c r="D2" s="1"/>
      <c r="E2" s="1"/>
      <c r="F2" s="1"/>
      <c r="G2" s="222"/>
      <c r="H2" s="222"/>
      <c r="I2" s="222"/>
      <c r="J2" s="222"/>
    </row>
    <row r="3" spans="1:29" ht="5.25" customHeight="1" x14ac:dyDescent="0.2">
      <c r="C3" s="1"/>
      <c r="D3" s="1"/>
      <c r="E3" s="1"/>
      <c r="F3" s="1"/>
      <c r="G3" s="222"/>
      <c r="H3" s="222"/>
      <c r="I3" s="222"/>
      <c r="J3" s="222"/>
    </row>
    <row r="4" spans="1:29" x14ac:dyDescent="0.2">
      <c r="A4" s="3" t="s">
        <v>55</v>
      </c>
      <c r="C4" s="1"/>
      <c r="D4" s="1"/>
      <c r="E4" s="1"/>
      <c r="F4" s="1"/>
      <c r="G4" s="222"/>
      <c r="H4" s="222"/>
      <c r="I4" s="222"/>
      <c r="J4" s="222"/>
    </row>
    <row r="5" spans="1:29" ht="6" customHeight="1" thickBot="1" x14ac:dyDescent="0.25">
      <c r="A5" s="2"/>
      <c r="C5" s="1"/>
      <c r="D5" s="1"/>
      <c r="E5" s="1"/>
      <c r="F5" s="1"/>
      <c r="G5" s="222"/>
      <c r="H5" s="222"/>
      <c r="I5" s="222"/>
      <c r="J5" s="222"/>
      <c r="AB5" s="71"/>
      <c r="AC5" s="71"/>
    </row>
    <row r="6" spans="1:29" ht="13.5" customHeight="1" thickTop="1" x14ac:dyDescent="0.2">
      <c r="B6" s="38"/>
      <c r="C6" s="8" t="s">
        <v>33</v>
      </c>
      <c r="D6" s="29"/>
      <c r="E6" s="8" t="s">
        <v>34</v>
      </c>
      <c r="F6" s="5"/>
      <c r="G6" s="256" t="s">
        <v>106</v>
      </c>
      <c r="H6" s="418"/>
      <c r="I6" s="405" t="s">
        <v>118</v>
      </c>
      <c r="J6" s="469"/>
      <c r="K6" s="1512" t="s">
        <v>121</v>
      </c>
      <c r="L6" s="1509"/>
      <c r="M6" s="1512" t="s">
        <v>127</v>
      </c>
      <c r="N6" s="1513"/>
      <c r="O6" s="1509" t="s">
        <v>174</v>
      </c>
      <c r="P6" s="1513"/>
      <c r="Q6" s="1509" t="s">
        <v>193</v>
      </c>
      <c r="R6" s="1513"/>
      <c r="S6" s="1509" t="s">
        <v>218</v>
      </c>
      <c r="T6" s="1513"/>
      <c r="U6" s="1509" t="s">
        <v>221</v>
      </c>
      <c r="V6" s="1513"/>
      <c r="W6" s="1509" t="s">
        <v>232</v>
      </c>
      <c r="X6" s="1513"/>
      <c r="Y6" s="1509" t="s">
        <v>241</v>
      </c>
      <c r="Z6" s="1510"/>
      <c r="AB6" s="1517" t="s">
        <v>134</v>
      </c>
      <c r="AC6" s="1528"/>
    </row>
    <row r="7" spans="1:29" ht="12" x14ac:dyDescent="0.2">
      <c r="B7" s="39"/>
      <c r="C7" s="9" t="s">
        <v>1</v>
      </c>
      <c r="D7" s="31" t="s">
        <v>2</v>
      </c>
      <c r="E7" s="9" t="s">
        <v>1</v>
      </c>
      <c r="F7" s="6" t="s">
        <v>2</v>
      </c>
      <c r="G7" s="257" t="s">
        <v>1</v>
      </c>
      <c r="H7" s="415" t="s">
        <v>2</v>
      </c>
      <c r="I7" s="402" t="s">
        <v>1</v>
      </c>
      <c r="J7" s="470" t="s">
        <v>2</v>
      </c>
      <c r="K7" s="257" t="s">
        <v>1</v>
      </c>
      <c r="L7" s="470" t="s">
        <v>2</v>
      </c>
      <c r="M7" s="257" t="s">
        <v>1</v>
      </c>
      <c r="N7" s="415" t="s">
        <v>2</v>
      </c>
      <c r="O7" s="402" t="s">
        <v>1</v>
      </c>
      <c r="P7" s="415" t="s">
        <v>2</v>
      </c>
      <c r="Q7" s="402" t="s">
        <v>1</v>
      </c>
      <c r="R7" s="415" t="s">
        <v>2</v>
      </c>
      <c r="S7" s="402" t="s">
        <v>1</v>
      </c>
      <c r="T7" s="415" t="s">
        <v>2</v>
      </c>
      <c r="U7" s="402" t="s">
        <v>1</v>
      </c>
      <c r="V7" s="415" t="s">
        <v>2</v>
      </c>
      <c r="W7" s="402" t="s">
        <v>1</v>
      </c>
      <c r="X7" s="415" t="s">
        <v>2</v>
      </c>
      <c r="Y7" s="402" t="s">
        <v>1</v>
      </c>
      <c r="Z7" s="224" t="s">
        <v>2</v>
      </c>
      <c r="AB7" s="755" t="s">
        <v>1</v>
      </c>
      <c r="AC7" s="756" t="s">
        <v>2</v>
      </c>
    </row>
    <row r="8" spans="1:29" thickBot="1" x14ac:dyDescent="0.25">
      <c r="B8" s="40"/>
      <c r="C8" s="55" t="s">
        <v>3</v>
      </c>
      <c r="D8" s="56" t="s">
        <v>4</v>
      </c>
      <c r="E8" s="55" t="s">
        <v>3</v>
      </c>
      <c r="F8" s="282" t="s">
        <v>4</v>
      </c>
      <c r="G8" s="283" t="s">
        <v>3</v>
      </c>
      <c r="H8" s="431" t="s">
        <v>4</v>
      </c>
      <c r="I8" s="419" t="s">
        <v>3</v>
      </c>
      <c r="J8" s="471" t="s">
        <v>4</v>
      </c>
      <c r="K8" s="283" t="s">
        <v>3</v>
      </c>
      <c r="L8" s="471" t="s">
        <v>4</v>
      </c>
      <c r="M8" s="283" t="s">
        <v>3</v>
      </c>
      <c r="N8" s="431" t="s">
        <v>4</v>
      </c>
      <c r="O8" s="419" t="s">
        <v>3</v>
      </c>
      <c r="P8" s="431" t="s">
        <v>4</v>
      </c>
      <c r="Q8" s="419" t="s">
        <v>3</v>
      </c>
      <c r="R8" s="431" t="s">
        <v>4</v>
      </c>
      <c r="S8" s="419" t="s">
        <v>3</v>
      </c>
      <c r="T8" s="431" t="s">
        <v>4</v>
      </c>
      <c r="U8" s="419" t="s">
        <v>3</v>
      </c>
      <c r="V8" s="431" t="s">
        <v>4</v>
      </c>
      <c r="W8" s="419" t="s">
        <v>3</v>
      </c>
      <c r="X8" s="431" t="s">
        <v>4</v>
      </c>
      <c r="Y8" s="419" t="s">
        <v>3</v>
      </c>
      <c r="Z8" s="225" t="s">
        <v>4</v>
      </c>
      <c r="AB8" s="757" t="s">
        <v>3</v>
      </c>
      <c r="AC8" s="758" t="s">
        <v>4</v>
      </c>
    </row>
    <row r="9" spans="1:29" ht="12" x14ac:dyDescent="0.2">
      <c r="B9" s="41" t="s">
        <v>5</v>
      </c>
      <c r="C9" s="57"/>
      <c r="D9" s="58"/>
      <c r="E9" s="57"/>
      <c r="F9" s="27"/>
      <c r="G9" s="284"/>
      <c r="H9" s="393"/>
      <c r="I9" s="324"/>
      <c r="J9" s="472"/>
      <c r="K9" s="284"/>
      <c r="L9" s="472"/>
      <c r="M9" s="284"/>
      <c r="N9" s="393"/>
      <c r="O9" s="324"/>
      <c r="P9" s="393"/>
      <c r="Q9" s="324"/>
      <c r="R9" s="393"/>
      <c r="S9" s="324"/>
      <c r="T9" s="393"/>
      <c r="U9" s="324"/>
      <c r="V9" s="393"/>
      <c r="W9" s="324"/>
      <c r="X9" s="393"/>
      <c r="Y9" s="324"/>
      <c r="Z9" s="226"/>
      <c r="AB9" s="299"/>
      <c r="AC9" s="652"/>
    </row>
    <row r="10" spans="1:29" ht="12" x14ac:dyDescent="0.2">
      <c r="B10" s="593" t="s">
        <v>237</v>
      </c>
      <c r="C10" s="338"/>
      <c r="D10" s="339"/>
      <c r="E10" s="338"/>
      <c r="F10" s="340"/>
      <c r="G10" s="259"/>
      <c r="H10" s="339"/>
      <c r="I10" s="338"/>
      <c r="J10" s="340"/>
      <c r="K10" s="259"/>
      <c r="L10" s="340"/>
      <c r="M10" s="259"/>
      <c r="N10" s="339"/>
      <c r="O10" s="338"/>
      <c r="P10" s="339"/>
      <c r="Q10" s="338"/>
      <c r="R10" s="339"/>
      <c r="S10" s="338"/>
      <c r="T10" s="339"/>
      <c r="U10" s="338"/>
      <c r="V10" s="339"/>
      <c r="W10" s="338"/>
      <c r="X10" s="339"/>
      <c r="Y10" s="338"/>
      <c r="Z10" s="130"/>
      <c r="AB10" s="299"/>
      <c r="AC10" s="652"/>
    </row>
    <row r="11" spans="1:29" ht="12" x14ac:dyDescent="0.2">
      <c r="B11" s="594" t="s">
        <v>167</v>
      </c>
      <c r="C11" s="338">
        <v>11</v>
      </c>
      <c r="D11" s="339">
        <v>4</v>
      </c>
      <c r="E11" s="338">
        <v>8</v>
      </c>
      <c r="F11" s="340">
        <v>5</v>
      </c>
      <c r="G11" s="259">
        <v>12</v>
      </c>
      <c r="H11" s="339">
        <v>3</v>
      </c>
      <c r="I11" s="338">
        <v>23</v>
      </c>
      <c r="J11" s="352">
        <v>2</v>
      </c>
      <c r="K11" s="259">
        <v>25</v>
      </c>
      <c r="L11" s="340">
        <v>9</v>
      </c>
      <c r="M11" s="259">
        <v>21</v>
      </c>
      <c r="N11" s="339">
        <v>9</v>
      </c>
      <c r="O11" s="338">
        <v>20</v>
      </c>
      <c r="P11" s="339">
        <v>6</v>
      </c>
      <c r="Q11" s="338">
        <v>21</v>
      </c>
      <c r="R11" s="339">
        <v>11</v>
      </c>
      <c r="S11" s="338">
        <v>22</v>
      </c>
      <c r="T11" s="339">
        <v>2</v>
      </c>
      <c r="U11" s="338">
        <v>36</v>
      </c>
      <c r="V11" s="339">
        <v>7</v>
      </c>
      <c r="W11" s="338">
        <v>35</v>
      </c>
      <c r="X11" s="339">
        <v>7</v>
      </c>
      <c r="Y11" s="338">
        <v>33</v>
      </c>
      <c r="Z11" s="1399"/>
      <c r="AA11" s="657"/>
      <c r="AB11" s="742">
        <f>AVERAGE(W11,U11,S11,Q11,Y11)</f>
        <v>29.4</v>
      </c>
      <c r="AC11" s="759">
        <f t="shared" ref="AC11:AC12" si="0">AVERAGE(X11,V11,T11,R11,Z11)</f>
        <v>6.75</v>
      </c>
    </row>
    <row r="12" spans="1:29" ht="12" x14ac:dyDescent="0.2">
      <c r="B12" s="594" t="s">
        <v>6</v>
      </c>
      <c r="C12" s="338">
        <v>18</v>
      </c>
      <c r="D12" s="339">
        <v>9</v>
      </c>
      <c r="E12" s="338">
        <v>11</v>
      </c>
      <c r="F12" s="340">
        <v>4</v>
      </c>
      <c r="G12" s="259">
        <v>12</v>
      </c>
      <c r="H12" s="339">
        <v>1</v>
      </c>
      <c r="I12" s="338">
        <v>12</v>
      </c>
      <c r="J12" s="352">
        <v>3</v>
      </c>
      <c r="K12" s="259">
        <v>18</v>
      </c>
      <c r="L12" s="340">
        <v>3</v>
      </c>
      <c r="M12" s="259">
        <v>20</v>
      </c>
      <c r="N12" s="339">
        <v>2</v>
      </c>
      <c r="O12" s="338">
        <v>24</v>
      </c>
      <c r="P12" s="339">
        <v>1</v>
      </c>
      <c r="Q12" s="338">
        <v>30</v>
      </c>
      <c r="R12" s="339">
        <v>5</v>
      </c>
      <c r="S12" s="338">
        <v>25</v>
      </c>
      <c r="T12" s="339">
        <v>6</v>
      </c>
      <c r="U12" s="338">
        <v>21</v>
      </c>
      <c r="V12" s="339">
        <v>6</v>
      </c>
      <c r="W12" s="338">
        <v>22</v>
      </c>
      <c r="X12" s="339">
        <v>2</v>
      </c>
      <c r="Y12" s="338">
        <v>27</v>
      </c>
      <c r="Z12" s="1399"/>
      <c r="AA12" s="657"/>
      <c r="AB12" s="742">
        <f>AVERAGE(W12,U12,S12,Q12,Y12)</f>
        <v>25</v>
      </c>
      <c r="AC12" s="759">
        <f t="shared" si="0"/>
        <v>4.75</v>
      </c>
    </row>
    <row r="13" spans="1:29" ht="12" x14ac:dyDescent="0.2">
      <c r="B13" s="593" t="s">
        <v>177</v>
      </c>
      <c r="C13" s="338"/>
      <c r="D13" s="339"/>
      <c r="E13" s="338"/>
      <c r="F13" s="340"/>
      <c r="G13" s="259"/>
      <c r="H13" s="339"/>
      <c r="I13" s="338"/>
      <c r="J13" s="352"/>
      <c r="K13" s="259"/>
      <c r="L13" s="617"/>
      <c r="M13" s="259"/>
      <c r="N13" s="339"/>
      <c r="O13" s="338"/>
      <c r="P13" s="339"/>
      <c r="Q13" s="338"/>
      <c r="R13" s="339"/>
      <c r="S13" s="338"/>
      <c r="T13" s="339"/>
      <c r="U13" s="338"/>
      <c r="V13" s="339"/>
      <c r="W13" s="338"/>
      <c r="X13" s="339"/>
      <c r="Y13" s="338"/>
      <c r="Z13" s="1399"/>
      <c r="AA13" s="657"/>
      <c r="AB13" s="742"/>
      <c r="AC13" s="759"/>
    </row>
    <row r="14" spans="1:29" ht="12" x14ac:dyDescent="0.2">
      <c r="B14" s="594" t="s">
        <v>164</v>
      </c>
      <c r="C14" s="338">
        <v>26</v>
      </c>
      <c r="D14" s="339">
        <v>11</v>
      </c>
      <c r="E14" s="338">
        <f>28+1</f>
        <v>29</v>
      </c>
      <c r="F14" s="340">
        <v>1</v>
      </c>
      <c r="G14" s="259">
        <v>37</v>
      </c>
      <c r="H14" s="339">
        <v>6</v>
      </c>
      <c r="I14" s="338">
        <v>44</v>
      </c>
      <c r="J14" s="352">
        <v>7</v>
      </c>
      <c r="K14" s="259">
        <v>33</v>
      </c>
      <c r="L14" s="340">
        <v>5</v>
      </c>
      <c r="M14" s="259">
        <f>38+3</f>
        <v>41</v>
      </c>
      <c r="N14" s="339">
        <v>8</v>
      </c>
      <c r="O14" s="338">
        <f>39+1</f>
        <v>40</v>
      </c>
      <c r="P14" s="339">
        <v>4</v>
      </c>
      <c r="Q14" s="338">
        <v>44</v>
      </c>
      <c r="R14" s="339">
        <v>8</v>
      </c>
      <c r="S14" s="338">
        <v>48</v>
      </c>
      <c r="T14" s="339">
        <v>12</v>
      </c>
      <c r="U14" s="338">
        <v>42</v>
      </c>
      <c r="V14" s="339">
        <v>7</v>
      </c>
      <c r="W14" s="338">
        <v>52</v>
      </c>
      <c r="X14" s="339">
        <v>9</v>
      </c>
      <c r="Y14" s="338">
        <v>52</v>
      </c>
      <c r="Z14" s="1399"/>
      <c r="AA14" s="657"/>
      <c r="AB14" s="742">
        <f t="shared" ref="AB14:AB15" si="1">AVERAGE(W14,U14,S14,Q14,Y14)</f>
        <v>47.6</v>
      </c>
      <c r="AC14" s="759">
        <f t="shared" ref="AC14:AC15" si="2">AVERAGE(X14,V14,T14,R14,Z14)</f>
        <v>9</v>
      </c>
    </row>
    <row r="15" spans="1:29" ht="12" x14ac:dyDescent="0.2">
      <c r="B15" s="594" t="s">
        <v>51</v>
      </c>
      <c r="C15" s="336"/>
      <c r="D15" s="337"/>
      <c r="E15" s="336"/>
      <c r="F15" s="106"/>
      <c r="G15" s="129">
        <v>0</v>
      </c>
      <c r="H15" s="456">
        <v>0</v>
      </c>
      <c r="I15" s="336">
        <v>0</v>
      </c>
      <c r="J15" s="343">
        <v>0</v>
      </c>
      <c r="K15" s="129">
        <v>2</v>
      </c>
      <c r="L15" s="106">
        <v>1</v>
      </c>
      <c r="M15" s="129">
        <v>2</v>
      </c>
      <c r="N15" s="337">
        <v>1</v>
      </c>
      <c r="O15" s="336">
        <v>2</v>
      </c>
      <c r="P15" s="337">
        <v>2</v>
      </c>
      <c r="Q15" s="336">
        <v>2</v>
      </c>
      <c r="R15" s="337">
        <v>0</v>
      </c>
      <c r="S15" s="336">
        <v>1</v>
      </c>
      <c r="T15" s="337">
        <v>0</v>
      </c>
      <c r="U15" s="336">
        <v>3</v>
      </c>
      <c r="V15" s="337">
        <v>1</v>
      </c>
      <c r="W15" s="336">
        <v>4</v>
      </c>
      <c r="X15" s="337">
        <v>0</v>
      </c>
      <c r="Y15" s="336">
        <v>7</v>
      </c>
      <c r="Z15" s="1400"/>
      <c r="AA15" s="657"/>
      <c r="AB15" s="742">
        <f t="shared" si="1"/>
        <v>3.4</v>
      </c>
      <c r="AC15" s="759">
        <f t="shared" si="2"/>
        <v>0.25</v>
      </c>
    </row>
    <row r="16" spans="1:29" ht="12" x14ac:dyDescent="0.2">
      <c r="B16" s="593" t="s">
        <v>178</v>
      </c>
      <c r="C16" s="336"/>
      <c r="D16" s="337"/>
      <c r="E16" s="336"/>
      <c r="F16" s="106"/>
      <c r="G16" s="129"/>
      <c r="H16" s="456"/>
      <c r="I16" s="336"/>
      <c r="J16" s="343"/>
      <c r="K16" s="129"/>
      <c r="L16" s="618"/>
      <c r="M16" s="129"/>
      <c r="N16" s="337"/>
      <c r="O16" s="336"/>
      <c r="P16" s="337"/>
      <c r="Q16" s="336"/>
      <c r="R16" s="337"/>
      <c r="S16" s="336"/>
      <c r="T16" s="337"/>
      <c r="U16" s="336"/>
      <c r="V16" s="337"/>
      <c r="W16" s="336"/>
      <c r="X16" s="337"/>
      <c r="Y16" s="336"/>
      <c r="Z16" s="1400"/>
      <c r="AA16" s="657"/>
      <c r="AB16" s="742"/>
      <c r="AC16" s="759"/>
    </row>
    <row r="17" spans="2:30" ht="12" x14ac:dyDescent="0.2">
      <c r="B17" s="594" t="s">
        <v>164</v>
      </c>
      <c r="C17" s="338">
        <v>45</v>
      </c>
      <c r="D17" s="339">
        <v>9</v>
      </c>
      <c r="E17" s="338">
        <f>38+2</f>
        <v>40</v>
      </c>
      <c r="F17" s="340">
        <v>8</v>
      </c>
      <c r="G17" s="259">
        <v>42</v>
      </c>
      <c r="H17" s="339">
        <v>11</v>
      </c>
      <c r="I17" s="338">
        <v>35</v>
      </c>
      <c r="J17" s="352">
        <v>10</v>
      </c>
      <c r="K17" s="259">
        <v>33</v>
      </c>
      <c r="L17" s="340">
        <v>6</v>
      </c>
      <c r="M17" s="259">
        <f>38+2</f>
        <v>40</v>
      </c>
      <c r="N17" s="339">
        <v>4</v>
      </c>
      <c r="O17" s="338">
        <f>59+5</f>
        <v>64</v>
      </c>
      <c r="P17" s="339">
        <v>7</v>
      </c>
      <c r="Q17" s="338">
        <v>77</v>
      </c>
      <c r="R17" s="339">
        <v>5</v>
      </c>
      <c r="S17" s="338">
        <v>71</v>
      </c>
      <c r="T17" s="339">
        <v>19</v>
      </c>
      <c r="U17" s="338">
        <v>75</v>
      </c>
      <c r="V17" s="339">
        <v>12</v>
      </c>
      <c r="W17" s="338">
        <v>88</v>
      </c>
      <c r="X17" s="339">
        <v>8</v>
      </c>
      <c r="Y17" s="338">
        <v>92</v>
      </c>
      <c r="Z17" s="1399"/>
      <c r="AA17" s="657"/>
      <c r="AB17" s="742">
        <f t="shared" ref="AB17:AB18" si="3">AVERAGE(W17,U17,S17,Q17,Y17)</f>
        <v>80.599999999999994</v>
      </c>
      <c r="AC17" s="759">
        <f t="shared" ref="AC17:AC18" si="4">AVERAGE(X17,V17,T17,R17,Z17)</f>
        <v>11</v>
      </c>
    </row>
    <row r="18" spans="2:30" ht="12" x14ac:dyDescent="0.2">
      <c r="B18" s="594" t="s">
        <v>51</v>
      </c>
      <c r="C18" s="338">
        <v>1</v>
      </c>
      <c r="D18" s="339"/>
      <c r="E18" s="338">
        <v>1</v>
      </c>
      <c r="F18" s="340"/>
      <c r="G18" s="259">
        <v>0</v>
      </c>
      <c r="H18" s="339">
        <v>0</v>
      </c>
      <c r="I18" s="338">
        <v>0</v>
      </c>
      <c r="J18" s="352">
        <v>0</v>
      </c>
      <c r="K18" s="259">
        <v>1</v>
      </c>
      <c r="L18" s="340">
        <v>0</v>
      </c>
      <c r="M18" s="259">
        <v>2</v>
      </c>
      <c r="N18" s="339">
        <v>1</v>
      </c>
      <c r="O18" s="338">
        <v>4</v>
      </c>
      <c r="P18" s="339">
        <v>0</v>
      </c>
      <c r="Q18" s="338">
        <v>3</v>
      </c>
      <c r="R18" s="339">
        <v>0</v>
      </c>
      <c r="S18" s="338">
        <v>4</v>
      </c>
      <c r="T18" s="339">
        <v>1</v>
      </c>
      <c r="U18" s="338">
        <v>6</v>
      </c>
      <c r="V18" s="339">
        <v>0</v>
      </c>
      <c r="W18" s="338">
        <v>12</v>
      </c>
      <c r="X18" s="339">
        <v>1</v>
      </c>
      <c r="Y18" s="338">
        <v>11</v>
      </c>
      <c r="Z18" s="1399"/>
      <c r="AA18" s="657"/>
      <c r="AB18" s="742">
        <f t="shared" si="3"/>
        <v>7.2</v>
      </c>
      <c r="AC18" s="759">
        <f t="shared" si="4"/>
        <v>0.5</v>
      </c>
    </row>
    <row r="19" spans="2:30" ht="12" x14ac:dyDescent="0.2">
      <c r="B19" s="593" t="s">
        <v>179</v>
      </c>
      <c r="C19" s="353"/>
      <c r="D19" s="342"/>
      <c r="E19" s="353"/>
      <c r="F19" s="345"/>
      <c r="G19" s="359"/>
      <c r="H19" s="446"/>
      <c r="I19" s="353"/>
      <c r="J19" s="343"/>
      <c r="K19" s="359"/>
      <c r="L19" s="481"/>
      <c r="M19" s="359"/>
      <c r="N19" s="1022"/>
      <c r="O19" s="353"/>
      <c r="P19" s="1022"/>
      <c r="Q19" s="353"/>
      <c r="R19" s="1022"/>
      <c r="S19" s="353"/>
      <c r="T19" s="1022"/>
      <c r="U19" s="353"/>
      <c r="V19" s="1022"/>
      <c r="W19" s="353"/>
      <c r="X19" s="1022"/>
      <c r="Y19" s="353"/>
      <c r="Z19" s="1401"/>
      <c r="AA19" s="657"/>
      <c r="AB19" s="742"/>
      <c r="AC19" s="759"/>
    </row>
    <row r="20" spans="2:30" ht="12" x14ac:dyDescent="0.2">
      <c r="B20" s="594" t="s">
        <v>164</v>
      </c>
      <c r="C20" s="353">
        <v>59</v>
      </c>
      <c r="D20" s="342">
        <v>17</v>
      </c>
      <c r="E20" s="353">
        <f>59+2</f>
        <v>61</v>
      </c>
      <c r="F20" s="343">
        <v>10</v>
      </c>
      <c r="G20" s="359">
        <v>59</v>
      </c>
      <c r="H20" s="342">
        <v>13</v>
      </c>
      <c r="I20" s="353">
        <v>78</v>
      </c>
      <c r="J20" s="343">
        <v>12</v>
      </c>
      <c r="K20" s="359">
        <v>80</v>
      </c>
      <c r="L20" s="343">
        <v>14</v>
      </c>
      <c r="M20" s="359">
        <f>81+2</f>
        <v>83</v>
      </c>
      <c r="N20" s="342">
        <v>19</v>
      </c>
      <c r="O20" s="353">
        <f>81+1</f>
        <v>82</v>
      </c>
      <c r="P20" s="342">
        <v>13</v>
      </c>
      <c r="Q20" s="353">
        <v>93</v>
      </c>
      <c r="R20" s="342">
        <v>17</v>
      </c>
      <c r="S20" s="353">
        <v>94</v>
      </c>
      <c r="T20" s="342">
        <v>23</v>
      </c>
      <c r="U20" s="353">
        <v>89</v>
      </c>
      <c r="V20" s="342">
        <v>12</v>
      </c>
      <c r="W20" s="353">
        <v>75</v>
      </c>
      <c r="X20" s="342">
        <v>23</v>
      </c>
      <c r="Y20" s="353">
        <v>75</v>
      </c>
      <c r="Z20" s="1402"/>
      <c r="AA20" s="657"/>
      <c r="AB20" s="742">
        <f t="shared" ref="AB20:AB22" si="5">AVERAGE(W20,U20,S20,Q20,Y20)</f>
        <v>85.2</v>
      </c>
      <c r="AC20" s="759">
        <f t="shared" ref="AC20:AC22" si="6">AVERAGE(X20,V20,T20,R20,Z20)</f>
        <v>18.75</v>
      </c>
    </row>
    <row r="21" spans="2:30" ht="12" x14ac:dyDescent="0.2">
      <c r="B21" s="1450" t="s">
        <v>246</v>
      </c>
      <c r="C21" s="459"/>
      <c r="D21" s="351"/>
      <c r="E21" s="459"/>
      <c r="F21" s="460"/>
      <c r="G21" s="461"/>
      <c r="H21" s="351"/>
      <c r="I21" s="459"/>
      <c r="J21" s="460"/>
      <c r="K21" s="461"/>
      <c r="L21" s="460"/>
      <c r="M21" s="461"/>
      <c r="N21" s="351"/>
      <c r="O21" s="1451"/>
      <c r="P21" s="1452"/>
      <c r="Q21" s="1451"/>
      <c r="R21" s="1452"/>
      <c r="S21" s="1451"/>
      <c r="T21" s="1452"/>
      <c r="U21" s="1451"/>
      <c r="V21" s="1452"/>
      <c r="W21" s="1451"/>
      <c r="X21" s="1452"/>
      <c r="Y21" s="459">
        <v>1</v>
      </c>
      <c r="Z21" s="1411"/>
      <c r="AA21" s="657"/>
      <c r="AB21" s="742"/>
      <c r="AC21" s="759"/>
    </row>
    <row r="22" spans="2:30" thickBot="1" x14ac:dyDescent="0.25">
      <c r="B22" s="1038" t="s">
        <v>176</v>
      </c>
      <c r="C22" s="1039"/>
      <c r="D22" s="1040">
        <v>1</v>
      </c>
      <c r="E22" s="1039">
        <v>1</v>
      </c>
      <c r="F22" s="1041"/>
      <c r="G22" s="1042">
        <v>0</v>
      </c>
      <c r="H22" s="1190">
        <v>0</v>
      </c>
      <c r="I22" s="1039">
        <v>0</v>
      </c>
      <c r="J22" s="1191">
        <v>0</v>
      </c>
      <c r="K22" s="1042">
        <v>1</v>
      </c>
      <c r="L22" s="1191">
        <v>0</v>
      </c>
      <c r="M22" s="1042">
        <v>0</v>
      </c>
      <c r="N22" s="1040">
        <v>0</v>
      </c>
      <c r="O22" s="1039">
        <v>1</v>
      </c>
      <c r="P22" s="1040">
        <v>1</v>
      </c>
      <c r="Q22" s="1039">
        <v>1</v>
      </c>
      <c r="R22" s="1040">
        <v>0</v>
      </c>
      <c r="S22" s="1039">
        <v>1</v>
      </c>
      <c r="T22" s="1040">
        <v>0</v>
      </c>
      <c r="U22" s="1039">
        <v>1</v>
      </c>
      <c r="V22" s="1040">
        <v>0</v>
      </c>
      <c r="W22" s="1039">
        <v>2</v>
      </c>
      <c r="X22" s="1040">
        <v>0</v>
      </c>
      <c r="Y22" s="1039">
        <v>1</v>
      </c>
      <c r="Z22" s="1412"/>
      <c r="AA22" s="657"/>
      <c r="AB22" s="742">
        <f t="shared" si="5"/>
        <v>1.2</v>
      </c>
      <c r="AC22" s="759">
        <f t="shared" si="6"/>
        <v>0</v>
      </c>
    </row>
    <row r="23" spans="2:30" ht="13.5" hidden="1" customHeight="1" thickTop="1" thickBot="1" x14ac:dyDescent="0.25">
      <c r="B23" s="218" t="s">
        <v>72</v>
      </c>
      <c r="C23" s="96"/>
      <c r="D23" s="95"/>
      <c r="E23" s="96"/>
      <c r="F23" s="21"/>
      <c r="G23" s="246"/>
      <c r="H23" s="130"/>
      <c r="I23" s="246"/>
      <c r="J23" s="130"/>
      <c r="K23" s="246"/>
      <c r="L23" s="340"/>
      <c r="M23" s="458"/>
      <c r="N23" s="130"/>
      <c r="O23" s="458"/>
      <c r="P23" s="130"/>
      <c r="Q23" s="458"/>
      <c r="R23" s="339"/>
      <c r="S23" s="246"/>
      <c r="T23" s="130"/>
      <c r="U23" s="246"/>
      <c r="V23" s="130"/>
      <c r="W23" s="246"/>
      <c r="X23" s="130"/>
      <c r="Y23" s="246"/>
      <c r="Z23" s="130"/>
      <c r="AB23" s="742" t="e">
        <f>AVERAGE(M23,K23,I23,Q23,O23)</f>
        <v>#DIV/0!</v>
      </c>
      <c r="AC23" s="759" t="e">
        <f>AVERAGE(L23,J23,H23,P23,N23)</f>
        <v>#DIV/0!</v>
      </c>
    </row>
    <row r="24" spans="2:30" ht="13.5" hidden="1" thickTop="1" thickBot="1" x14ac:dyDescent="0.25">
      <c r="B24" s="42" t="s">
        <v>73</v>
      </c>
      <c r="C24" s="96"/>
      <c r="D24" s="95"/>
      <c r="E24" s="96"/>
      <c r="F24" s="21"/>
      <c r="G24" s="246"/>
      <c r="H24" s="130"/>
      <c r="I24" s="246"/>
      <c r="J24" s="130"/>
      <c r="K24" s="246"/>
      <c r="L24" s="340"/>
      <c r="M24" s="458"/>
      <c r="N24" s="130"/>
      <c r="O24" s="458"/>
      <c r="P24" s="130"/>
      <c r="Q24" s="458"/>
      <c r="R24" s="339"/>
      <c r="S24" s="246"/>
      <c r="T24" s="130"/>
      <c r="U24" s="246"/>
      <c r="V24" s="130"/>
      <c r="W24" s="246"/>
      <c r="X24" s="130"/>
      <c r="Y24" s="246"/>
      <c r="Z24" s="130"/>
      <c r="AB24" s="742" t="e">
        <f>AVERAGE(M24,K24,I24,Q24,O24)</f>
        <v>#DIV/0!</v>
      </c>
      <c r="AC24" s="759" t="e">
        <f>AVERAGE(L24,J24,H24,P24,N24)</f>
        <v>#DIV/0!</v>
      </c>
    </row>
    <row r="25" spans="2:30" ht="13.5" hidden="1" thickTop="1" thickBot="1" x14ac:dyDescent="0.25">
      <c r="B25" s="42" t="s">
        <v>74</v>
      </c>
      <c r="C25" s="96"/>
      <c r="D25" s="95"/>
      <c r="E25" s="96"/>
      <c r="F25" s="21"/>
      <c r="G25" s="246"/>
      <c r="H25" s="130"/>
      <c r="I25" s="246"/>
      <c r="J25" s="130"/>
      <c r="K25" s="246"/>
      <c r="L25" s="340"/>
      <c r="M25" s="458"/>
      <c r="N25" s="130"/>
      <c r="O25" s="458"/>
      <c r="P25" s="130"/>
      <c r="Q25" s="458"/>
      <c r="R25" s="339"/>
      <c r="S25" s="246"/>
      <c r="T25" s="130"/>
      <c r="U25" s="246"/>
      <c r="V25" s="130"/>
      <c r="W25" s="246"/>
      <c r="X25" s="130"/>
      <c r="Y25" s="246"/>
      <c r="Z25" s="130"/>
      <c r="AB25" s="742" t="e">
        <f>AVERAGE(M25,K25,I25,Q25,O25)</f>
        <v>#DIV/0!</v>
      </c>
      <c r="AC25" s="759" t="e">
        <f>AVERAGE(L25,J25,H25,P25,N25)</f>
        <v>#DIV/0!</v>
      </c>
    </row>
    <row r="26" spans="2:30" ht="13.5" hidden="1" thickTop="1" thickBot="1" x14ac:dyDescent="0.25">
      <c r="B26" s="43" t="s">
        <v>75</v>
      </c>
      <c r="C26" s="11"/>
      <c r="D26" s="34"/>
      <c r="E26" s="11"/>
      <c r="F26" s="97"/>
      <c r="G26" s="247"/>
      <c r="H26" s="248"/>
      <c r="I26" s="247"/>
      <c r="J26" s="248"/>
      <c r="K26" s="247"/>
      <c r="L26" s="363"/>
      <c r="M26" s="356"/>
      <c r="N26" s="248"/>
      <c r="O26" s="356"/>
      <c r="P26" s="248"/>
      <c r="Q26" s="356"/>
      <c r="R26" s="362"/>
      <c r="S26" s="247"/>
      <c r="T26" s="248"/>
      <c r="U26" s="247"/>
      <c r="V26" s="248"/>
      <c r="W26" s="247"/>
      <c r="X26" s="248"/>
      <c r="Y26" s="247"/>
      <c r="Z26" s="248"/>
      <c r="AB26" s="742" t="e">
        <f>AVERAGE(M26,K26,I26,Q26,O26)</f>
        <v>#DIV/0!</v>
      </c>
      <c r="AC26" s="759" t="e">
        <f>AVERAGE(L26,J26,H26,P26,N26)</f>
        <v>#DIV/0!</v>
      </c>
    </row>
    <row r="27" spans="2:30" thickTop="1" x14ac:dyDescent="0.2">
      <c r="B27" s="119" t="s">
        <v>180</v>
      </c>
      <c r="C27" s="51"/>
      <c r="D27" s="26"/>
      <c r="E27" s="51"/>
      <c r="F27" s="26"/>
      <c r="G27" s="228"/>
      <c r="H27" s="229"/>
      <c r="I27" s="228"/>
      <c r="J27" s="229"/>
      <c r="K27" s="228"/>
      <c r="L27" s="229"/>
      <c r="M27" s="627"/>
      <c r="N27" s="229"/>
      <c r="O27" s="627"/>
      <c r="P27" s="229"/>
      <c r="Q27" s="627"/>
      <c r="R27" s="229"/>
      <c r="S27" s="627"/>
      <c r="T27" s="229"/>
      <c r="U27" s="627"/>
      <c r="V27" s="229"/>
      <c r="W27" s="627"/>
      <c r="X27" s="229"/>
      <c r="Y27" s="627"/>
      <c r="Z27" s="229"/>
      <c r="AB27" s="66"/>
      <c r="AC27" s="66"/>
      <c r="AD27" s="1" t="s">
        <v>23</v>
      </c>
    </row>
    <row r="28" spans="2:30" thickBot="1" x14ac:dyDescent="0.25">
      <c r="C28" s="51"/>
      <c r="D28" s="26"/>
      <c r="E28" s="51"/>
      <c r="F28" s="26"/>
      <c r="G28" s="228"/>
      <c r="H28" s="229"/>
      <c r="I28" s="228"/>
      <c r="J28" s="229"/>
      <c r="K28" s="228"/>
      <c r="L28" s="229"/>
      <c r="M28" s="228"/>
      <c r="N28" s="229"/>
      <c r="O28" s="228"/>
      <c r="P28" s="229"/>
      <c r="Q28" s="228"/>
      <c r="R28" s="229"/>
      <c r="S28" s="228"/>
      <c r="T28" s="229"/>
      <c r="U28" s="228"/>
      <c r="V28" s="229"/>
      <c r="W28" s="228"/>
      <c r="X28" s="229"/>
      <c r="Y28" s="228"/>
      <c r="Z28" s="229"/>
      <c r="AB28" s="71"/>
      <c r="AC28" s="71"/>
    </row>
    <row r="29" spans="2:30" ht="14.25" customHeight="1" thickTop="1" thickBot="1" x14ac:dyDescent="0.25">
      <c r="B29" s="102"/>
      <c r="C29" s="1498" t="s">
        <v>33</v>
      </c>
      <c r="D29" s="1499"/>
      <c r="E29" s="1498" t="s">
        <v>34</v>
      </c>
      <c r="F29" s="1501"/>
      <c r="G29" s="1500" t="s">
        <v>106</v>
      </c>
      <c r="H29" s="1495"/>
      <c r="I29" s="1494" t="s">
        <v>118</v>
      </c>
      <c r="J29" s="1494"/>
      <c r="K29" s="1500" t="s">
        <v>121</v>
      </c>
      <c r="L29" s="1494"/>
      <c r="M29" s="1500" t="s">
        <v>127</v>
      </c>
      <c r="N29" s="1495"/>
      <c r="O29" s="1494" t="s">
        <v>174</v>
      </c>
      <c r="P29" s="1495"/>
      <c r="Q29" s="1494" t="s">
        <v>193</v>
      </c>
      <c r="R29" s="1495"/>
      <c r="S29" s="1494" t="s">
        <v>218</v>
      </c>
      <c r="T29" s="1495"/>
      <c r="U29" s="1494" t="s">
        <v>221</v>
      </c>
      <c r="V29" s="1495"/>
      <c r="W29" s="1494" t="s">
        <v>232</v>
      </c>
      <c r="X29" s="1495"/>
      <c r="Y29" s="1494" t="s">
        <v>241</v>
      </c>
      <c r="Z29" s="1508"/>
      <c r="AB29" s="1529" t="s">
        <v>134</v>
      </c>
      <c r="AC29" s="1530"/>
    </row>
    <row r="30" spans="2:30" ht="12" x14ac:dyDescent="0.2">
      <c r="B30" s="103" t="s">
        <v>7</v>
      </c>
      <c r="C30" s="132"/>
      <c r="D30" s="133"/>
      <c r="E30" s="132"/>
      <c r="F30" s="16"/>
      <c r="G30" s="260"/>
      <c r="H30" s="407"/>
      <c r="I30" s="387"/>
      <c r="J30" s="387"/>
      <c r="K30" s="260"/>
      <c r="L30" s="387"/>
      <c r="M30" s="260"/>
      <c r="N30" s="407"/>
      <c r="O30" s="387"/>
      <c r="P30" s="407"/>
      <c r="Q30" s="387"/>
      <c r="R30" s="407"/>
      <c r="S30" s="387"/>
      <c r="T30" s="407"/>
      <c r="U30" s="387"/>
      <c r="V30" s="407"/>
      <c r="W30" s="387"/>
      <c r="X30" s="407"/>
      <c r="Y30" s="387"/>
      <c r="Z30" s="230"/>
      <c r="AA30" s="657"/>
      <c r="AB30" s="660"/>
      <c r="AC30" s="656"/>
    </row>
    <row r="31" spans="2:30" ht="12" x14ac:dyDescent="0.2">
      <c r="B31" s="88" t="s">
        <v>8</v>
      </c>
      <c r="C31" s="134"/>
      <c r="D31" s="135"/>
      <c r="E31" s="134"/>
      <c r="F31" s="7"/>
      <c r="G31" s="261"/>
      <c r="H31" s="389"/>
      <c r="I31" s="231"/>
      <c r="J31" s="231"/>
      <c r="K31" s="261"/>
      <c r="L31" s="231"/>
      <c r="M31" s="261"/>
      <c r="N31" s="389"/>
      <c r="O31" s="231"/>
      <c r="P31" s="389"/>
      <c r="Q31" s="231"/>
      <c r="R31" s="389"/>
      <c r="S31" s="231"/>
      <c r="T31" s="389"/>
      <c r="U31" s="231"/>
      <c r="V31" s="389"/>
      <c r="W31" s="231"/>
      <c r="X31" s="389"/>
      <c r="Y31" s="231"/>
      <c r="Z31" s="104"/>
      <c r="AA31" s="657"/>
      <c r="AC31" s="652"/>
    </row>
    <row r="32" spans="2:30" ht="12" x14ac:dyDescent="0.2">
      <c r="B32" s="88" t="s">
        <v>9</v>
      </c>
      <c r="C32" s="134"/>
      <c r="D32" s="168">
        <v>209</v>
      </c>
      <c r="E32" s="134"/>
      <c r="F32" s="99">
        <v>211</v>
      </c>
      <c r="G32" s="261"/>
      <c r="H32" s="408">
        <v>360</v>
      </c>
      <c r="I32" s="231"/>
      <c r="J32" s="244">
        <v>525</v>
      </c>
      <c r="K32" s="261"/>
      <c r="L32" s="244">
        <v>540</v>
      </c>
      <c r="M32" s="261"/>
      <c r="N32" s="408">
        <v>569</v>
      </c>
      <c r="O32" s="231"/>
      <c r="P32" s="408">
        <v>489</v>
      </c>
      <c r="Q32" s="231"/>
      <c r="R32" s="408">
        <v>735</v>
      </c>
      <c r="S32" s="231"/>
      <c r="T32" s="408">
        <v>798</v>
      </c>
      <c r="U32" s="231"/>
      <c r="V32" s="408">
        <v>897</v>
      </c>
      <c r="W32" s="231"/>
      <c r="X32" s="408">
        <v>932</v>
      </c>
      <c r="Y32" s="231"/>
      <c r="Z32" s="1432"/>
      <c r="AA32" s="657"/>
      <c r="AB32" s="16"/>
      <c r="AC32" s="752">
        <f t="shared" ref="AC32:AC36" si="7">AVERAGE(X32,V32,T32,R32,Z32)</f>
        <v>840.5</v>
      </c>
    </row>
    <row r="33" spans="1:29" ht="12" x14ac:dyDescent="0.2">
      <c r="B33" s="88" t="s">
        <v>10</v>
      </c>
      <c r="C33" s="134"/>
      <c r="D33" s="168">
        <v>657</v>
      </c>
      <c r="E33" s="134"/>
      <c r="F33" s="99">
        <v>542</v>
      </c>
      <c r="G33" s="261"/>
      <c r="H33" s="408">
        <v>1532</v>
      </c>
      <c r="I33" s="231"/>
      <c r="J33" s="244">
        <v>985</v>
      </c>
      <c r="K33" s="261"/>
      <c r="L33" s="244">
        <v>972</v>
      </c>
      <c r="M33" s="261"/>
      <c r="N33" s="408">
        <v>859</v>
      </c>
      <c r="O33" s="231"/>
      <c r="P33" s="408">
        <v>1121</v>
      </c>
      <c r="Q33" s="231"/>
      <c r="R33" s="408">
        <v>1654</v>
      </c>
      <c r="S33" s="231"/>
      <c r="T33" s="408">
        <v>1871</v>
      </c>
      <c r="U33" s="231"/>
      <c r="V33" s="408">
        <v>2111</v>
      </c>
      <c r="W33" s="231"/>
      <c r="X33" s="408">
        <v>1986</v>
      </c>
      <c r="Y33" s="231"/>
      <c r="Z33" s="1432"/>
      <c r="AA33" s="657"/>
      <c r="AB33" s="7"/>
      <c r="AC33" s="752">
        <f t="shared" si="7"/>
        <v>1905.5</v>
      </c>
    </row>
    <row r="34" spans="1:29" ht="12" x14ac:dyDescent="0.2">
      <c r="B34" s="88" t="s">
        <v>11</v>
      </c>
      <c r="C34" s="134"/>
      <c r="D34" s="168">
        <v>294</v>
      </c>
      <c r="E34" s="134"/>
      <c r="F34" s="99">
        <v>208</v>
      </c>
      <c r="G34" s="261"/>
      <c r="H34" s="408">
        <v>481</v>
      </c>
      <c r="I34" s="231"/>
      <c r="J34" s="244">
        <v>428</v>
      </c>
      <c r="K34" s="261"/>
      <c r="L34" s="244">
        <v>503</v>
      </c>
      <c r="M34" s="261"/>
      <c r="N34" s="408">
        <v>494</v>
      </c>
      <c r="O34" s="231"/>
      <c r="P34" s="408">
        <v>500</v>
      </c>
      <c r="Q34" s="231"/>
      <c r="R34" s="408">
        <v>188</v>
      </c>
      <c r="S34" s="231"/>
      <c r="T34" s="408">
        <v>228</v>
      </c>
      <c r="U34" s="231"/>
      <c r="V34" s="408">
        <v>208</v>
      </c>
      <c r="W34" s="231"/>
      <c r="X34" s="408">
        <v>413</v>
      </c>
      <c r="Y34" s="231"/>
      <c r="Z34" s="1432"/>
      <c r="AA34" s="657"/>
      <c r="AB34" s="748"/>
      <c r="AC34" s="752">
        <f t="shared" si="7"/>
        <v>259.25</v>
      </c>
    </row>
    <row r="35" spans="1:29" ht="12" x14ac:dyDescent="0.2">
      <c r="B35" s="88" t="s">
        <v>12</v>
      </c>
      <c r="C35" s="134"/>
      <c r="D35" s="136">
        <v>237</v>
      </c>
      <c r="E35" s="134"/>
      <c r="F35" s="12">
        <v>180</v>
      </c>
      <c r="G35" s="261"/>
      <c r="H35" s="217">
        <v>205</v>
      </c>
      <c r="I35" s="231"/>
      <c r="J35" s="105">
        <v>178</v>
      </c>
      <c r="K35" s="261"/>
      <c r="L35" s="105">
        <v>206</v>
      </c>
      <c r="M35" s="261"/>
      <c r="N35" s="217">
        <v>231</v>
      </c>
      <c r="O35" s="231"/>
      <c r="P35" s="217">
        <v>325</v>
      </c>
      <c r="Q35" s="231"/>
      <c r="R35" s="217">
        <v>318</v>
      </c>
      <c r="S35" s="231"/>
      <c r="T35" s="217">
        <v>283</v>
      </c>
      <c r="U35" s="231"/>
      <c r="V35" s="217">
        <v>252</v>
      </c>
      <c r="W35" s="231"/>
      <c r="X35" s="217">
        <v>205</v>
      </c>
      <c r="Y35" s="231"/>
      <c r="Z35" s="1433"/>
      <c r="AB35" s="748"/>
      <c r="AC35" s="752">
        <f t="shared" si="7"/>
        <v>264.5</v>
      </c>
    </row>
    <row r="36" spans="1:29" thickBot="1" x14ac:dyDescent="0.25">
      <c r="B36" s="301" t="s">
        <v>13</v>
      </c>
      <c r="C36" s="137"/>
      <c r="D36" s="178">
        <f>SUM(D32:D35)</f>
        <v>1397</v>
      </c>
      <c r="E36" s="141"/>
      <c r="F36" s="60">
        <f>SUM(F32:F35)</f>
        <v>1141</v>
      </c>
      <c r="G36" s="262"/>
      <c r="H36" s="432">
        <f>SUM(H32:H35)</f>
        <v>2578</v>
      </c>
      <c r="I36" s="404"/>
      <c r="J36" s="473">
        <f>SUM(J32:J35)</f>
        <v>2116</v>
      </c>
      <c r="K36" s="262"/>
      <c r="L36" s="473">
        <f>SUM(L32:L35)</f>
        <v>2221</v>
      </c>
      <c r="M36" s="262"/>
      <c r="N36" s="432">
        <v>2153</v>
      </c>
      <c r="O36" s="404"/>
      <c r="P36" s="432">
        <f>SUM(P32:P35)</f>
        <v>2435</v>
      </c>
      <c r="Q36" s="404"/>
      <c r="R36" s="432">
        <f>SUM(R32:R35)</f>
        <v>2895</v>
      </c>
      <c r="S36" s="404"/>
      <c r="T36" s="432">
        <f>SUM(T32:T35)</f>
        <v>3180</v>
      </c>
      <c r="U36" s="404"/>
      <c r="V36" s="432">
        <f>SUM(V32:V35)</f>
        <v>3468</v>
      </c>
      <c r="W36" s="404"/>
      <c r="X36" s="432">
        <f>SUM(X32:X35)</f>
        <v>3536</v>
      </c>
      <c r="Y36" s="404"/>
      <c r="Z36" s="1434">
        <f>SUM(Z32:Z35)</f>
        <v>0</v>
      </c>
      <c r="AB36" s="659"/>
      <c r="AC36" s="859">
        <f t="shared" si="7"/>
        <v>2615.8000000000002</v>
      </c>
    </row>
    <row r="37" spans="1:29" ht="14.25" thickTop="1" thickBot="1" x14ac:dyDescent="0.25">
      <c r="A37" s="652"/>
      <c r="B37" s="727" t="s">
        <v>150</v>
      </c>
      <c r="C37" s="1477" t="s">
        <v>35</v>
      </c>
      <c r="D37" s="1478"/>
      <c r="E37" s="1477" t="s">
        <v>36</v>
      </c>
      <c r="F37" s="1478"/>
      <c r="G37" s="1479" t="s">
        <v>122</v>
      </c>
      <c r="H37" s="1480"/>
      <c r="I37" s="1479" t="s">
        <v>123</v>
      </c>
      <c r="J37" s="1481"/>
      <c r="K37" s="1479" t="s">
        <v>148</v>
      </c>
      <c r="L37" s="1481"/>
      <c r="M37" s="1488" t="s">
        <v>149</v>
      </c>
      <c r="N37" s="1480"/>
      <c r="O37" s="1483" t="s">
        <v>175</v>
      </c>
      <c r="P37" s="1480"/>
      <c r="Q37" s="1483" t="s">
        <v>194</v>
      </c>
      <c r="R37" s="1480"/>
      <c r="S37" s="1483" t="s">
        <v>219</v>
      </c>
      <c r="T37" s="1480"/>
      <c r="U37" s="1483" t="s">
        <v>222</v>
      </c>
      <c r="V37" s="1480"/>
      <c r="W37" s="1483" t="s">
        <v>233</v>
      </c>
      <c r="X37" s="1480"/>
      <c r="Y37" s="1483" t="s">
        <v>242</v>
      </c>
      <c r="Z37" s="1511"/>
      <c r="AA37" s="652"/>
      <c r="AB37" s="693"/>
      <c r="AC37" s="694"/>
    </row>
    <row r="38" spans="1:29" x14ac:dyDescent="0.2">
      <c r="A38" s="652"/>
      <c r="B38" s="719" t="s">
        <v>135</v>
      </c>
      <c r="C38" s="1463">
        <v>0.66100000000000003</v>
      </c>
      <c r="D38" s="1464"/>
      <c r="E38" s="1465">
        <v>0.65500000000000003</v>
      </c>
      <c r="F38" s="1466"/>
      <c r="G38" s="1465">
        <v>0.627</v>
      </c>
      <c r="H38" s="1466"/>
      <c r="I38" s="1465">
        <v>0.57499999999999996</v>
      </c>
      <c r="J38" s="1467"/>
      <c r="K38" s="696"/>
      <c r="L38" s="697">
        <v>0.56699999999999995</v>
      </c>
      <c r="M38" s="698"/>
      <c r="N38" s="997">
        <v>0.52600000000000002</v>
      </c>
      <c r="O38" s="995"/>
      <c r="P38" s="997">
        <v>0.54100000000000004</v>
      </c>
      <c r="Q38" s="1019"/>
      <c r="R38" s="997">
        <v>0.61299999999999999</v>
      </c>
      <c r="S38" s="1019"/>
      <c r="T38" s="997">
        <v>0.57199999999999995</v>
      </c>
      <c r="U38" s="1019"/>
      <c r="V38" s="997">
        <v>0.64</v>
      </c>
      <c r="W38" s="1019"/>
      <c r="X38" s="997">
        <v>0.63200000000000001</v>
      </c>
      <c r="Y38" s="1019"/>
      <c r="Z38" s="1241">
        <v>0.64500000000000002</v>
      </c>
      <c r="AA38" s="699"/>
      <c r="AB38" s="848"/>
      <c r="AC38" s="743">
        <f t="shared" ref="AC38:AC39" si="8">AVERAGE(X38,V38,T38,R38,Z38)</f>
        <v>0.62039999999999995</v>
      </c>
    </row>
    <row r="39" spans="1:29" x14ac:dyDescent="0.2">
      <c r="A39" s="652"/>
      <c r="B39" s="726" t="s">
        <v>136</v>
      </c>
      <c r="C39" s="1470">
        <v>0.17599999999999999</v>
      </c>
      <c r="D39" s="1471"/>
      <c r="E39" s="1472">
        <v>0.14899999999999999</v>
      </c>
      <c r="F39" s="1473"/>
      <c r="G39" s="1472">
        <v>0.14099999999999999</v>
      </c>
      <c r="H39" s="1473"/>
      <c r="I39" s="1472">
        <v>0.17499999999999999</v>
      </c>
      <c r="J39" s="1474"/>
      <c r="K39" s="701"/>
      <c r="L39" s="702">
        <v>0.218</v>
      </c>
      <c r="M39" s="701"/>
      <c r="N39" s="998">
        <v>0.19</v>
      </c>
      <c r="O39" s="996"/>
      <c r="P39" s="998">
        <v>0.21</v>
      </c>
      <c r="Q39" s="1020"/>
      <c r="R39" s="998">
        <v>0.16700000000000001</v>
      </c>
      <c r="S39" s="1020"/>
      <c r="T39" s="998">
        <v>0.159</v>
      </c>
      <c r="U39" s="1020"/>
      <c r="V39" s="998">
        <v>0.14099999999999999</v>
      </c>
      <c r="W39" s="1020"/>
      <c r="X39" s="998">
        <v>0.14000000000000001</v>
      </c>
      <c r="Y39" s="1020"/>
      <c r="Z39" s="1242">
        <v>0.106</v>
      </c>
      <c r="AA39" s="699"/>
      <c r="AB39" s="848"/>
      <c r="AC39" s="743">
        <f t="shared" si="8"/>
        <v>0.1426</v>
      </c>
    </row>
    <row r="40" spans="1:29" ht="13.5" customHeight="1" thickBot="1" x14ac:dyDescent="0.25">
      <c r="B40" s="703" t="s">
        <v>137</v>
      </c>
      <c r="C40" s="1468">
        <f>1-SUM(C38:D39)</f>
        <v>0.16300000000000003</v>
      </c>
      <c r="D40" s="1469"/>
      <c r="E40" s="1468">
        <f>1-SUM(E38:F39)</f>
        <v>0.19599999999999995</v>
      </c>
      <c r="F40" s="1469"/>
      <c r="G40" s="1468">
        <f>1-SUM(G38:H39)</f>
        <v>0.23199999999999998</v>
      </c>
      <c r="H40" s="1469"/>
      <c r="I40" s="1468">
        <f>1-SUM(I38:J39)</f>
        <v>0.25</v>
      </c>
      <c r="J40" s="1469"/>
      <c r="K40" s="1468">
        <f>1-SUM(K38:L39)</f>
        <v>0.21500000000000008</v>
      </c>
      <c r="L40" s="1469"/>
      <c r="M40" s="1468">
        <f>1-SUM(M38:N39)</f>
        <v>0.28400000000000003</v>
      </c>
      <c r="N40" s="1469"/>
      <c r="O40" s="1514">
        <f>1-P38-P39</f>
        <v>0.24899999999999997</v>
      </c>
      <c r="P40" s="1469"/>
      <c r="Q40" s="1490">
        <f>1-R38-R39</f>
        <v>0.22</v>
      </c>
      <c r="R40" s="1491"/>
      <c r="S40" s="1490">
        <f>1-T38-T39</f>
        <v>0.26900000000000002</v>
      </c>
      <c r="T40" s="1491"/>
      <c r="U40" s="1490">
        <f>1-V38-V39</f>
        <v>0.219</v>
      </c>
      <c r="V40" s="1491"/>
      <c r="W40" s="1490">
        <f>1-X38-X39</f>
        <v>0.22799999999999998</v>
      </c>
      <c r="X40" s="1491"/>
      <c r="Y40" s="1490">
        <f>1-Z38-Z39</f>
        <v>0.249</v>
      </c>
      <c r="Z40" s="1491"/>
      <c r="AA40" s="699"/>
      <c r="AB40" s="1515">
        <f t="shared" ref="AB40" si="9">AVERAGE(W40,U40,S40,Q40,Y40)</f>
        <v>0.23700000000000002</v>
      </c>
      <c r="AC40" s="1516" t="e">
        <f t="shared" ref="AC40" si="10">AVERAGE(X40,V40,T40,R40,Z40)</f>
        <v>#DIV/0!</v>
      </c>
    </row>
    <row r="41" spans="1:29" ht="7.5" customHeight="1" thickTop="1" x14ac:dyDescent="0.2">
      <c r="B41" s="65"/>
      <c r="C41" s="68"/>
      <c r="D41" s="67"/>
      <c r="E41" s="68"/>
      <c r="F41" s="67"/>
      <c r="G41" s="233"/>
      <c r="H41" s="234"/>
      <c r="I41" s="233"/>
      <c r="J41" s="234"/>
      <c r="K41" s="233"/>
      <c r="L41" s="234"/>
      <c r="M41" s="233"/>
      <c r="N41" s="234"/>
      <c r="O41" s="233"/>
      <c r="P41" s="234"/>
      <c r="Q41" s="233"/>
      <c r="R41" s="234"/>
      <c r="S41" s="233"/>
      <c r="T41" s="234"/>
      <c r="U41" s="233"/>
      <c r="V41" s="234"/>
      <c r="W41" s="233"/>
      <c r="X41" s="234"/>
      <c r="Y41" s="233"/>
      <c r="Z41" s="234"/>
    </row>
    <row r="42" spans="1:29" x14ac:dyDescent="0.2">
      <c r="A42" s="3" t="s">
        <v>56</v>
      </c>
      <c r="B42" s="61"/>
      <c r="C42" s="24"/>
      <c r="D42" s="24"/>
      <c r="E42" s="24"/>
      <c r="F42" s="24"/>
      <c r="G42" s="235"/>
      <c r="H42" s="235"/>
      <c r="I42" s="235"/>
      <c r="J42" s="235"/>
      <c r="K42" s="235"/>
      <c r="L42" s="235"/>
      <c r="M42" s="235"/>
      <c r="N42" s="235"/>
      <c r="O42" s="235"/>
      <c r="P42" s="235"/>
      <c r="Q42" s="235"/>
      <c r="R42" s="235"/>
      <c r="S42" s="235"/>
      <c r="T42" s="235"/>
      <c r="U42" s="235"/>
      <c r="V42" s="235"/>
      <c r="W42" s="235"/>
      <c r="X42" s="235"/>
      <c r="Y42" s="235"/>
      <c r="Z42" s="235"/>
    </row>
    <row r="43" spans="1:29" ht="5.25" customHeight="1" thickBot="1" x14ac:dyDescent="0.25">
      <c r="A43" s="3"/>
      <c r="B43" s="70"/>
      <c r="C43" s="71"/>
      <c r="D43" s="71"/>
      <c r="E43" s="71"/>
      <c r="F43" s="71"/>
      <c r="G43" s="252"/>
      <c r="H43" s="252"/>
      <c r="I43" s="252"/>
      <c r="J43" s="252"/>
      <c r="K43" s="252"/>
      <c r="L43" s="252"/>
      <c r="M43" s="252"/>
      <c r="N43" s="252"/>
      <c r="O43" s="252"/>
      <c r="P43" s="252"/>
      <c r="Q43" s="252"/>
      <c r="R43" s="252"/>
      <c r="S43" s="252"/>
      <c r="T43" s="252"/>
      <c r="U43" s="252"/>
      <c r="V43" s="252"/>
      <c r="W43" s="252"/>
      <c r="X43" s="252"/>
      <c r="Y43" s="252"/>
      <c r="Z43" s="252"/>
      <c r="AB43" s="71"/>
      <c r="AC43" s="71"/>
    </row>
    <row r="44" spans="1:29" ht="14.25" thickTop="1" thickBot="1" x14ac:dyDescent="0.25">
      <c r="A44" s="3"/>
      <c r="B44" s="508" t="s">
        <v>57</v>
      </c>
      <c r="C44" s="1498" t="s">
        <v>33</v>
      </c>
      <c r="D44" s="1499"/>
      <c r="E44" s="1501" t="s">
        <v>34</v>
      </c>
      <c r="F44" s="1501"/>
      <c r="G44" s="1500" t="s">
        <v>106</v>
      </c>
      <c r="H44" s="1495"/>
      <c r="I44" s="1494" t="s">
        <v>118</v>
      </c>
      <c r="J44" s="1494"/>
      <c r="K44" s="1500" t="s">
        <v>121</v>
      </c>
      <c r="L44" s="1494"/>
      <c r="M44" s="1500" t="s">
        <v>127</v>
      </c>
      <c r="N44" s="1495"/>
      <c r="O44" s="1494" t="s">
        <v>174</v>
      </c>
      <c r="P44" s="1495"/>
      <c r="Q44" s="1494" t="s">
        <v>193</v>
      </c>
      <c r="R44" s="1495"/>
      <c r="S44" s="1494" t="s">
        <v>218</v>
      </c>
      <c r="T44" s="1495"/>
      <c r="U44" s="1494" t="s">
        <v>221</v>
      </c>
      <c r="V44" s="1495"/>
      <c r="W44" s="1494" t="s">
        <v>232</v>
      </c>
      <c r="X44" s="1495"/>
      <c r="Y44" s="1494" t="s">
        <v>241</v>
      </c>
      <c r="Z44" s="1508"/>
      <c r="AB44" s="1529" t="s">
        <v>134</v>
      </c>
      <c r="AC44" s="1530"/>
    </row>
    <row r="45" spans="1:29" x14ac:dyDescent="0.2">
      <c r="A45" s="3"/>
      <c r="B45" s="1043" t="s">
        <v>58</v>
      </c>
      <c r="C45" s="134"/>
      <c r="D45" s="135"/>
      <c r="E45" s="7"/>
      <c r="F45" s="7"/>
      <c r="G45" s="261"/>
      <c r="H45" s="389"/>
      <c r="I45" s="231"/>
      <c r="J45" s="231"/>
      <c r="K45" s="261"/>
      <c r="L45" s="231"/>
      <c r="M45" s="261"/>
      <c r="N45" s="389"/>
      <c r="O45" s="231"/>
      <c r="P45" s="389"/>
      <c r="Q45" s="231"/>
      <c r="R45" s="389"/>
      <c r="S45" s="231"/>
      <c r="T45" s="389"/>
      <c r="U45" s="231"/>
      <c r="V45" s="389"/>
      <c r="W45" s="231"/>
      <c r="X45" s="389"/>
      <c r="Y45" s="231"/>
      <c r="Z45" s="104"/>
      <c r="AB45" s="744"/>
      <c r="AC45" s="745"/>
    </row>
    <row r="46" spans="1:29" x14ac:dyDescent="0.2">
      <c r="A46" s="3"/>
      <c r="B46" s="1044" t="s">
        <v>59</v>
      </c>
      <c r="C46" s="132"/>
      <c r="D46" s="139">
        <v>595416</v>
      </c>
      <c r="E46" s="16"/>
      <c r="F46" s="153">
        <v>618600</v>
      </c>
      <c r="G46" s="260"/>
      <c r="H46" s="219">
        <v>626349</v>
      </c>
      <c r="I46" s="387"/>
      <c r="J46" s="488">
        <v>639291</v>
      </c>
      <c r="K46" s="260"/>
      <c r="L46" s="488">
        <v>681340</v>
      </c>
      <c r="M46" s="260"/>
      <c r="N46" s="219">
        <v>739592</v>
      </c>
      <c r="O46" s="387"/>
      <c r="P46" s="219">
        <v>738045</v>
      </c>
      <c r="Q46" s="387"/>
      <c r="R46" s="219">
        <v>728056</v>
      </c>
      <c r="S46" s="387"/>
      <c r="T46" s="219">
        <v>779738</v>
      </c>
      <c r="U46" s="387"/>
      <c r="V46" s="219">
        <v>747210</v>
      </c>
      <c r="W46" s="387"/>
      <c r="X46" s="219">
        <v>751281</v>
      </c>
      <c r="Y46" s="387"/>
      <c r="Z46" s="1353">
        <v>857985</v>
      </c>
      <c r="AA46" s="657"/>
      <c r="AB46" s="7"/>
      <c r="AC46" s="746">
        <f t="shared" ref="AC46" si="11">AVERAGE(X46,V46,T46,R46,Z46)</f>
        <v>772854</v>
      </c>
    </row>
    <row r="47" spans="1:29" x14ac:dyDescent="0.2">
      <c r="A47" s="3"/>
      <c r="B47" s="1044" t="s">
        <v>196</v>
      </c>
      <c r="C47" s="132"/>
      <c r="D47" s="139"/>
      <c r="E47" s="16"/>
      <c r="F47" s="153"/>
      <c r="G47" s="260"/>
      <c r="H47" s="219"/>
      <c r="I47" s="387"/>
      <c r="J47" s="488"/>
      <c r="K47" s="260"/>
      <c r="L47" s="488"/>
      <c r="M47" s="260"/>
      <c r="N47" s="219"/>
      <c r="O47" s="387"/>
      <c r="P47" s="219"/>
      <c r="Q47" s="387"/>
      <c r="R47" s="219"/>
      <c r="S47" s="387"/>
      <c r="T47" s="219"/>
      <c r="U47" s="387"/>
      <c r="V47" s="219"/>
      <c r="W47" s="387"/>
      <c r="X47" s="219"/>
      <c r="Y47" s="387"/>
      <c r="Z47" s="1353"/>
      <c r="AA47" s="657"/>
      <c r="AB47" s="748"/>
      <c r="AC47" s="746"/>
    </row>
    <row r="48" spans="1:29" ht="36" x14ac:dyDescent="0.2">
      <c r="A48" s="3"/>
      <c r="B48" s="1045" t="s">
        <v>67</v>
      </c>
      <c r="C48" s="134"/>
      <c r="D48" s="180">
        <v>14943</v>
      </c>
      <c r="E48" s="7"/>
      <c r="F48" s="187">
        <v>15042</v>
      </c>
      <c r="G48" s="261"/>
      <c r="H48" s="433">
        <v>15246</v>
      </c>
      <c r="I48" s="231"/>
      <c r="J48" s="313">
        <v>15295</v>
      </c>
      <c r="K48" s="261"/>
      <c r="L48" s="313">
        <v>15283</v>
      </c>
      <c r="M48" s="261"/>
      <c r="N48" s="433">
        <v>15267</v>
      </c>
      <c r="O48" s="231"/>
      <c r="P48" s="433">
        <v>15245</v>
      </c>
      <c r="Q48" s="231"/>
      <c r="R48" s="433">
        <v>15286</v>
      </c>
      <c r="S48" s="231"/>
      <c r="T48" s="433">
        <v>45388</v>
      </c>
      <c r="U48" s="231"/>
      <c r="V48" s="433">
        <v>205005</v>
      </c>
      <c r="W48" s="231"/>
      <c r="X48" s="433">
        <v>466119</v>
      </c>
      <c r="Y48" s="231"/>
      <c r="Z48" s="1347">
        <v>451745</v>
      </c>
      <c r="AA48" s="657"/>
      <c r="AC48" s="746">
        <f t="shared" ref="AC48:AC49" si="12">AVERAGE(X48,V48,T48,R48,Z48)</f>
        <v>236708.6</v>
      </c>
    </row>
    <row r="49" spans="1:29" x14ac:dyDescent="0.2">
      <c r="A49" s="3"/>
      <c r="B49" s="1046" t="s">
        <v>60</v>
      </c>
      <c r="C49" s="141"/>
      <c r="D49" s="181">
        <f>SUM(D46:D48)</f>
        <v>610359</v>
      </c>
      <c r="E49" s="59"/>
      <c r="F49" s="188">
        <f>SUM(F46:F48)</f>
        <v>633642</v>
      </c>
      <c r="G49" s="264"/>
      <c r="H49" s="434">
        <f>SUM(H46:H48)</f>
        <v>641595</v>
      </c>
      <c r="I49" s="388"/>
      <c r="J49" s="474">
        <f>SUM(J46:J48)</f>
        <v>654586</v>
      </c>
      <c r="K49" s="264"/>
      <c r="L49" s="474">
        <f>SUM(L46:L48)</f>
        <v>696623</v>
      </c>
      <c r="M49" s="264"/>
      <c r="N49" s="434">
        <f>SUM(N46:N48)</f>
        <v>754859</v>
      </c>
      <c r="O49" s="388"/>
      <c r="P49" s="434">
        <f>SUM(P46:P48)</f>
        <v>753290</v>
      </c>
      <c r="Q49" s="388"/>
      <c r="R49" s="434">
        <f>SUM(R46:R48)</f>
        <v>743342</v>
      </c>
      <c r="S49" s="388"/>
      <c r="T49" s="434">
        <f>SUM(T46:T48)</f>
        <v>825126</v>
      </c>
      <c r="U49" s="388"/>
      <c r="V49" s="434">
        <f>SUM(V46:V48)</f>
        <v>952215</v>
      </c>
      <c r="W49" s="388"/>
      <c r="X49" s="434">
        <f>SUM(X46:X48)</f>
        <v>1217400</v>
      </c>
      <c r="Y49" s="388"/>
      <c r="Z49" s="1348">
        <f>SUM(Z46:Z48)</f>
        <v>1309730</v>
      </c>
      <c r="AA49" s="657"/>
      <c r="AB49" s="748"/>
      <c r="AC49" s="804">
        <f t="shared" si="12"/>
        <v>1009562.6</v>
      </c>
    </row>
    <row r="50" spans="1:29" x14ac:dyDescent="0.2">
      <c r="A50" s="3"/>
      <c r="B50" s="1043" t="s">
        <v>61</v>
      </c>
      <c r="C50" s="134"/>
      <c r="D50" s="180"/>
      <c r="E50" s="7"/>
      <c r="F50" s="187"/>
      <c r="G50" s="261"/>
      <c r="H50" s="433"/>
      <c r="I50" s="231"/>
      <c r="J50" s="313"/>
      <c r="K50" s="261"/>
      <c r="L50" s="313"/>
      <c r="M50" s="261"/>
      <c r="N50" s="433"/>
      <c r="O50" s="231"/>
      <c r="P50" s="433"/>
      <c r="Q50" s="231"/>
      <c r="R50" s="433"/>
      <c r="S50" s="231"/>
      <c r="T50" s="433"/>
      <c r="U50" s="231"/>
      <c r="V50" s="433"/>
      <c r="W50" s="231"/>
      <c r="X50" s="433"/>
      <c r="Y50" s="231"/>
      <c r="Z50" s="1347"/>
      <c r="AA50" s="657"/>
      <c r="AB50" s="7"/>
      <c r="AC50" s="746"/>
    </row>
    <row r="51" spans="1:29" x14ac:dyDescent="0.2">
      <c r="A51" s="3"/>
      <c r="B51" s="1044" t="s">
        <v>59</v>
      </c>
      <c r="C51" s="134"/>
      <c r="D51" s="180">
        <v>2515069</v>
      </c>
      <c r="E51" s="7"/>
      <c r="F51" s="187">
        <v>2722943</v>
      </c>
      <c r="G51" s="261"/>
      <c r="H51" s="433">
        <v>2717230</v>
      </c>
      <c r="I51" s="231"/>
      <c r="J51" s="313">
        <v>2906062</v>
      </c>
      <c r="K51" s="261"/>
      <c r="L51" s="313">
        <v>2988286</v>
      </c>
      <c r="M51" s="261"/>
      <c r="N51" s="433">
        <v>3170579</v>
      </c>
      <c r="O51" s="231"/>
      <c r="P51" s="433">
        <v>2963680</v>
      </c>
      <c r="Q51" s="231"/>
      <c r="R51" s="433">
        <v>3054889</v>
      </c>
      <c r="S51" s="231"/>
      <c r="T51" s="433">
        <v>3069050</v>
      </c>
      <c r="U51" s="231"/>
      <c r="V51" s="433">
        <v>3168493</v>
      </c>
      <c r="W51" s="231"/>
      <c r="X51" s="433">
        <v>3242483</v>
      </c>
      <c r="Y51" s="231"/>
      <c r="Z51" s="1347">
        <v>3396413</v>
      </c>
      <c r="AA51" s="657"/>
      <c r="AB51" s="748"/>
      <c r="AC51" s="746">
        <f t="shared" ref="AC51:AC55" si="13">AVERAGE(X51,V51,T51,R51,Z51)</f>
        <v>3186265.6</v>
      </c>
    </row>
    <row r="52" spans="1:29" x14ac:dyDescent="0.2">
      <c r="A52" s="3"/>
      <c r="B52" s="1044" t="s">
        <v>196</v>
      </c>
      <c r="C52" s="134"/>
      <c r="D52" s="180"/>
      <c r="E52" s="7"/>
      <c r="F52" s="187"/>
      <c r="G52" s="261"/>
      <c r="H52" s="433"/>
      <c r="I52" s="231"/>
      <c r="J52" s="313">
        <v>24000</v>
      </c>
      <c r="K52" s="261"/>
      <c r="L52" s="313">
        <v>24000</v>
      </c>
      <c r="M52" s="261"/>
      <c r="N52" s="433">
        <v>24000</v>
      </c>
      <c r="O52" s="231"/>
      <c r="P52" s="433">
        <v>24000</v>
      </c>
      <c r="Q52" s="231"/>
      <c r="R52" s="433">
        <v>24000</v>
      </c>
      <c r="S52" s="231"/>
      <c r="T52" s="433">
        <v>24000</v>
      </c>
      <c r="U52" s="231"/>
      <c r="V52" s="433">
        <v>24000</v>
      </c>
      <c r="W52" s="231"/>
      <c r="X52" s="433">
        <v>24000</v>
      </c>
      <c r="Y52" s="231"/>
      <c r="Z52" s="1347">
        <v>24000</v>
      </c>
      <c r="AA52" s="657"/>
      <c r="AB52" s="748"/>
      <c r="AC52" s="746">
        <f t="shared" si="13"/>
        <v>24000</v>
      </c>
    </row>
    <row r="53" spans="1:29" ht="36" x14ac:dyDescent="0.2">
      <c r="A53" s="3"/>
      <c r="B53" s="1045" t="s">
        <v>67</v>
      </c>
      <c r="C53" s="134"/>
      <c r="D53" s="180">
        <v>1981636</v>
      </c>
      <c r="E53" s="7"/>
      <c r="F53" s="187">
        <v>1435421</v>
      </c>
      <c r="G53" s="261"/>
      <c r="H53" s="433">
        <v>1389306</v>
      </c>
      <c r="I53" s="231"/>
      <c r="J53" s="313">
        <v>1545300</v>
      </c>
      <c r="K53" s="261"/>
      <c r="L53" s="313">
        <v>1623534</v>
      </c>
      <c r="M53" s="261"/>
      <c r="N53" s="433">
        <v>1372361</v>
      </c>
      <c r="O53" s="231"/>
      <c r="P53" s="433">
        <v>1285856</v>
      </c>
      <c r="Q53" s="231"/>
      <c r="R53" s="433">
        <v>1170255</v>
      </c>
      <c r="S53" s="231"/>
      <c r="T53" s="433">
        <v>1199330</v>
      </c>
      <c r="U53" s="231"/>
      <c r="V53" s="433">
        <v>1290787</v>
      </c>
      <c r="W53" s="231"/>
      <c r="X53" s="433">
        <v>1653216</v>
      </c>
      <c r="Y53" s="231"/>
      <c r="Z53" s="1347">
        <v>1450143</v>
      </c>
      <c r="AA53" s="657"/>
      <c r="AB53" s="748"/>
      <c r="AC53" s="746">
        <f t="shared" si="13"/>
        <v>1352746.2</v>
      </c>
    </row>
    <row r="54" spans="1:29" x14ac:dyDescent="0.2">
      <c r="A54" s="3"/>
      <c r="B54" s="1046" t="s">
        <v>62</v>
      </c>
      <c r="C54" s="141"/>
      <c r="D54" s="181">
        <f>SUM(D51:D53)</f>
        <v>4496705</v>
      </c>
      <c r="E54" s="59"/>
      <c r="F54" s="188">
        <f>SUM(F51:F53)</f>
        <v>4158364</v>
      </c>
      <c r="G54" s="264"/>
      <c r="H54" s="434">
        <f>SUM(H51:H53)</f>
        <v>4106536</v>
      </c>
      <c r="I54" s="388"/>
      <c r="J54" s="474">
        <f>SUM(J51:J53)</f>
        <v>4475362</v>
      </c>
      <c r="K54" s="264"/>
      <c r="L54" s="474">
        <f>SUM(L51:L53)</f>
        <v>4635820</v>
      </c>
      <c r="M54" s="264"/>
      <c r="N54" s="434">
        <f>SUM(N51:N53)</f>
        <v>4566940</v>
      </c>
      <c r="O54" s="388"/>
      <c r="P54" s="434">
        <f>SUM(P51:P53)</f>
        <v>4273536</v>
      </c>
      <c r="Q54" s="388"/>
      <c r="R54" s="434">
        <f>SUM(R51:R53)</f>
        <v>4249144</v>
      </c>
      <c r="S54" s="388"/>
      <c r="T54" s="434">
        <f>SUM(T51:T53)</f>
        <v>4292380</v>
      </c>
      <c r="U54" s="388"/>
      <c r="V54" s="434">
        <f>SUM(V51:V53)</f>
        <v>4483280</v>
      </c>
      <c r="W54" s="388"/>
      <c r="X54" s="434">
        <f>SUM(X51:X53)</f>
        <v>4919699</v>
      </c>
      <c r="Y54" s="388"/>
      <c r="Z54" s="1348">
        <f>SUM(Z51:Z53)</f>
        <v>4870556</v>
      </c>
      <c r="AA54" s="657"/>
      <c r="AB54" s="318"/>
      <c r="AC54" s="804">
        <f t="shared" si="13"/>
        <v>4563011.8</v>
      </c>
    </row>
    <row r="55" spans="1:29" ht="13.5" thickBot="1" x14ac:dyDescent="0.25">
      <c r="A55" s="3"/>
      <c r="B55" s="1047" t="s">
        <v>63</v>
      </c>
      <c r="C55" s="134"/>
      <c r="D55" s="181">
        <f>SUM(D49,D54)</f>
        <v>5107064</v>
      </c>
      <c r="E55" s="7"/>
      <c r="F55" s="188">
        <f>SUM(F49,F54)</f>
        <v>4792006</v>
      </c>
      <c r="G55" s="261"/>
      <c r="H55" s="434">
        <f>SUM(H49,H54)</f>
        <v>4748131</v>
      </c>
      <c r="I55" s="231"/>
      <c r="J55" s="474">
        <f>SUM(J49,J54)</f>
        <v>5129948</v>
      </c>
      <c r="K55" s="261"/>
      <c r="L55" s="474">
        <f>SUM(L49,L54)</f>
        <v>5332443</v>
      </c>
      <c r="M55" s="261"/>
      <c r="N55" s="434">
        <f>SUM(N49,N54)</f>
        <v>5321799</v>
      </c>
      <c r="O55" s="231"/>
      <c r="P55" s="434">
        <f>SUM(P49,P54)</f>
        <v>5026826</v>
      </c>
      <c r="Q55" s="231"/>
      <c r="R55" s="434">
        <f>SUM(R49,R54)</f>
        <v>4992486</v>
      </c>
      <c r="S55" s="231"/>
      <c r="T55" s="434">
        <f>SUM(T49,T54)</f>
        <v>5117506</v>
      </c>
      <c r="U55" s="231"/>
      <c r="V55" s="434">
        <f>SUM(V49,V54)</f>
        <v>5435495</v>
      </c>
      <c r="W55" s="231"/>
      <c r="X55" s="434">
        <f>SUM(X49,X54)</f>
        <v>6137099</v>
      </c>
      <c r="Y55" s="231"/>
      <c r="Z55" s="1348">
        <f>SUM(Z49,Z54)</f>
        <v>6180286</v>
      </c>
      <c r="AA55" s="657"/>
      <c r="AB55" s="665"/>
      <c r="AC55" s="1192">
        <f t="shared" si="13"/>
        <v>5572574.4000000004</v>
      </c>
    </row>
    <row r="56" spans="1:29" ht="12" x14ac:dyDescent="0.2">
      <c r="B56" s="1048" t="s">
        <v>205</v>
      </c>
      <c r="C56" s="142"/>
      <c r="D56" s="143"/>
      <c r="E56" s="54"/>
      <c r="F56" s="54"/>
      <c r="G56" s="265"/>
      <c r="H56" s="435"/>
      <c r="I56" s="138"/>
      <c r="J56" s="138"/>
      <c r="K56" s="265"/>
      <c r="L56" s="138"/>
      <c r="M56" s="265"/>
      <c r="N56" s="435"/>
      <c r="O56" s="138"/>
      <c r="P56" s="435"/>
      <c r="Q56" s="138"/>
      <c r="R56" s="435"/>
      <c r="S56" s="138"/>
      <c r="T56" s="435"/>
      <c r="U56" s="138"/>
      <c r="V56" s="435"/>
      <c r="W56" s="138"/>
      <c r="X56" s="435"/>
      <c r="Y56" s="138"/>
      <c r="Z56" s="236"/>
      <c r="AA56" s="657"/>
      <c r="AB56" s="744"/>
      <c r="AC56" s="1011"/>
    </row>
    <row r="57" spans="1:29" x14ac:dyDescent="0.2">
      <c r="B57" s="45" t="s">
        <v>14</v>
      </c>
      <c r="C57" s="184"/>
      <c r="D57" s="182">
        <f>589859+52534</f>
        <v>642393</v>
      </c>
      <c r="E57" s="528"/>
      <c r="F57" s="462">
        <v>788888</v>
      </c>
      <c r="G57" s="199"/>
      <c r="H57" s="503">
        <v>926643</v>
      </c>
      <c r="I57" s="125"/>
      <c r="J57" s="792">
        <v>933230.6</v>
      </c>
      <c r="K57" s="793"/>
      <c r="L57" s="794">
        <v>1385683</v>
      </c>
      <c r="M57" s="261"/>
      <c r="N57" s="1010">
        <v>789547</v>
      </c>
      <c r="O57" s="231"/>
      <c r="P57" s="1248">
        <v>799646</v>
      </c>
      <c r="Q57" s="327"/>
      <c r="R57" s="1247">
        <v>784254</v>
      </c>
      <c r="S57" s="327"/>
      <c r="T57" s="1247">
        <v>844568</v>
      </c>
      <c r="U57" s="327"/>
      <c r="V57" s="1247">
        <v>723320</v>
      </c>
      <c r="W57" s="327"/>
      <c r="X57" s="1248">
        <v>813903.61</v>
      </c>
      <c r="Y57" s="327"/>
      <c r="Z57" s="1330"/>
      <c r="AA57" s="657"/>
      <c r="AB57" s="748"/>
      <c r="AC57" s="854">
        <f>AVERAGE(X57,V57,T57,R57,P57)</f>
        <v>793138.32199999993</v>
      </c>
    </row>
    <row r="58" spans="1:29" ht="12" x14ac:dyDescent="0.2">
      <c r="B58" s="45" t="s">
        <v>15</v>
      </c>
      <c r="C58" s="186"/>
      <c r="D58" s="183">
        <f>1504963+389690+206089+587505</f>
        <v>2688247</v>
      </c>
      <c r="E58" s="49"/>
      <c r="F58" s="462">
        <f>2105722+814998</f>
        <v>2920720</v>
      </c>
      <c r="G58" s="556"/>
      <c r="H58" s="503">
        <v>2928091</v>
      </c>
      <c r="I58" s="557"/>
      <c r="J58" s="795">
        <f>2724457+860567</f>
        <v>3585024</v>
      </c>
      <c r="K58" s="796"/>
      <c r="L58" s="795">
        <f>473+23163+57031+59190+583454+231331+605318+746</f>
        <v>1560706</v>
      </c>
      <c r="M58" s="296"/>
      <c r="N58" s="1117">
        <f>0+2636553+903830</f>
        <v>3540383</v>
      </c>
      <c r="O58" s="421"/>
      <c r="P58" s="454">
        <f>1995087+333842+951546+24535+3767</f>
        <v>3308777</v>
      </c>
      <c r="Q58" s="327"/>
      <c r="R58" s="454">
        <f>822935.48+277152.92+1957635.66+6238.73+27338.98</f>
        <v>3091301.7699999996</v>
      </c>
      <c r="S58" s="327"/>
      <c r="T58" s="454">
        <f>19809.44+2221747.39+725951.94+77985.42</f>
        <v>3045494.19</v>
      </c>
      <c r="U58" s="327"/>
      <c r="V58" s="454">
        <v>3586226</v>
      </c>
      <c r="W58" s="327"/>
      <c r="X58" s="454">
        <v>3697715.78</v>
      </c>
      <c r="Y58" s="327"/>
      <c r="Z58" s="1323"/>
      <c r="AA58" s="657"/>
      <c r="AB58" s="318"/>
      <c r="AC58" s="854">
        <f>AVERAGE(X58,V58,T58,R58,P58)</f>
        <v>3345902.9479999999</v>
      </c>
    </row>
    <row r="59" spans="1:29" thickBot="1" x14ac:dyDescent="0.25">
      <c r="B59" s="37" t="s">
        <v>32</v>
      </c>
      <c r="C59" s="144"/>
      <c r="D59" s="157"/>
      <c r="E59" s="92"/>
      <c r="F59" s="576"/>
      <c r="G59" s="577"/>
      <c r="H59" s="578"/>
      <c r="I59" s="579"/>
      <c r="J59" s="580"/>
      <c r="K59" s="266"/>
      <c r="L59" s="332"/>
      <c r="M59" s="266"/>
      <c r="N59" s="436"/>
      <c r="O59" s="422"/>
      <c r="P59" s="436"/>
      <c r="Q59" s="422"/>
      <c r="R59" s="436"/>
      <c r="S59" s="422"/>
      <c r="T59" s="436"/>
      <c r="U59" s="422"/>
      <c r="V59" s="436"/>
      <c r="W59" s="422"/>
      <c r="X59" s="436"/>
      <c r="Y59" s="422"/>
      <c r="Z59" s="237"/>
      <c r="AA59" s="657"/>
      <c r="AB59" s="849"/>
      <c r="AC59" s="850"/>
    </row>
    <row r="60" spans="1:29" ht="12" x14ac:dyDescent="0.2">
      <c r="B60" s="89"/>
      <c r="C60" s="145" t="s">
        <v>97</v>
      </c>
      <c r="D60" s="146" t="s">
        <v>104</v>
      </c>
      <c r="E60" s="829" t="s">
        <v>97</v>
      </c>
      <c r="F60" s="155" t="s">
        <v>104</v>
      </c>
      <c r="G60" s="267" t="s">
        <v>97</v>
      </c>
      <c r="H60" s="437" t="s">
        <v>104</v>
      </c>
      <c r="I60" s="423" t="s">
        <v>97</v>
      </c>
      <c r="J60" s="437" t="s">
        <v>104</v>
      </c>
      <c r="K60" s="423" t="s">
        <v>97</v>
      </c>
      <c r="L60" s="475" t="s">
        <v>104</v>
      </c>
      <c r="M60" s="267" t="s">
        <v>97</v>
      </c>
      <c r="N60" s="437" t="s">
        <v>104</v>
      </c>
      <c r="O60" s="423" t="s">
        <v>97</v>
      </c>
      <c r="P60" s="437" t="s">
        <v>104</v>
      </c>
      <c r="Q60" s="423" t="s">
        <v>97</v>
      </c>
      <c r="R60" s="437" t="s">
        <v>104</v>
      </c>
      <c r="S60" s="423" t="s">
        <v>97</v>
      </c>
      <c r="T60" s="437" t="s">
        <v>104</v>
      </c>
      <c r="U60" s="423" t="s">
        <v>97</v>
      </c>
      <c r="V60" s="437" t="s">
        <v>104</v>
      </c>
      <c r="W60" s="423" t="s">
        <v>97</v>
      </c>
      <c r="X60" s="437" t="s">
        <v>104</v>
      </c>
      <c r="Y60" s="423" t="s">
        <v>97</v>
      </c>
      <c r="Z60" s="250" t="s">
        <v>104</v>
      </c>
      <c r="AA60" s="657"/>
      <c r="AB60" s="749" t="s">
        <v>97</v>
      </c>
      <c r="AC60" s="250" t="s">
        <v>104</v>
      </c>
    </row>
    <row r="61" spans="1:29" ht="11.45" customHeight="1" x14ac:dyDescent="0.2">
      <c r="B61" s="90" t="s">
        <v>50</v>
      </c>
      <c r="C61" s="764">
        <v>42</v>
      </c>
      <c r="D61" s="638">
        <v>1724053.6</v>
      </c>
      <c r="E61" s="790">
        <v>49</v>
      </c>
      <c r="F61" s="585">
        <v>4972648.9000000004</v>
      </c>
      <c r="G61" s="768">
        <v>50</v>
      </c>
      <c r="H61" s="503">
        <v>2550116</v>
      </c>
      <c r="I61" s="771">
        <v>58</v>
      </c>
      <c r="J61" s="783">
        <v>2496655.9</v>
      </c>
      <c r="K61" s="771">
        <v>63</v>
      </c>
      <c r="L61" s="584">
        <v>4430226</v>
      </c>
      <c r="M61" s="1093">
        <v>57</v>
      </c>
      <c r="N61" s="503">
        <v>4262208</v>
      </c>
      <c r="O61" s="1093">
        <v>53</v>
      </c>
      <c r="P61" s="503">
        <v>5601146</v>
      </c>
      <c r="Q61" s="1093">
        <v>58</v>
      </c>
      <c r="R61" s="503">
        <v>10160437</v>
      </c>
      <c r="S61" s="1093">
        <v>59</v>
      </c>
      <c r="T61" s="503">
        <v>6452183</v>
      </c>
      <c r="U61" s="1093">
        <v>74</v>
      </c>
      <c r="V61" s="503">
        <v>6537607</v>
      </c>
      <c r="W61" s="1093">
        <v>60</v>
      </c>
      <c r="X61" s="503">
        <v>2703823</v>
      </c>
      <c r="Y61" s="992"/>
      <c r="Z61" s="385"/>
      <c r="AA61" s="657"/>
      <c r="AB61" s="855">
        <f t="shared" ref="AB61" si="14">AVERAGE(W61,U61,S61,Q61,Y61)</f>
        <v>62.75</v>
      </c>
      <c r="AC61" s="854">
        <f t="shared" ref="AC61" si="15">AVERAGE(X61,V61,T61,R61,Z61)</f>
        <v>6463512.5</v>
      </c>
    </row>
    <row r="62" spans="1:29" ht="11.45" customHeight="1" x14ac:dyDescent="0.2">
      <c r="B62" s="90"/>
      <c r="C62" s="765"/>
      <c r="D62" s="148"/>
      <c r="E62" s="1049"/>
      <c r="F62" s="156"/>
      <c r="G62" s="769"/>
      <c r="H62" s="564"/>
      <c r="I62" s="772"/>
      <c r="J62" s="564"/>
      <c r="K62" s="772"/>
      <c r="L62" s="565"/>
      <c r="M62" s="1095"/>
      <c r="N62" s="644"/>
      <c r="O62" s="1095"/>
      <c r="P62" s="644"/>
      <c r="Q62" s="1095"/>
      <c r="R62" s="644"/>
      <c r="S62" s="1095"/>
      <c r="T62" s="644"/>
      <c r="U62" s="1095"/>
      <c r="V62" s="644"/>
      <c r="W62" s="1095"/>
      <c r="X62" s="644"/>
      <c r="Y62" s="1029"/>
      <c r="Z62" s="251"/>
      <c r="AA62" s="657"/>
      <c r="AB62" s="855"/>
      <c r="AC62" s="854"/>
    </row>
    <row r="63" spans="1:29" thickBot="1" x14ac:dyDescent="0.25">
      <c r="B63" s="302" t="s">
        <v>16</v>
      </c>
      <c r="C63" s="766">
        <v>38</v>
      </c>
      <c r="D63" s="157">
        <f>2476275</f>
        <v>2476275</v>
      </c>
      <c r="E63" s="1050">
        <v>22</v>
      </c>
      <c r="F63" s="537">
        <v>815578</v>
      </c>
      <c r="G63" s="770">
        <v>43</v>
      </c>
      <c r="H63" s="604">
        <v>2376352</v>
      </c>
      <c r="I63" s="773">
        <v>41</v>
      </c>
      <c r="J63" s="604">
        <v>2058140</v>
      </c>
      <c r="K63" s="773">
        <v>30</v>
      </c>
      <c r="L63" s="575">
        <v>1408563</v>
      </c>
      <c r="M63" s="770">
        <v>36</v>
      </c>
      <c r="N63" s="632">
        <v>3396240</v>
      </c>
      <c r="O63" s="770">
        <v>35</v>
      </c>
      <c r="P63" s="632">
        <v>1582167</v>
      </c>
      <c r="Q63" s="770">
        <v>29</v>
      </c>
      <c r="R63" s="632">
        <v>1376246</v>
      </c>
      <c r="S63" s="770">
        <v>37</v>
      </c>
      <c r="T63" s="632">
        <v>2165610</v>
      </c>
      <c r="U63" s="770">
        <v>50</v>
      </c>
      <c r="V63" s="632">
        <v>10118056</v>
      </c>
      <c r="W63" s="770">
        <v>48</v>
      </c>
      <c r="X63" s="632">
        <v>4881064</v>
      </c>
      <c r="Y63" s="993"/>
      <c r="Z63" s="368"/>
      <c r="AA63" s="657"/>
      <c r="AB63" s="856">
        <f t="shared" ref="AB63" si="16">AVERAGE(W63,U63,S63,Q63,Y63)</f>
        <v>41</v>
      </c>
      <c r="AC63" s="854">
        <f t="shared" ref="AC63" si="17">AVERAGE(X63,V63,T63,R63,Z63)</f>
        <v>4635244</v>
      </c>
    </row>
    <row r="64" spans="1:29" ht="12" x14ac:dyDescent="0.2">
      <c r="B64" s="87" t="s">
        <v>68</v>
      </c>
      <c r="C64" s="185"/>
      <c r="D64" s="193"/>
      <c r="E64" s="1051"/>
      <c r="F64" s="586"/>
      <c r="G64" s="587"/>
      <c r="H64" s="588"/>
      <c r="I64" s="583"/>
      <c r="J64" s="589"/>
      <c r="K64" s="297"/>
      <c r="L64" s="476"/>
      <c r="M64" s="297"/>
      <c r="N64" s="439"/>
      <c r="O64" s="424"/>
      <c r="P64" s="439"/>
      <c r="Q64" s="424"/>
      <c r="R64" s="439"/>
      <c r="S64" s="424"/>
      <c r="T64" s="439"/>
      <c r="U64" s="424"/>
      <c r="V64" s="439"/>
      <c r="W64" s="424"/>
      <c r="X64" s="439"/>
      <c r="Y64" s="424"/>
      <c r="Z64" s="238"/>
      <c r="AA64" s="657"/>
      <c r="AB64" s="851"/>
      <c r="AC64" s="852"/>
    </row>
    <row r="65" spans="1:29" ht="5.25" customHeight="1" x14ac:dyDescent="0.2">
      <c r="B65" s="303" t="s">
        <v>69</v>
      </c>
      <c r="C65" s="186"/>
      <c r="D65" s="194"/>
      <c r="E65" s="1052"/>
      <c r="F65" s="51"/>
      <c r="G65" s="581"/>
      <c r="H65" s="590"/>
      <c r="I65" s="582"/>
      <c r="J65" s="228"/>
      <c r="K65" s="269"/>
      <c r="L65" s="229"/>
      <c r="M65" s="269"/>
      <c r="N65" s="440"/>
      <c r="O65" s="239"/>
      <c r="P65" s="440"/>
      <c r="Q65" s="239"/>
      <c r="R65" s="440"/>
      <c r="S65" s="239"/>
      <c r="T65" s="440"/>
      <c r="U65" s="239"/>
      <c r="V65" s="229"/>
      <c r="W65" s="1427"/>
      <c r="X65" s="440"/>
      <c r="Y65" s="1029"/>
      <c r="Z65" s="240"/>
      <c r="AA65" s="657"/>
      <c r="AC65" s="652"/>
    </row>
    <row r="66" spans="1:29" ht="12" x14ac:dyDescent="0.2">
      <c r="B66" s="304" t="s">
        <v>70</v>
      </c>
      <c r="C66" s="149"/>
      <c r="D66" s="220">
        <v>7340859.8099999996</v>
      </c>
      <c r="E66" s="1053"/>
      <c r="F66" s="294">
        <v>1044792.56</v>
      </c>
      <c r="G66" s="558"/>
      <c r="H66" s="591">
        <v>2691019.8</v>
      </c>
      <c r="I66" s="541"/>
      <c r="J66" s="592">
        <v>2282487.7599999998</v>
      </c>
      <c r="K66" s="268"/>
      <c r="L66" s="619">
        <v>1923337.46</v>
      </c>
      <c r="M66" s="268"/>
      <c r="N66" s="1010">
        <v>669848</v>
      </c>
      <c r="O66" s="425"/>
      <c r="P66" s="1010">
        <v>1249687</v>
      </c>
      <c r="Q66" s="425"/>
      <c r="R66" s="1010">
        <v>1679885.23</v>
      </c>
      <c r="S66" s="425"/>
      <c r="T66" s="1010">
        <v>1179552.5900000001</v>
      </c>
      <c r="U66" s="425"/>
      <c r="V66" s="1010">
        <v>2012244.09</v>
      </c>
      <c r="W66" s="425"/>
      <c r="X66" s="1010">
        <v>2292982.64</v>
      </c>
      <c r="Y66" s="425"/>
      <c r="Z66" s="1334"/>
      <c r="AA66" s="657"/>
      <c r="AB66" s="318"/>
      <c r="AC66" s="750">
        <f t="shared" ref="AC66:AC67" si="18">AVERAGE(X66,V66,T66,R66,P66)</f>
        <v>1682870.31</v>
      </c>
    </row>
    <row r="67" spans="1:29" thickBot="1" x14ac:dyDescent="0.25">
      <c r="B67" s="305" t="s">
        <v>71</v>
      </c>
      <c r="C67" s="151"/>
      <c r="D67" s="159">
        <f>819007.39+979397.25</f>
        <v>1798404.6400000001</v>
      </c>
      <c r="E67" s="1054"/>
      <c r="F67" s="314">
        <f>942955.47+1208237.92</f>
        <v>2151193.3899999997</v>
      </c>
      <c r="G67" s="560"/>
      <c r="H67" s="159">
        <f>2343475.12</f>
        <v>2343475.12</v>
      </c>
      <c r="I67" s="543"/>
      <c r="J67" s="314">
        <v>2680660.36</v>
      </c>
      <c r="K67" s="270"/>
      <c r="L67" s="620">
        <v>2501538.11</v>
      </c>
      <c r="M67" s="270"/>
      <c r="N67" s="544">
        <v>1995835.29</v>
      </c>
      <c r="O67" s="426"/>
      <c r="P67" s="544">
        <v>2081641</v>
      </c>
      <c r="Q67" s="426"/>
      <c r="R67" s="544">
        <v>2258898.0099999998</v>
      </c>
      <c r="S67" s="426"/>
      <c r="T67" s="544">
        <v>2137822.86</v>
      </c>
      <c r="U67" s="426"/>
      <c r="V67" s="544">
        <v>2294252.2200000002</v>
      </c>
      <c r="W67" s="426"/>
      <c r="X67" s="544">
        <v>2568641.4300000002</v>
      </c>
      <c r="Y67" s="426"/>
      <c r="Z67" s="1339"/>
      <c r="AB67" s="659"/>
      <c r="AC67" s="854">
        <f t="shared" si="18"/>
        <v>2268251.1039999998</v>
      </c>
    </row>
    <row r="68" spans="1:29" ht="5.25" customHeight="1" thickTop="1" x14ac:dyDescent="0.2">
      <c r="B68" s="61"/>
      <c r="C68" s="25"/>
      <c r="D68" s="62"/>
      <c r="E68" s="25"/>
      <c r="F68" s="26"/>
      <c r="G68" s="239"/>
      <c r="H68" s="229"/>
      <c r="I68" s="239"/>
      <c r="J68" s="229"/>
      <c r="K68" s="239"/>
      <c r="L68" s="229"/>
      <c r="M68" s="623"/>
      <c r="N68" s="229"/>
      <c r="O68" s="623"/>
      <c r="P68" s="229"/>
      <c r="Q68" s="623"/>
      <c r="R68" s="229"/>
      <c r="S68" s="623"/>
      <c r="T68" s="229"/>
      <c r="U68" s="623"/>
      <c r="V68" s="229"/>
      <c r="W68" s="623"/>
      <c r="X68" s="229"/>
      <c r="Y68" s="623"/>
      <c r="Z68" s="229"/>
      <c r="AB68" s="66"/>
      <c r="AC68" s="664"/>
    </row>
    <row r="69" spans="1:29" x14ac:dyDescent="0.2">
      <c r="A69" s="3" t="s">
        <v>66</v>
      </c>
      <c r="B69" s="61"/>
      <c r="C69" s="25"/>
      <c r="D69" s="62"/>
      <c r="E69" s="25"/>
      <c r="F69" s="26"/>
      <c r="G69" s="239"/>
      <c r="H69" s="229"/>
      <c r="I69" s="239"/>
      <c r="J69" s="229"/>
      <c r="K69" s="239"/>
      <c r="L69" s="229"/>
      <c r="M69" s="239"/>
      <c r="N69" s="229"/>
      <c r="O69" s="239"/>
      <c r="P69" s="229"/>
      <c r="Q69" s="239"/>
      <c r="R69" s="229"/>
      <c r="S69" s="239"/>
      <c r="T69" s="229"/>
      <c r="U69" s="239"/>
      <c r="V69" s="229"/>
      <c r="W69" s="239"/>
      <c r="X69" s="229"/>
      <c r="Y69" s="239"/>
      <c r="Z69" s="229"/>
    </row>
    <row r="70" spans="1:29" thickBot="1" x14ac:dyDescent="0.25">
      <c r="B70" s="61"/>
      <c r="C70" s="25"/>
      <c r="D70" s="62"/>
      <c r="E70" s="25"/>
      <c r="F70" s="26"/>
      <c r="G70" s="239"/>
      <c r="H70" s="229"/>
      <c r="I70" s="239"/>
      <c r="J70" s="229"/>
      <c r="K70" s="239"/>
      <c r="L70" s="229"/>
      <c r="M70" s="239"/>
      <c r="N70" s="229"/>
      <c r="O70" s="239"/>
      <c r="P70" s="229"/>
      <c r="Q70" s="239"/>
      <c r="R70" s="229"/>
      <c r="S70" s="239"/>
      <c r="T70" s="229"/>
      <c r="U70" s="239"/>
      <c r="V70" s="229"/>
      <c r="W70" s="239"/>
      <c r="X70" s="229"/>
      <c r="Y70" s="239"/>
      <c r="Z70" s="229"/>
      <c r="AB70" s="71"/>
    </row>
    <row r="71" spans="1:29" ht="14.25" customHeight="1" thickTop="1" thickBot="1" x14ac:dyDescent="0.25">
      <c r="B71" s="1055"/>
      <c r="C71" s="1498" t="s">
        <v>33</v>
      </c>
      <c r="D71" s="1499"/>
      <c r="E71" s="1501" t="s">
        <v>34</v>
      </c>
      <c r="F71" s="1501"/>
      <c r="G71" s="1500" t="s">
        <v>106</v>
      </c>
      <c r="H71" s="1495"/>
      <c r="I71" s="1494" t="s">
        <v>118</v>
      </c>
      <c r="J71" s="1494"/>
      <c r="K71" s="1500" t="s">
        <v>121</v>
      </c>
      <c r="L71" s="1494"/>
      <c r="M71" s="1500" t="s">
        <v>127</v>
      </c>
      <c r="N71" s="1495"/>
      <c r="O71" s="1494" t="s">
        <v>174</v>
      </c>
      <c r="P71" s="1495"/>
      <c r="Q71" s="1494" t="s">
        <v>193</v>
      </c>
      <c r="R71" s="1495"/>
      <c r="S71" s="1494" t="s">
        <v>218</v>
      </c>
      <c r="T71" s="1495"/>
      <c r="U71" s="1494" t="s">
        <v>221</v>
      </c>
      <c r="V71" s="1495"/>
      <c r="W71" s="1494" t="s">
        <v>232</v>
      </c>
      <c r="X71" s="1495"/>
      <c r="Y71" s="1494" t="s">
        <v>241</v>
      </c>
      <c r="Z71" s="1508"/>
      <c r="AB71" s="1521" t="s">
        <v>134</v>
      </c>
      <c r="AC71" s="1531"/>
    </row>
    <row r="72" spans="1:29" ht="12" x14ac:dyDescent="0.2">
      <c r="B72" s="41" t="s">
        <v>37</v>
      </c>
      <c r="C72" s="132"/>
      <c r="D72" s="133"/>
      <c r="E72" s="16"/>
      <c r="F72" s="16"/>
      <c r="G72" s="260"/>
      <c r="H72" s="407"/>
      <c r="I72" s="387"/>
      <c r="J72" s="387"/>
      <c r="K72" s="260"/>
      <c r="L72" s="387"/>
      <c r="M72" s="260"/>
      <c r="N72" s="407"/>
      <c r="O72" s="387"/>
      <c r="P72" s="407"/>
      <c r="Q72" s="387"/>
      <c r="R72" s="407"/>
      <c r="S72" s="387"/>
      <c r="T72" s="407"/>
      <c r="U72" s="387"/>
      <c r="V72" s="407"/>
      <c r="W72" s="387"/>
      <c r="X72" s="407"/>
      <c r="Y72" s="387"/>
      <c r="Z72" s="230"/>
      <c r="AA72" s="657"/>
      <c r="AC72" s="652"/>
    </row>
    <row r="73" spans="1:29" ht="12" x14ac:dyDescent="0.2">
      <c r="B73" s="98" t="s">
        <v>38</v>
      </c>
      <c r="C73" s="134"/>
      <c r="D73" s="168"/>
      <c r="E73" s="7"/>
      <c r="F73" s="99"/>
      <c r="G73" s="261"/>
      <c r="H73" s="408"/>
      <c r="I73" s="231"/>
      <c r="J73" s="244"/>
      <c r="K73" s="261"/>
      <c r="L73" s="244"/>
      <c r="M73" s="261"/>
      <c r="N73" s="408"/>
      <c r="O73" s="231"/>
      <c r="P73" s="408"/>
      <c r="Q73" s="231"/>
      <c r="R73" s="408"/>
      <c r="S73" s="231"/>
      <c r="T73" s="408"/>
      <c r="U73" s="231"/>
      <c r="V73" s="408"/>
      <c r="W73" s="231"/>
      <c r="X73" s="408"/>
      <c r="Y73" s="231"/>
      <c r="Z73" s="221"/>
      <c r="AA73" s="657"/>
      <c r="AC73" s="652"/>
    </row>
    <row r="74" spans="1:29" ht="12" x14ac:dyDescent="0.2">
      <c r="B74" s="42" t="s">
        <v>39</v>
      </c>
      <c r="C74" s="134"/>
      <c r="D74" s="168">
        <v>5</v>
      </c>
      <c r="E74" s="7"/>
      <c r="F74" s="99">
        <v>6</v>
      </c>
      <c r="G74" s="261"/>
      <c r="H74" s="408">
        <v>6</v>
      </c>
      <c r="I74" s="231"/>
      <c r="J74" s="244">
        <v>7</v>
      </c>
      <c r="K74" s="261"/>
      <c r="L74" s="244">
        <v>5</v>
      </c>
      <c r="M74" s="261"/>
      <c r="N74" s="408">
        <v>7</v>
      </c>
      <c r="O74" s="231"/>
      <c r="P74" s="408">
        <v>7</v>
      </c>
      <c r="Q74" s="231"/>
      <c r="R74" s="408">
        <v>6</v>
      </c>
      <c r="S74" s="231"/>
      <c r="T74" s="408">
        <v>10</v>
      </c>
      <c r="U74" s="231"/>
      <c r="V74" s="408">
        <v>10</v>
      </c>
      <c r="W74" s="231"/>
      <c r="X74" s="408">
        <v>11</v>
      </c>
      <c r="Y74" s="231"/>
      <c r="Z74" s="221">
        <v>10</v>
      </c>
      <c r="AA74" s="657"/>
      <c r="AC74" s="658">
        <f t="shared" ref="AC74:AC75" si="19">AVERAGE(X74,V74,T74,R74,Z74)</f>
        <v>9.4</v>
      </c>
    </row>
    <row r="75" spans="1:29" ht="12" x14ac:dyDescent="0.2">
      <c r="B75" s="42" t="s">
        <v>161</v>
      </c>
      <c r="C75" s="134"/>
      <c r="D75" s="168">
        <v>0</v>
      </c>
      <c r="E75" s="7"/>
      <c r="F75" s="99">
        <v>1</v>
      </c>
      <c r="G75" s="261"/>
      <c r="H75" s="408">
        <v>1</v>
      </c>
      <c r="I75" s="231"/>
      <c r="J75" s="244">
        <v>1</v>
      </c>
      <c r="K75" s="261"/>
      <c r="L75" s="244">
        <v>1</v>
      </c>
      <c r="M75" s="261"/>
      <c r="N75" s="408">
        <v>1</v>
      </c>
      <c r="O75" s="231"/>
      <c r="P75" s="408">
        <v>1</v>
      </c>
      <c r="Q75" s="231"/>
      <c r="R75" s="408">
        <v>1</v>
      </c>
      <c r="S75" s="231"/>
      <c r="T75" s="408">
        <v>0</v>
      </c>
      <c r="U75" s="231"/>
      <c r="V75" s="408">
        <v>0</v>
      </c>
      <c r="W75" s="231"/>
      <c r="X75" s="408">
        <v>0</v>
      </c>
      <c r="Y75" s="231"/>
      <c r="Z75" s="221">
        <v>0</v>
      </c>
      <c r="AA75" s="657"/>
      <c r="AB75" s="318"/>
      <c r="AC75" s="658">
        <f t="shared" si="19"/>
        <v>0.2</v>
      </c>
    </row>
    <row r="76" spans="1:29" ht="12" x14ac:dyDescent="0.2">
      <c r="B76" s="98" t="s">
        <v>40</v>
      </c>
      <c r="C76" s="134"/>
      <c r="D76" s="136"/>
      <c r="E76" s="7"/>
      <c r="F76" s="12"/>
      <c r="G76" s="261"/>
      <c r="H76" s="217"/>
      <c r="I76" s="231"/>
      <c r="J76" s="105"/>
      <c r="K76" s="261"/>
      <c r="L76" s="105"/>
      <c r="M76" s="261"/>
      <c r="N76" s="217"/>
      <c r="O76" s="231"/>
      <c r="P76" s="217"/>
      <c r="Q76" s="231"/>
      <c r="R76" s="217"/>
      <c r="S76" s="231"/>
      <c r="T76" s="217"/>
      <c r="U76" s="231"/>
      <c r="V76" s="217"/>
      <c r="W76" s="231"/>
      <c r="X76" s="217"/>
      <c r="Y76" s="231"/>
      <c r="Z76" s="232"/>
      <c r="AA76" s="657"/>
      <c r="AB76" s="748"/>
      <c r="AC76" s="1008"/>
    </row>
    <row r="77" spans="1:29" ht="12" x14ac:dyDescent="0.2">
      <c r="B77" s="42" t="s">
        <v>39</v>
      </c>
      <c r="C77" s="134"/>
      <c r="D77" s="136">
        <v>9</v>
      </c>
      <c r="E77" s="7"/>
      <c r="F77" s="12">
        <v>8</v>
      </c>
      <c r="G77" s="261"/>
      <c r="H77" s="217">
        <v>9</v>
      </c>
      <c r="I77" s="231"/>
      <c r="J77" s="105">
        <v>10</v>
      </c>
      <c r="K77" s="261"/>
      <c r="L77" s="105">
        <v>14</v>
      </c>
      <c r="M77" s="261"/>
      <c r="N77" s="217">
        <v>10</v>
      </c>
      <c r="O77" s="231"/>
      <c r="P77" s="217">
        <v>10</v>
      </c>
      <c r="Q77" s="231"/>
      <c r="R77" s="217">
        <v>10</v>
      </c>
      <c r="S77" s="231"/>
      <c r="T77" s="217">
        <v>5</v>
      </c>
      <c r="U77" s="231"/>
      <c r="V77" s="217">
        <v>9</v>
      </c>
      <c r="W77" s="231"/>
      <c r="X77" s="217">
        <v>7</v>
      </c>
      <c r="Y77" s="231"/>
      <c r="Z77" s="232">
        <v>7</v>
      </c>
      <c r="AA77" s="657"/>
      <c r="AC77" s="1008">
        <f t="shared" ref="AC77:AC79" si="20">AVERAGE(X77,V77,T77,R77,Z77)</f>
        <v>7.6</v>
      </c>
    </row>
    <row r="78" spans="1:29" ht="12" x14ac:dyDescent="0.2">
      <c r="B78" s="680" t="s">
        <v>161</v>
      </c>
      <c r="C78" s="134"/>
      <c r="D78" s="136">
        <v>2</v>
      </c>
      <c r="E78" s="7"/>
      <c r="F78" s="12">
        <v>2</v>
      </c>
      <c r="G78" s="261"/>
      <c r="H78" s="217">
        <v>1</v>
      </c>
      <c r="I78" s="231"/>
      <c r="J78" s="105">
        <v>1</v>
      </c>
      <c r="K78" s="261"/>
      <c r="L78" s="105">
        <v>0</v>
      </c>
      <c r="M78" s="261"/>
      <c r="N78" s="217">
        <v>1</v>
      </c>
      <c r="O78" s="231"/>
      <c r="P78" s="217">
        <v>1</v>
      </c>
      <c r="Q78" s="231"/>
      <c r="R78" s="217">
        <v>0</v>
      </c>
      <c r="S78" s="231"/>
      <c r="T78" s="217">
        <v>3</v>
      </c>
      <c r="U78" s="231"/>
      <c r="V78" s="217">
        <v>1</v>
      </c>
      <c r="W78" s="231"/>
      <c r="X78" s="217">
        <v>1</v>
      </c>
      <c r="Y78" s="231"/>
      <c r="Z78" s="232">
        <v>1</v>
      </c>
      <c r="AA78" s="657"/>
      <c r="AB78" s="318"/>
      <c r="AC78" s="752">
        <f t="shared" si="20"/>
        <v>1.2</v>
      </c>
    </row>
    <row r="79" spans="1:29" thickBot="1" x14ac:dyDescent="0.25">
      <c r="B79" s="1056" t="s">
        <v>13</v>
      </c>
      <c r="C79" s="196"/>
      <c r="D79" s="208">
        <f>SUM(D74:D78)</f>
        <v>16</v>
      </c>
      <c r="E79" s="120"/>
      <c r="F79" s="47">
        <f>SUM(F74:F78)</f>
        <v>17</v>
      </c>
      <c r="G79" s="288"/>
      <c r="H79" s="409">
        <v>17</v>
      </c>
      <c r="I79" s="396"/>
      <c r="J79" s="315">
        <f>SUM(J74:J78)</f>
        <v>19</v>
      </c>
      <c r="K79" s="288"/>
      <c r="L79" s="315">
        <f>SUM(L74:L78)</f>
        <v>20</v>
      </c>
      <c r="M79" s="288"/>
      <c r="N79" s="409">
        <f>SUM(N74:N78)</f>
        <v>19</v>
      </c>
      <c r="O79" s="396"/>
      <c r="P79" s="409">
        <f>SUM(P74:P78)</f>
        <v>19</v>
      </c>
      <c r="Q79" s="396"/>
      <c r="R79" s="409">
        <f>SUM(R74:R78)</f>
        <v>17</v>
      </c>
      <c r="S79" s="396"/>
      <c r="T79" s="409">
        <f>SUM(T74:T78)</f>
        <v>18</v>
      </c>
      <c r="U79" s="396"/>
      <c r="V79" s="409">
        <f>SUM(V74:V78)</f>
        <v>20</v>
      </c>
      <c r="W79" s="396"/>
      <c r="X79" s="409">
        <f>SUM(X74:X78)</f>
        <v>19</v>
      </c>
      <c r="Y79" s="396"/>
      <c r="Z79" s="1359">
        <f>SUM(Z74:Z78)</f>
        <v>18</v>
      </c>
      <c r="AB79" s="659"/>
      <c r="AC79" s="786">
        <f t="shared" si="20"/>
        <v>18.399999999999999</v>
      </c>
    </row>
    <row r="80" spans="1:29" thickTop="1" x14ac:dyDescent="0.2">
      <c r="B80" s="710" t="s">
        <v>100</v>
      </c>
      <c r="C80" s="197" t="s">
        <v>97</v>
      </c>
      <c r="D80" s="198" t="s">
        <v>98</v>
      </c>
      <c r="E80" s="128" t="s">
        <v>97</v>
      </c>
      <c r="F80" s="195" t="s">
        <v>98</v>
      </c>
      <c r="G80" s="289" t="s">
        <v>97</v>
      </c>
      <c r="H80" s="441" t="s">
        <v>98</v>
      </c>
      <c r="I80" s="427" t="s">
        <v>97</v>
      </c>
      <c r="J80" s="477" t="s">
        <v>98</v>
      </c>
      <c r="K80" s="289" t="s">
        <v>97</v>
      </c>
      <c r="L80" s="477" t="s">
        <v>98</v>
      </c>
      <c r="M80" s="275" t="s">
        <v>97</v>
      </c>
      <c r="N80" s="410" t="s">
        <v>98</v>
      </c>
      <c r="O80" s="397" t="s">
        <v>97</v>
      </c>
      <c r="P80" s="410" t="s">
        <v>98</v>
      </c>
      <c r="Q80" s="397" t="s">
        <v>97</v>
      </c>
      <c r="R80" s="410" t="s">
        <v>98</v>
      </c>
      <c r="S80" s="397" t="s">
        <v>97</v>
      </c>
      <c r="T80" s="410" t="s">
        <v>98</v>
      </c>
      <c r="U80" s="397" t="s">
        <v>97</v>
      </c>
      <c r="V80" s="410" t="s">
        <v>98</v>
      </c>
      <c r="W80" s="397" t="s">
        <v>97</v>
      </c>
      <c r="X80" s="410" t="s">
        <v>98</v>
      </c>
      <c r="Y80" s="397" t="s">
        <v>97</v>
      </c>
      <c r="Z80" s="539" t="s">
        <v>98</v>
      </c>
      <c r="AB80" s="741" t="s">
        <v>97</v>
      </c>
      <c r="AC80" s="648" t="s">
        <v>98</v>
      </c>
    </row>
    <row r="81" spans="2:29" ht="12" x14ac:dyDescent="0.2">
      <c r="B81" s="42" t="s">
        <v>81</v>
      </c>
      <c r="C81" s="199">
        <v>11</v>
      </c>
      <c r="D81" s="200">
        <f>C81/$D$79</f>
        <v>0.6875</v>
      </c>
      <c r="E81" s="125">
        <f>10+3</f>
        <v>13</v>
      </c>
      <c r="F81" s="206">
        <f t="shared" ref="F81:F88" si="21">E81/$F$79</f>
        <v>0.76470588235294112</v>
      </c>
      <c r="G81" s="199">
        <v>13</v>
      </c>
      <c r="H81" s="372">
        <f>G81/$H$79</f>
        <v>0.76470588235294112</v>
      </c>
      <c r="I81" s="359">
        <v>13</v>
      </c>
      <c r="J81" s="485">
        <f t="shared" ref="J81:J88" si="22">I81/$J$79</f>
        <v>0.68421052631578949</v>
      </c>
      <c r="K81" s="359">
        <v>10</v>
      </c>
      <c r="L81" s="485">
        <f t="shared" ref="L81:L88" si="23">K81/$L$79</f>
        <v>0.5</v>
      </c>
      <c r="M81" s="359">
        <f>11+1</f>
        <v>12</v>
      </c>
      <c r="N81" s="372">
        <f t="shared" ref="N81:N86" si="24">M81/N$79</f>
        <v>0.63157894736842102</v>
      </c>
      <c r="O81" s="353">
        <v>12</v>
      </c>
      <c r="P81" s="372">
        <f t="shared" ref="P81:P86" si="25">O81/P$79</f>
        <v>0.63157894736842102</v>
      </c>
      <c r="Q81" s="353">
        <v>12</v>
      </c>
      <c r="R81" s="372">
        <f t="shared" ref="R81:T88" si="26">Q81/R$79</f>
        <v>0.70588235294117652</v>
      </c>
      <c r="S81" s="353">
        <f>10+3</f>
        <v>13</v>
      </c>
      <c r="T81" s="372">
        <f t="shared" si="26"/>
        <v>0.72222222222222221</v>
      </c>
      <c r="U81" s="353">
        <v>12</v>
      </c>
      <c r="V81" s="372">
        <f t="shared" ref="V81:V88" si="27">U81/V$79</f>
        <v>0.6</v>
      </c>
      <c r="W81" s="353">
        <f>1+10</f>
        <v>11</v>
      </c>
      <c r="X81" s="372">
        <f t="shared" ref="X81:X88" si="28">W81/X$79</f>
        <v>0.57894736842105265</v>
      </c>
      <c r="Y81" s="353">
        <v>11</v>
      </c>
      <c r="Z81" s="1397">
        <f t="shared" ref="Z81:Z88" si="29">Y81/Z$79</f>
        <v>0.61111111111111116</v>
      </c>
      <c r="AB81" s="687">
        <f t="shared" ref="AB81:AB88" si="30">AVERAGE(W81,U81,S81,Q81,Y81)</f>
        <v>11.8</v>
      </c>
      <c r="AC81" s="685">
        <f t="shared" ref="AC81:AC88" si="31">AVERAGE(X81,V81,T81,R81,Z81)</f>
        <v>0.64363261093911261</v>
      </c>
    </row>
    <row r="82" spans="2:29" ht="12" x14ac:dyDescent="0.2">
      <c r="B82" s="1057" t="s">
        <v>82</v>
      </c>
      <c r="C82" s="199">
        <v>1</v>
      </c>
      <c r="D82" s="200">
        <f t="shared" ref="D82:D100" si="32">C82/$D$79</f>
        <v>6.25E-2</v>
      </c>
      <c r="E82" s="125">
        <v>0</v>
      </c>
      <c r="F82" s="206">
        <f t="shared" si="21"/>
        <v>0</v>
      </c>
      <c r="G82" s="199">
        <v>0</v>
      </c>
      <c r="H82" s="372">
        <f t="shared" ref="H82:H88" si="33">G82/$H$79</f>
        <v>0</v>
      </c>
      <c r="I82" s="359">
        <v>0</v>
      </c>
      <c r="J82" s="485">
        <f t="shared" si="22"/>
        <v>0</v>
      </c>
      <c r="K82" s="359">
        <v>0</v>
      </c>
      <c r="L82" s="485">
        <f t="shared" si="23"/>
        <v>0</v>
      </c>
      <c r="M82" s="359">
        <v>0</v>
      </c>
      <c r="N82" s="372">
        <f t="shared" si="24"/>
        <v>0</v>
      </c>
      <c r="O82" s="353">
        <v>0</v>
      </c>
      <c r="P82" s="372">
        <f t="shared" si="25"/>
        <v>0</v>
      </c>
      <c r="Q82" s="353">
        <v>0</v>
      </c>
      <c r="R82" s="372">
        <f t="shared" si="26"/>
        <v>0</v>
      </c>
      <c r="S82" s="353">
        <f>0</f>
        <v>0</v>
      </c>
      <c r="T82" s="372">
        <f t="shared" si="26"/>
        <v>0</v>
      </c>
      <c r="U82" s="353">
        <v>0</v>
      </c>
      <c r="V82" s="372">
        <f t="shared" si="27"/>
        <v>0</v>
      </c>
      <c r="W82" s="353">
        <v>0</v>
      </c>
      <c r="X82" s="372">
        <f t="shared" si="28"/>
        <v>0</v>
      </c>
      <c r="Y82" s="353">
        <v>0</v>
      </c>
      <c r="Z82" s="1397">
        <f t="shared" si="29"/>
        <v>0</v>
      </c>
      <c r="AA82" s="657"/>
      <c r="AB82" s="803">
        <f t="shared" si="30"/>
        <v>0</v>
      </c>
      <c r="AC82" s="685">
        <f t="shared" si="31"/>
        <v>0</v>
      </c>
    </row>
    <row r="83" spans="2:29" ht="12" x14ac:dyDescent="0.2">
      <c r="B83" s="1057" t="s">
        <v>83</v>
      </c>
      <c r="C83" s="199">
        <v>0</v>
      </c>
      <c r="D83" s="200">
        <f t="shared" si="32"/>
        <v>0</v>
      </c>
      <c r="E83" s="125">
        <v>0</v>
      </c>
      <c r="F83" s="206">
        <f t="shared" si="21"/>
        <v>0</v>
      </c>
      <c r="G83" s="199">
        <v>0</v>
      </c>
      <c r="H83" s="372">
        <f t="shared" si="33"/>
        <v>0</v>
      </c>
      <c r="I83" s="359">
        <v>0</v>
      </c>
      <c r="J83" s="485">
        <f t="shared" si="22"/>
        <v>0</v>
      </c>
      <c r="K83" s="359">
        <v>0</v>
      </c>
      <c r="L83" s="485">
        <f t="shared" si="23"/>
        <v>0</v>
      </c>
      <c r="M83" s="359">
        <v>0</v>
      </c>
      <c r="N83" s="372">
        <f t="shared" si="24"/>
        <v>0</v>
      </c>
      <c r="O83" s="353">
        <v>0</v>
      </c>
      <c r="P83" s="372">
        <f t="shared" si="25"/>
        <v>0</v>
      </c>
      <c r="Q83" s="353">
        <v>0</v>
      </c>
      <c r="R83" s="372">
        <f t="shared" si="26"/>
        <v>0</v>
      </c>
      <c r="S83" s="353">
        <f>0</f>
        <v>0</v>
      </c>
      <c r="T83" s="372">
        <f t="shared" si="26"/>
        <v>0</v>
      </c>
      <c r="U83" s="353">
        <v>0</v>
      </c>
      <c r="V83" s="372">
        <f t="shared" si="27"/>
        <v>0</v>
      </c>
      <c r="W83" s="353">
        <v>0</v>
      </c>
      <c r="X83" s="372">
        <f t="shared" si="28"/>
        <v>0</v>
      </c>
      <c r="Y83" s="353">
        <v>0</v>
      </c>
      <c r="Z83" s="1397">
        <f t="shared" si="29"/>
        <v>0</v>
      </c>
      <c r="AA83" s="657"/>
      <c r="AB83" s="803">
        <f t="shared" si="30"/>
        <v>0</v>
      </c>
      <c r="AC83" s="685">
        <f t="shared" si="31"/>
        <v>0</v>
      </c>
    </row>
    <row r="84" spans="2:29" ht="12" x14ac:dyDescent="0.2">
      <c r="B84" s="1057" t="s">
        <v>84</v>
      </c>
      <c r="C84" s="199">
        <v>0</v>
      </c>
      <c r="D84" s="200">
        <f t="shared" si="32"/>
        <v>0</v>
      </c>
      <c r="E84" s="125">
        <v>0</v>
      </c>
      <c r="F84" s="206">
        <f t="shared" si="21"/>
        <v>0</v>
      </c>
      <c r="G84" s="199">
        <v>0</v>
      </c>
      <c r="H84" s="372">
        <f t="shared" si="33"/>
        <v>0</v>
      </c>
      <c r="I84" s="359">
        <v>0</v>
      </c>
      <c r="J84" s="485">
        <f t="shared" si="22"/>
        <v>0</v>
      </c>
      <c r="K84" s="359">
        <v>0</v>
      </c>
      <c r="L84" s="485">
        <f t="shared" si="23"/>
        <v>0</v>
      </c>
      <c r="M84" s="359">
        <v>0</v>
      </c>
      <c r="N84" s="372">
        <f t="shared" si="24"/>
        <v>0</v>
      </c>
      <c r="O84" s="353">
        <v>0</v>
      </c>
      <c r="P84" s="372">
        <f t="shared" si="25"/>
        <v>0</v>
      </c>
      <c r="Q84" s="353">
        <v>0</v>
      </c>
      <c r="R84" s="372">
        <f t="shared" si="26"/>
        <v>0</v>
      </c>
      <c r="S84" s="353">
        <f>0</f>
        <v>0</v>
      </c>
      <c r="T84" s="372">
        <f t="shared" si="26"/>
        <v>0</v>
      </c>
      <c r="U84" s="353">
        <v>0</v>
      </c>
      <c r="V84" s="372">
        <f t="shared" si="27"/>
        <v>0</v>
      </c>
      <c r="W84" s="353">
        <v>0</v>
      </c>
      <c r="X84" s="372">
        <f t="shared" si="28"/>
        <v>0</v>
      </c>
      <c r="Y84" s="353">
        <v>0</v>
      </c>
      <c r="Z84" s="1397">
        <f t="shared" si="29"/>
        <v>0</v>
      </c>
      <c r="AA84" s="657"/>
      <c r="AB84" s="803">
        <f t="shared" si="30"/>
        <v>0</v>
      </c>
      <c r="AC84" s="685">
        <f t="shared" si="31"/>
        <v>0</v>
      </c>
    </row>
    <row r="85" spans="2:29" ht="12" x14ac:dyDescent="0.2">
      <c r="B85" s="1057" t="s">
        <v>85</v>
      </c>
      <c r="C85" s="199">
        <v>3</v>
      </c>
      <c r="D85" s="200">
        <f t="shared" si="32"/>
        <v>0.1875</v>
      </c>
      <c r="E85" s="125">
        <v>3</v>
      </c>
      <c r="F85" s="206">
        <f t="shared" si="21"/>
        <v>0.17647058823529413</v>
      </c>
      <c r="G85" s="199">
        <v>3</v>
      </c>
      <c r="H85" s="372">
        <f t="shared" si="33"/>
        <v>0.17647058823529413</v>
      </c>
      <c r="I85" s="359">
        <v>5</v>
      </c>
      <c r="J85" s="485">
        <f t="shared" si="22"/>
        <v>0.26315789473684209</v>
      </c>
      <c r="K85" s="359">
        <v>8</v>
      </c>
      <c r="L85" s="485">
        <f t="shared" si="23"/>
        <v>0.4</v>
      </c>
      <c r="M85" s="359">
        <f>5+1</f>
        <v>6</v>
      </c>
      <c r="N85" s="372">
        <f t="shared" si="24"/>
        <v>0.31578947368421051</v>
      </c>
      <c r="O85" s="353">
        <v>7</v>
      </c>
      <c r="P85" s="372">
        <f t="shared" si="25"/>
        <v>0.36842105263157893</v>
      </c>
      <c r="Q85" s="353">
        <v>5</v>
      </c>
      <c r="R85" s="372">
        <f t="shared" si="26"/>
        <v>0.29411764705882354</v>
      </c>
      <c r="S85" s="353">
        <f>5</f>
        <v>5</v>
      </c>
      <c r="T85" s="372">
        <f t="shared" si="26"/>
        <v>0.27777777777777779</v>
      </c>
      <c r="U85" s="353">
        <v>5</v>
      </c>
      <c r="V85" s="372">
        <f t="shared" si="27"/>
        <v>0.25</v>
      </c>
      <c r="W85" s="353">
        <v>6</v>
      </c>
      <c r="X85" s="372">
        <f t="shared" si="28"/>
        <v>0.31578947368421051</v>
      </c>
      <c r="Y85" s="353">
        <v>6</v>
      </c>
      <c r="Z85" s="1397">
        <f t="shared" si="29"/>
        <v>0.33333333333333331</v>
      </c>
      <c r="AA85" s="657"/>
      <c r="AB85" s="803">
        <f t="shared" si="30"/>
        <v>5.4</v>
      </c>
      <c r="AC85" s="685">
        <f t="shared" si="31"/>
        <v>0.29420364637082902</v>
      </c>
    </row>
    <row r="86" spans="2:29" ht="12" x14ac:dyDescent="0.2">
      <c r="B86" s="1057" t="s">
        <v>86</v>
      </c>
      <c r="C86" s="199">
        <v>1</v>
      </c>
      <c r="D86" s="200">
        <f t="shared" si="32"/>
        <v>6.25E-2</v>
      </c>
      <c r="E86" s="125">
        <v>1</v>
      </c>
      <c r="F86" s="206">
        <f t="shared" si="21"/>
        <v>5.8823529411764705E-2</v>
      </c>
      <c r="G86" s="199">
        <v>1</v>
      </c>
      <c r="H86" s="372">
        <f t="shared" si="33"/>
        <v>5.8823529411764705E-2</v>
      </c>
      <c r="I86" s="359">
        <v>1</v>
      </c>
      <c r="J86" s="485">
        <f t="shared" si="22"/>
        <v>5.2631578947368418E-2</v>
      </c>
      <c r="K86" s="359">
        <v>2</v>
      </c>
      <c r="L86" s="485">
        <f t="shared" si="23"/>
        <v>0.1</v>
      </c>
      <c r="M86" s="359">
        <v>1</v>
      </c>
      <c r="N86" s="372">
        <f t="shared" si="24"/>
        <v>5.2631578947368418E-2</v>
      </c>
      <c r="O86" s="353">
        <v>0</v>
      </c>
      <c r="P86" s="372">
        <f t="shared" si="25"/>
        <v>0</v>
      </c>
      <c r="Q86" s="353">
        <v>0</v>
      </c>
      <c r="R86" s="372">
        <f t="shared" si="26"/>
        <v>0</v>
      </c>
      <c r="S86" s="353">
        <f>0</f>
        <v>0</v>
      </c>
      <c r="T86" s="372">
        <f t="shared" si="26"/>
        <v>0</v>
      </c>
      <c r="U86" s="353">
        <v>2</v>
      </c>
      <c r="V86" s="372">
        <f t="shared" si="27"/>
        <v>0.1</v>
      </c>
      <c r="W86" s="353">
        <v>1</v>
      </c>
      <c r="X86" s="372">
        <f t="shared" si="28"/>
        <v>5.2631578947368418E-2</v>
      </c>
      <c r="Y86" s="353">
        <v>1</v>
      </c>
      <c r="Z86" s="1397">
        <f t="shared" si="29"/>
        <v>5.5555555555555552E-2</v>
      </c>
      <c r="AA86" s="657"/>
      <c r="AB86" s="803">
        <f t="shared" si="30"/>
        <v>0.8</v>
      </c>
      <c r="AC86" s="685">
        <f t="shared" si="31"/>
        <v>4.1637426900584792E-2</v>
      </c>
    </row>
    <row r="87" spans="2:29" ht="12" x14ac:dyDescent="0.2">
      <c r="B87" s="1057" t="s">
        <v>201</v>
      </c>
      <c r="C87" s="201"/>
      <c r="D87" s="200"/>
      <c r="E87" s="126"/>
      <c r="F87" s="206"/>
      <c r="G87" s="1252"/>
      <c r="H87" s="1253"/>
      <c r="I87" s="1258"/>
      <c r="J87" s="1259"/>
      <c r="K87" s="1258"/>
      <c r="L87" s="1259"/>
      <c r="M87" s="1258"/>
      <c r="N87" s="1253"/>
      <c r="O87" s="1260"/>
      <c r="P87" s="1253"/>
      <c r="Q87" s="360">
        <v>0</v>
      </c>
      <c r="R87" s="372">
        <f t="shared" si="26"/>
        <v>0</v>
      </c>
      <c r="S87" s="360">
        <f>0</f>
        <v>0</v>
      </c>
      <c r="T87" s="372">
        <f t="shared" si="26"/>
        <v>0</v>
      </c>
      <c r="U87" s="360">
        <v>0</v>
      </c>
      <c r="V87" s="372">
        <f t="shared" si="27"/>
        <v>0</v>
      </c>
      <c r="W87" s="360">
        <v>0</v>
      </c>
      <c r="X87" s="372">
        <f t="shared" si="28"/>
        <v>0</v>
      </c>
      <c r="Y87" s="360">
        <v>0</v>
      </c>
      <c r="Z87" s="1397">
        <f t="shared" si="29"/>
        <v>0</v>
      </c>
      <c r="AA87" s="657"/>
      <c r="AB87" s="803">
        <f t="shared" si="30"/>
        <v>0</v>
      </c>
      <c r="AC87" s="685">
        <f t="shared" si="31"/>
        <v>0</v>
      </c>
    </row>
    <row r="88" spans="2:29" ht="12" x14ac:dyDescent="0.2">
      <c r="B88" s="1057" t="s">
        <v>87</v>
      </c>
      <c r="C88" s="201">
        <v>0</v>
      </c>
      <c r="D88" s="200">
        <f t="shared" si="32"/>
        <v>0</v>
      </c>
      <c r="E88" s="126">
        <v>0</v>
      </c>
      <c r="F88" s="206">
        <f t="shared" si="21"/>
        <v>0</v>
      </c>
      <c r="G88" s="201">
        <v>0</v>
      </c>
      <c r="H88" s="372">
        <f t="shared" si="33"/>
        <v>0</v>
      </c>
      <c r="I88" s="361">
        <v>0</v>
      </c>
      <c r="J88" s="485">
        <f t="shared" si="22"/>
        <v>0</v>
      </c>
      <c r="K88" s="361">
        <v>0</v>
      </c>
      <c r="L88" s="485">
        <f t="shared" si="23"/>
        <v>0</v>
      </c>
      <c r="M88" s="361">
        <v>0</v>
      </c>
      <c r="N88" s="372">
        <f>M88/N$79</f>
        <v>0</v>
      </c>
      <c r="O88" s="360">
        <v>0</v>
      </c>
      <c r="P88" s="372">
        <f>O88/P$79</f>
        <v>0</v>
      </c>
      <c r="Q88" s="360">
        <v>0</v>
      </c>
      <c r="R88" s="372">
        <f t="shared" si="26"/>
        <v>0</v>
      </c>
      <c r="S88" s="360">
        <f>0</f>
        <v>0</v>
      </c>
      <c r="T88" s="372">
        <f t="shared" si="26"/>
        <v>0</v>
      </c>
      <c r="U88" s="360">
        <v>1</v>
      </c>
      <c r="V88" s="372">
        <f t="shared" si="27"/>
        <v>0.05</v>
      </c>
      <c r="W88" s="360">
        <v>1</v>
      </c>
      <c r="X88" s="372">
        <f t="shared" si="28"/>
        <v>5.2631578947368418E-2</v>
      </c>
      <c r="Y88" s="360">
        <v>0</v>
      </c>
      <c r="Z88" s="1397">
        <f t="shared" si="29"/>
        <v>0</v>
      </c>
      <c r="AA88" s="657"/>
      <c r="AB88" s="803">
        <f t="shared" si="30"/>
        <v>0.4</v>
      </c>
      <c r="AC88" s="685">
        <f t="shared" si="31"/>
        <v>2.0526315789473684E-2</v>
      </c>
    </row>
    <row r="89" spans="2:29" ht="12" x14ac:dyDescent="0.2">
      <c r="B89" s="1058" t="s">
        <v>101</v>
      </c>
      <c r="C89" s="202"/>
      <c r="D89" s="200"/>
      <c r="E89" s="164"/>
      <c r="F89" s="285"/>
      <c r="G89" s="290"/>
      <c r="H89" s="452"/>
      <c r="I89" s="290"/>
      <c r="J89" s="485"/>
      <c r="K89" s="290"/>
      <c r="L89" s="485"/>
      <c r="M89" s="290"/>
      <c r="N89" s="372"/>
      <c r="O89" s="164"/>
      <c r="P89" s="372"/>
      <c r="Q89" s="164"/>
      <c r="R89" s="372"/>
      <c r="S89" s="164"/>
      <c r="T89" s="372"/>
      <c r="U89" s="164"/>
      <c r="V89" s="372"/>
      <c r="W89" s="164"/>
      <c r="X89" s="372"/>
      <c r="Y89" s="164"/>
      <c r="Z89" s="1397"/>
      <c r="AA89" s="657"/>
      <c r="AB89" s="803"/>
      <c r="AC89" s="685"/>
    </row>
    <row r="90" spans="2:29" ht="12" x14ac:dyDescent="0.2">
      <c r="B90" s="42" t="s">
        <v>88</v>
      </c>
      <c r="C90" s="210">
        <v>14</v>
      </c>
      <c r="D90" s="200">
        <f t="shared" si="32"/>
        <v>0.875</v>
      </c>
      <c r="E90" s="99">
        <f>12+3</f>
        <v>15</v>
      </c>
      <c r="F90" s="286">
        <f>E90/$F$79</f>
        <v>0.88235294117647056</v>
      </c>
      <c r="G90" s="210">
        <v>15</v>
      </c>
      <c r="H90" s="372">
        <f>G90/$H$79</f>
        <v>0.88235294117647056</v>
      </c>
      <c r="I90" s="370">
        <v>16</v>
      </c>
      <c r="J90" s="485">
        <f>I90/$J$79</f>
        <v>0.84210526315789469</v>
      </c>
      <c r="K90" s="370">
        <v>17</v>
      </c>
      <c r="L90" s="485">
        <f>K90/$L$79</f>
        <v>0.85</v>
      </c>
      <c r="M90" s="370">
        <f>6+8+1+1</f>
        <v>16</v>
      </c>
      <c r="N90" s="372">
        <f>M90/N$79</f>
        <v>0.84210526315789469</v>
      </c>
      <c r="O90" s="428">
        <v>16</v>
      </c>
      <c r="P90" s="372">
        <f>O90/P$79</f>
        <v>0.84210526315789469</v>
      </c>
      <c r="Q90" s="428">
        <v>14</v>
      </c>
      <c r="R90" s="372">
        <f>Q90/R$79</f>
        <v>0.82352941176470584</v>
      </c>
      <c r="S90" s="428">
        <f>12+3</f>
        <v>15</v>
      </c>
      <c r="T90" s="372">
        <f>S90/T$79</f>
        <v>0.83333333333333337</v>
      </c>
      <c r="U90" s="428">
        <v>15</v>
      </c>
      <c r="V90" s="372">
        <f>U90/V$79</f>
        <v>0.75</v>
      </c>
      <c r="W90" s="428">
        <f>1+13</f>
        <v>14</v>
      </c>
      <c r="X90" s="372">
        <f>W90/X$79</f>
        <v>0.73684210526315785</v>
      </c>
      <c r="Y90" s="428">
        <v>13</v>
      </c>
      <c r="Z90" s="1397">
        <f>Y90/Z$79</f>
        <v>0.72222222222222221</v>
      </c>
      <c r="AA90" s="657"/>
      <c r="AB90" s="803">
        <f t="shared" ref="AB90:AB91" si="34">AVERAGE(W90,U90,S90,Q90,Y90)</f>
        <v>14.2</v>
      </c>
      <c r="AC90" s="685">
        <f t="shared" ref="AC90:AC91" si="35">AVERAGE(X90,V90,T90,R90,Z90)</f>
        <v>0.77318541451668388</v>
      </c>
    </row>
    <row r="91" spans="2:29" ht="12" x14ac:dyDescent="0.2">
      <c r="B91" s="42" t="s">
        <v>89</v>
      </c>
      <c r="C91" s="210">
        <v>2</v>
      </c>
      <c r="D91" s="200">
        <f t="shared" si="32"/>
        <v>0.125</v>
      </c>
      <c r="E91" s="165">
        <v>2</v>
      </c>
      <c r="F91" s="286">
        <f>E91/$F$79</f>
        <v>0.11764705882352941</v>
      </c>
      <c r="G91" s="370">
        <v>2</v>
      </c>
      <c r="H91" s="372">
        <f>G91/$H$79</f>
        <v>0.11764705882352941</v>
      </c>
      <c r="I91" s="370">
        <v>3</v>
      </c>
      <c r="J91" s="485">
        <f>I91/$J$79</f>
        <v>0.15789473684210525</v>
      </c>
      <c r="K91" s="370">
        <v>3</v>
      </c>
      <c r="L91" s="485">
        <f>K91/$L$79</f>
        <v>0.15</v>
      </c>
      <c r="M91" s="370">
        <f>1+2</f>
        <v>3</v>
      </c>
      <c r="N91" s="372">
        <f>M91/N$79</f>
        <v>0.15789473684210525</v>
      </c>
      <c r="O91" s="428">
        <v>3</v>
      </c>
      <c r="P91" s="372">
        <f>O91/P$79</f>
        <v>0.15789473684210525</v>
      </c>
      <c r="Q91" s="428">
        <v>3</v>
      </c>
      <c r="R91" s="372">
        <f>Q91/R$79</f>
        <v>0.17647058823529413</v>
      </c>
      <c r="S91" s="428">
        <f>3</f>
        <v>3</v>
      </c>
      <c r="T91" s="372">
        <f>S91/T$79</f>
        <v>0.16666666666666666</v>
      </c>
      <c r="U91" s="428">
        <v>5</v>
      </c>
      <c r="V91" s="372">
        <f>U91/V$79</f>
        <v>0.25</v>
      </c>
      <c r="W91" s="428">
        <v>5</v>
      </c>
      <c r="X91" s="372">
        <f>W91/X$79</f>
        <v>0.26315789473684209</v>
      </c>
      <c r="Y91" s="428">
        <v>5</v>
      </c>
      <c r="Z91" s="1397">
        <f>Y91/Z$79</f>
        <v>0.27777777777777779</v>
      </c>
      <c r="AA91" s="657"/>
      <c r="AB91" s="803">
        <f t="shared" si="34"/>
        <v>4.2</v>
      </c>
      <c r="AC91" s="685">
        <f t="shared" si="35"/>
        <v>0.22681458548331612</v>
      </c>
    </row>
    <row r="92" spans="2:29" ht="12" x14ac:dyDescent="0.2">
      <c r="B92" s="1058" t="s">
        <v>102</v>
      </c>
      <c r="C92" s="203"/>
      <c r="D92" s="200"/>
      <c r="E92" s="166"/>
      <c r="F92" s="286"/>
      <c r="G92" s="291"/>
      <c r="H92" s="372"/>
      <c r="I92" s="429"/>
      <c r="J92" s="485"/>
      <c r="K92" s="291"/>
      <c r="L92" s="485"/>
      <c r="M92" s="291"/>
      <c r="N92" s="372"/>
      <c r="O92" s="429"/>
      <c r="P92" s="372"/>
      <c r="Q92" s="429"/>
      <c r="R92" s="372"/>
      <c r="S92" s="429"/>
      <c r="T92" s="372"/>
      <c r="U92" s="429"/>
      <c r="V92" s="372"/>
      <c r="W92" s="429"/>
      <c r="X92" s="372"/>
      <c r="Y92" s="429"/>
      <c r="Z92" s="1397"/>
      <c r="AA92" s="657"/>
      <c r="AB92" s="803"/>
      <c r="AC92" s="685"/>
    </row>
    <row r="93" spans="2:29" ht="12" x14ac:dyDescent="0.2">
      <c r="B93" s="42" t="s">
        <v>90</v>
      </c>
      <c r="C93" s="209">
        <v>13</v>
      </c>
      <c r="D93" s="200">
        <f t="shared" si="32"/>
        <v>0.8125</v>
      </c>
      <c r="E93" s="165">
        <f>11+3</f>
        <v>14</v>
      </c>
      <c r="F93" s="286">
        <f>E93/$F$79</f>
        <v>0.82352941176470584</v>
      </c>
      <c r="G93" s="370">
        <v>13</v>
      </c>
      <c r="H93" s="372">
        <f>G93/$H$79</f>
        <v>0.76470588235294112</v>
      </c>
      <c r="I93" s="428"/>
      <c r="J93" s="485">
        <f>I93/$J$79</f>
        <v>0</v>
      </c>
      <c r="K93" s="370">
        <v>11</v>
      </c>
      <c r="L93" s="485">
        <f>K93/$L$79</f>
        <v>0.55000000000000004</v>
      </c>
      <c r="M93" s="370">
        <f>11+1+1</f>
        <v>13</v>
      </c>
      <c r="N93" s="372">
        <f>M93/N$79</f>
        <v>0.68421052631578949</v>
      </c>
      <c r="O93" s="428">
        <v>10</v>
      </c>
      <c r="P93" s="372">
        <f>O93/P$79</f>
        <v>0.52631578947368418</v>
      </c>
      <c r="Q93" s="428">
        <v>10</v>
      </c>
      <c r="R93" s="372">
        <f>Q93/R$79</f>
        <v>0.58823529411764708</v>
      </c>
      <c r="S93" s="428">
        <f>9+1</f>
        <v>10</v>
      </c>
      <c r="T93" s="372">
        <f>S93/T$79</f>
        <v>0.55555555555555558</v>
      </c>
      <c r="U93" s="428">
        <v>11</v>
      </c>
      <c r="V93" s="372">
        <f>U93/V$79</f>
        <v>0.55000000000000004</v>
      </c>
      <c r="W93" s="428">
        <f>10</f>
        <v>10</v>
      </c>
      <c r="X93" s="372">
        <f>W93/X$79</f>
        <v>0.52631578947368418</v>
      </c>
      <c r="Y93" s="428">
        <v>10</v>
      </c>
      <c r="Z93" s="1397">
        <f>Y93/Z$79</f>
        <v>0.55555555555555558</v>
      </c>
      <c r="AA93" s="657"/>
      <c r="AB93" s="803">
        <f t="shared" ref="AB93:AB95" si="36">AVERAGE(W93,U93,S93,Q93,Y93)</f>
        <v>10.199999999999999</v>
      </c>
      <c r="AC93" s="685">
        <f t="shared" ref="AC93:AC95" si="37">AVERAGE(X93,V93,T93,R93,Z93)</f>
        <v>0.55513243894048847</v>
      </c>
    </row>
    <row r="94" spans="2:29" ht="12" x14ac:dyDescent="0.2">
      <c r="B94" s="42" t="s">
        <v>91</v>
      </c>
      <c r="C94" s="209">
        <v>2</v>
      </c>
      <c r="D94" s="200">
        <f t="shared" si="32"/>
        <v>0.125</v>
      </c>
      <c r="E94" s="165">
        <v>1</v>
      </c>
      <c r="F94" s="286">
        <f>E94/$F$79</f>
        <v>5.8823529411764705E-2</v>
      </c>
      <c r="G94" s="370">
        <v>2</v>
      </c>
      <c r="H94" s="372">
        <f>G94/$H$79</f>
        <v>0.11764705882352941</v>
      </c>
      <c r="I94" s="428"/>
      <c r="J94" s="485">
        <f>I94/$J$79</f>
        <v>0</v>
      </c>
      <c r="K94" s="370">
        <v>5</v>
      </c>
      <c r="L94" s="485">
        <f>K94/$L$79</f>
        <v>0.25</v>
      </c>
      <c r="M94" s="370">
        <v>4</v>
      </c>
      <c r="N94" s="372">
        <f>M94/N$79</f>
        <v>0.21052631578947367</v>
      </c>
      <c r="O94" s="428">
        <v>4</v>
      </c>
      <c r="P94" s="372">
        <f>O94/P$79</f>
        <v>0.21052631578947367</v>
      </c>
      <c r="Q94" s="428">
        <v>2</v>
      </c>
      <c r="R94" s="372">
        <f>Q94/R$79</f>
        <v>0.11764705882352941</v>
      </c>
      <c r="S94" s="428">
        <f>2</f>
        <v>2</v>
      </c>
      <c r="T94" s="372">
        <f>S94/T$79</f>
        <v>0.1111111111111111</v>
      </c>
      <c r="U94" s="428">
        <v>2</v>
      </c>
      <c r="V94" s="372">
        <f>U94/V$79</f>
        <v>0.1</v>
      </c>
      <c r="W94" s="428">
        <v>2</v>
      </c>
      <c r="X94" s="372">
        <f>W94/X$79</f>
        <v>0.10526315789473684</v>
      </c>
      <c r="Y94" s="428">
        <v>2</v>
      </c>
      <c r="Z94" s="1397">
        <f>Y94/Z$79</f>
        <v>0.1111111111111111</v>
      </c>
      <c r="AA94" s="657"/>
      <c r="AB94" s="803">
        <f t="shared" si="36"/>
        <v>2</v>
      </c>
      <c r="AC94" s="685">
        <f t="shared" si="37"/>
        <v>0.10902648778809772</v>
      </c>
    </row>
    <row r="95" spans="2:29" ht="12" x14ac:dyDescent="0.2">
      <c r="B95" s="42" t="s">
        <v>92</v>
      </c>
      <c r="C95" s="209">
        <v>1</v>
      </c>
      <c r="D95" s="200">
        <f t="shared" si="32"/>
        <v>6.25E-2</v>
      </c>
      <c r="E95" s="165">
        <v>2</v>
      </c>
      <c r="F95" s="286">
        <f>E95/$F$79</f>
        <v>0.11764705882352941</v>
      </c>
      <c r="G95" s="370">
        <v>2</v>
      </c>
      <c r="H95" s="372">
        <f>G95/$H$79</f>
        <v>0.11764705882352941</v>
      </c>
      <c r="I95" s="428"/>
      <c r="J95" s="485">
        <f>I95/$J$79</f>
        <v>0</v>
      </c>
      <c r="K95" s="370">
        <v>4</v>
      </c>
      <c r="L95" s="485">
        <f>K95/$L$79</f>
        <v>0.2</v>
      </c>
      <c r="M95" s="370">
        <v>2</v>
      </c>
      <c r="N95" s="372">
        <f>M95/N$79</f>
        <v>0.10526315789473684</v>
      </c>
      <c r="O95" s="428">
        <v>5</v>
      </c>
      <c r="P95" s="372">
        <f>O95/P$79</f>
        <v>0.26315789473684209</v>
      </c>
      <c r="Q95" s="428">
        <v>5</v>
      </c>
      <c r="R95" s="372">
        <f>Q95/R$79</f>
        <v>0.29411764705882354</v>
      </c>
      <c r="S95" s="428">
        <f>4+2</f>
        <v>6</v>
      </c>
      <c r="T95" s="372">
        <f>S95/T$79</f>
        <v>0.33333333333333331</v>
      </c>
      <c r="U95" s="428">
        <v>7</v>
      </c>
      <c r="V95" s="372">
        <f>U95/V$79</f>
        <v>0.35</v>
      </c>
      <c r="W95" s="428">
        <f>1+6</f>
        <v>7</v>
      </c>
      <c r="X95" s="372">
        <f>W95/X$79</f>
        <v>0.36842105263157893</v>
      </c>
      <c r="Y95" s="428">
        <v>6</v>
      </c>
      <c r="Z95" s="1397">
        <f>Y95/Z$79</f>
        <v>0.33333333333333331</v>
      </c>
      <c r="AA95" s="657"/>
      <c r="AB95" s="803">
        <f t="shared" si="36"/>
        <v>6.2</v>
      </c>
      <c r="AC95" s="685">
        <f t="shared" si="37"/>
        <v>0.33584107327141377</v>
      </c>
    </row>
    <row r="96" spans="2:29" ht="12" x14ac:dyDescent="0.2">
      <c r="B96" s="1058" t="s">
        <v>103</v>
      </c>
      <c r="C96" s="203"/>
      <c r="D96" s="200"/>
      <c r="E96" s="166"/>
      <c r="F96" s="286"/>
      <c r="G96" s="291"/>
      <c r="H96" s="372"/>
      <c r="I96" s="429"/>
      <c r="J96" s="485"/>
      <c r="K96" s="291"/>
      <c r="L96" s="485"/>
      <c r="M96" s="291"/>
      <c r="N96" s="372"/>
      <c r="O96" s="429"/>
      <c r="P96" s="372"/>
      <c r="Q96" s="429"/>
      <c r="R96" s="372"/>
      <c r="S96" s="429"/>
      <c r="T96" s="372"/>
      <c r="U96" s="429"/>
      <c r="V96" s="372"/>
      <c r="W96" s="429"/>
      <c r="X96" s="372"/>
      <c r="Y96" s="429"/>
      <c r="Z96" s="1397"/>
      <c r="AA96" s="657"/>
      <c r="AB96" s="803"/>
      <c r="AC96" s="685"/>
    </row>
    <row r="97" spans="1:29" ht="12" x14ac:dyDescent="0.2">
      <c r="B97" s="42" t="s">
        <v>93</v>
      </c>
      <c r="C97" s="209">
        <v>14</v>
      </c>
      <c r="D97" s="200">
        <f t="shared" si="32"/>
        <v>0.875</v>
      </c>
      <c r="E97" s="165">
        <f>11+3</f>
        <v>14</v>
      </c>
      <c r="F97" s="286">
        <f>E97/$F$79</f>
        <v>0.82352941176470584</v>
      </c>
      <c r="G97" s="370">
        <v>14</v>
      </c>
      <c r="H97" s="372">
        <f>G97/$H$79</f>
        <v>0.82352941176470584</v>
      </c>
      <c r="I97" s="428">
        <v>16</v>
      </c>
      <c r="J97" s="485">
        <f>I97/$J$79</f>
        <v>0.84210526315789469</v>
      </c>
      <c r="K97" s="370">
        <v>17</v>
      </c>
      <c r="L97" s="485">
        <f>K97/$L$79</f>
        <v>0.85</v>
      </c>
      <c r="M97" s="370">
        <f>14+1+1</f>
        <v>16</v>
      </c>
      <c r="N97" s="372">
        <f>M97/N$79</f>
        <v>0.84210526315789469</v>
      </c>
      <c r="O97" s="428">
        <v>15</v>
      </c>
      <c r="P97" s="372">
        <f>O97/P$79</f>
        <v>0.78947368421052633</v>
      </c>
      <c r="Q97" s="428">
        <v>13</v>
      </c>
      <c r="R97" s="372">
        <f>Q97/R$79</f>
        <v>0.76470588235294112</v>
      </c>
      <c r="S97" s="428">
        <f>11+2</f>
        <v>13</v>
      </c>
      <c r="T97" s="372">
        <f>S97/T$79</f>
        <v>0.72222222222222221</v>
      </c>
      <c r="U97" s="428">
        <v>14</v>
      </c>
      <c r="V97" s="372">
        <f>U97/V$79</f>
        <v>0.7</v>
      </c>
      <c r="W97" s="428">
        <f>1+12</f>
        <v>13</v>
      </c>
      <c r="X97" s="372">
        <f>W97/X$79</f>
        <v>0.68421052631578949</v>
      </c>
      <c r="Y97" s="428">
        <v>14</v>
      </c>
      <c r="Z97" s="1397">
        <f>Y97/Z$79</f>
        <v>0.77777777777777779</v>
      </c>
      <c r="AA97" s="657"/>
      <c r="AB97" s="803">
        <f t="shared" ref="AB97:AB100" si="38">AVERAGE(W97,U97,S97,Q97,Y97)</f>
        <v>13.4</v>
      </c>
      <c r="AC97" s="685">
        <f t="shared" ref="AC97:AC100" si="39">AVERAGE(X97,V97,T97,R97,Z97)</f>
        <v>0.72978328173374618</v>
      </c>
    </row>
    <row r="98" spans="1:29" ht="12" x14ac:dyDescent="0.2">
      <c r="B98" s="42" t="s">
        <v>94</v>
      </c>
      <c r="C98" s="209">
        <v>2</v>
      </c>
      <c r="D98" s="200">
        <f t="shared" si="32"/>
        <v>0.125</v>
      </c>
      <c r="E98" s="165">
        <v>2</v>
      </c>
      <c r="F98" s="286">
        <f>E98/$F$79</f>
        <v>0.11764705882352941</v>
      </c>
      <c r="G98" s="370">
        <v>1</v>
      </c>
      <c r="H98" s="372">
        <f>G98/$H$79</f>
        <v>5.8823529411764705E-2</v>
      </c>
      <c r="I98" s="428">
        <v>1</v>
      </c>
      <c r="J98" s="485">
        <f>I98/$J$79</f>
        <v>5.2631578947368418E-2</v>
      </c>
      <c r="K98" s="370">
        <v>1</v>
      </c>
      <c r="L98" s="485">
        <f>K98/$L$79</f>
        <v>0.05</v>
      </c>
      <c r="M98" s="370">
        <v>1</v>
      </c>
      <c r="N98" s="372">
        <f>M98/N$79</f>
        <v>5.2631578947368418E-2</v>
      </c>
      <c r="O98" s="428">
        <v>2</v>
      </c>
      <c r="P98" s="372">
        <f>O98/P$79</f>
        <v>0.10526315789473684</v>
      </c>
      <c r="Q98" s="428">
        <v>2</v>
      </c>
      <c r="R98" s="372">
        <f>Q98/R$79</f>
        <v>0.11764705882352941</v>
      </c>
      <c r="S98" s="428">
        <f>2</f>
        <v>2</v>
      </c>
      <c r="T98" s="372">
        <f>S98/T$79</f>
        <v>0.1111111111111111</v>
      </c>
      <c r="U98" s="428">
        <v>3</v>
      </c>
      <c r="V98" s="372">
        <f>U98/V$79</f>
        <v>0.15</v>
      </c>
      <c r="W98" s="428">
        <v>2</v>
      </c>
      <c r="X98" s="372">
        <f>W98/X$79</f>
        <v>0.10526315789473684</v>
      </c>
      <c r="Y98" s="428">
        <v>4</v>
      </c>
      <c r="Z98" s="1397">
        <f>Y98/Z$79</f>
        <v>0.22222222222222221</v>
      </c>
      <c r="AA98" s="657"/>
      <c r="AB98" s="803">
        <f t="shared" si="38"/>
        <v>2.6</v>
      </c>
      <c r="AC98" s="685">
        <f t="shared" si="39"/>
        <v>0.14124871001031991</v>
      </c>
    </row>
    <row r="99" spans="1:29" ht="12" x14ac:dyDescent="0.2">
      <c r="B99" s="42" t="s">
        <v>95</v>
      </c>
      <c r="C99" s="209">
        <v>0</v>
      </c>
      <c r="D99" s="200">
        <f t="shared" si="32"/>
        <v>0</v>
      </c>
      <c r="E99" s="165">
        <v>1</v>
      </c>
      <c r="F99" s="286">
        <f>E99/$F$79</f>
        <v>5.8823529411764705E-2</v>
      </c>
      <c r="G99" s="370">
        <v>2</v>
      </c>
      <c r="H99" s="372">
        <f>G99/$H$79</f>
        <v>0.11764705882352941</v>
      </c>
      <c r="I99" s="428">
        <v>2</v>
      </c>
      <c r="J99" s="485">
        <f>I99/$J$79</f>
        <v>0.10526315789473684</v>
      </c>
      <c r="K99" s="370">
        <v>2</v>
      </c>
      <c r="L99" s="485">
        <f>K99/$L$79</f>
        <v>0.1</v>
      </c>
      <c r="M99" s="370">
        <v>2</v>
      </c>
      <c r="N99" s="372">
        <f>M99/N$79</f>
        <v>0.10526315789473684</v>
      </c>
      <c r="O99" s="428">
        <v>2</v>
      </c>
      <c r="P99" s="372">
        <f>O99/P$79</f>
        <v>0.10526315789473684</v>
      </c>
      <c r="Q99" s="428">
        <v>2</v>
      </c>
      <c r="R99" s="372">
        <f>Q99/R$79</f>
        <v>0.11764705882352941</v>
      </c>
      <c r="S99" s="428">
        <f>2+1</f>
        <v>3</v>
      </c>
      <c r="T99" s="372">
        <f>S99/T$79</f>
        <v>0.16666666666666666</v>
      </c>
      <c r="U99" s="428">
        <v>3</v>
      </c>
      <c r="V99" s="372">
        <f>U99/V$79</f>
        <v>0.15</v>
      </c>
      <c r="W99" s="428">
        <v>4</v>
      </c>
      <c r="X99" s="372">
        <f>W99/X$79</f>
        <v>0.21052631578947367</v>
      </c>
      <c r="Y99" s="428">
        <v>0</v>
      </c>
      <c r="Z99" s="1397">
        <f>Y99/Z$79</f>
        <v>0</v>
      </c>
      <c r="AA99" s="657"/>
      <c r="AB99" s="803">
        <f t="shared" si="38"/>
        <v>2.4</v>
      </c>
      <c r="AC99" s="685">
        <f t="shared" si="39"/>
        <v>0.12896800825593396</v>
      </c>
    </row>
    <row r="100" spans="1:29" thickBot="1" x14ac:dyDescent="0.25">
      <c r="B100" s="682" t="s">
        <v>96</v>
      </c>
      <c r="C100" s="204">
        <v>0</v>
      </c>
      <c r="D100" s="205">
        <f t="shared" si="32"/>
        <v>0</v>
      </c>
      <c r="E100" s="167">
        <v>0</v>
      </c>
      <c r="F100" s="287">
        <f>E100/$F$79</f>
        <v>0</v>
      </c>
      <c r="G100" s="371">
        <v>0</v>
      </c>
      <c r="H100" s="453">
        <f>G100/$H$79</f>
        <v>0</v>
      </c>
      <c r="I100" s="430">
        <v>0</v>
      </c>
      <c r="J100" s="486">
        <f>I100/$J$79</f>
        <v>0</v>
      </c>
      <c r="K100" s="371">
        <v>0</v>
      </c>
      <c r="L100" s="486">
        <f>K100/$L$79</f>
        <v>0</v>
      </c>
      <c r="M100" s="371">
        <v>0</v>
      </c>
      <c r="N100" s="453">
        <f>M100/N$79</f>
        <v>0</v>
      </c>
      <c r="O100" s="430">
        <v>0</v>
      </c>
      <c r="P100" s="453">
        <f>O100/P$79</f>
        <v>0</v>
      </c>
      <c r="Q100" s="430">
        <v>0</v>
      </c>
      <c r="R100" s="453">
        <f>Q100/R$79</f>
        <v>0</v>
      </c>
      <c r="S100" s="430">
        <f>0</f>
        <v>0</v>
      </c>
      <c r="T100" s="453">
        <f>S100/T$79</f>
        <v>0</v>
      </c>
      <c r="U100" s="430">
        <v>0</v>
      </c>
      <c r="V100" s="453">
        <f>U100/V$79</f>
        <v>0</v>
      </c>
      <c r="W100" s="430">
        <v>0</v>
      </c>
      <c r="X100" s="453">
        <f>W100/X$79</f>
        <v>0</v>
      </c>
      <c r="Y100" s="430">
        <v>0</v>
      </c>
      <c r="Z100" s="1398">
        <f>Y100/Z$79</f>
        <v>0</v>
      </c>
      <c r="AA100" s="657"/>
      <c r="AB100" s="689">
        <f t="shared" si="38"/>
        <v>0</v>
      </c>
      <c r="AC100" s="685">
        <f t="shared" si="39"/>
        <v>0</v>
      </c>
    </row>
    <row r="101" spans="1:29" thickTop="1" x14ac:dyDescent="0.2">
      <c r="A101" s="652"/>
      <c r="B101" s="669" t="s">
        <v>131</v>
      </c>
      <c r="C101" s="52"/>
      <c r="D101" s="671"/>
      <c r="E101" s="672"/>
      <c r="F101" s="670"/>
      <c r="G101" s="672"/>
      <c r="H101" s="670"/>
      <c r="I101" s="672"/>
      <c r="J101" s="670"/>
      <c r="K101" s="672"/>
      <c r="L101" s="670"/>
      <c r="M101" s="705"/>
      <c r="N101" s="1025"/>
      <c r="O101" s="705"/>
      <c r="P101" s="1025"/>
      <c r="Q101" s="705"/>
      <c r="R101" s="1333"/>
      <c r="S101" s="705"/>
      <c r="T101" s="1333"/>
      <c r="U101" s="705"/>
      <c r="V101" s="1333"/>
      <c r="W101" s="705"/>
      <c r="X101" s="1333"/>
      <c r="Y101" s="705"/>
      <c r="Z101" s="1251"/>
      <c r="AA101" s="652"/>
      <c r="AC101" s="1035"/>
    </row>
    <row r="102" spans="1:29" ht="12" x14ac:dyDescent="0.2">
      <c r="A102" s="652"/>
      <c r="B102" s="676"/>
      <c r="C102" s="101" t="s">
        <v>97</v>
      </c>
      <c r="D102" s="677" t="s">
        <v>17</v>
      </c>
      <c r="E102" s="101" t="s">
        <v>97</v>
      </c>
      <c r="F102" s="677" t="s">
        <v>17</v>
      </c>
      <c r="G102" s="101" t="s">
        <v>97</v>
      </c>
      <c r="H102" s="677" t="s">
        <v>17</v>
      </c>
      <c r="I102" s="101" t="s">
        <v>97</v>
      </c>
      <c r="J102" s="677" t="s">
        <v>17</v>
      </c>
      <c r="K102" s="101" t="s">
        <v>97</v>
      </c>
      <c r="L102" s="677" t="s">
        <v>17</v>
      </c>
      <c r="M102" s="101" t="s">
        <v>97</v>
      </c>
      <c r="N102" s="677" t="s">
        <v>17</v>
      </c>
      <c r="O102" s="101" t="s">
        <v>97</v>
      </c>
      <c r="P102" s="677" t="s">
        <v>17</v>
      </c>
      <c r="Q102" s="253" t="s">
        <v>97</v>
      </c>
      <c r="R102" s="677" t="s">
        <v>17</v>
      </c>
      <c r="S102" s="253" t="s">
        <v>97</v>
      </c>
      <c r="T102" s="677" t="s">
        <v>17</v>
      </c>
      <c r="U102" s="253" t="s">
        <v>97</v>
      </c>
      <c r="V102" s="677" t="s">
        <v>17</v>
      </c>
      <c r="W102" s="253" t="s">
        <v>97</v>
      </c>
      <c r="X102" s="677" t="s">
        <v>17</v>
      </c>
      <c r="Y102" s="253" t="s">
        <v>97</v>
      </c>
      <c r="Z102" s="678" t="s">
        <v>17</v>
      </c>
      <c r="AA102" s="652"/>
      <c r="AB102" s="101" t="s">
        <v>97</v>
      </c>
      <c r="AC102" s="678" t="s">
        <v>17</v>
      </c>
    </row>
    <row r="103" spans="1:29" ht="12" x14ac:dyDescent="0.2">
      <c r="A103" s="652"/>
      <c r="B103" s="680" t="s">
        <v>132</v>
      </c>
      <c r="C103" s="101">
        <v>28</v>
      </c>
      <c r="D103" s="899">
        <v>13.6</v>
      </c>
      <c r="E103" s="253">
        <v>23</v>
      </c>
      <c r="F103" s="706">
        <v>10.7</v>
      </c>
      <c r="G103" s="253">
        <v>25</v>
      </c>
      <c r="H103" s="706">
        <v>11.9</v>
      </c>
      <c r="I103" s="253">
        <v>29</v>
      </c>
      <c r="J103" s="706">
        <v>13.9</v>
      </c>
      <c r="K103" s="101">
        <v>45</v>
      </c>
      <c r="L103" s="706">
        <v>21.6</v>
      </c>
      <c r="M103" s="840">
        <v>32</v>
      </c>
      <c r="N103" s="717">
        <v>14.8</v>
      </c>
      <c r="O103" s="840">
        <v>35</v>
      </c>
      <c r="P103" s="717">
        <v>17.5</v>
      </c>
      <c r="Q103" s="840">
        <v>35</v>
      </c>
      <c r="R103" s="440">
        <v>17.5</v>
      </c>
      <c r="S103" s="840">
        <v>29</v>
      </c>
      <c r="T103" s="440">
        <v>14.5</v>
      </c>
      <c r="U103" s="840">
        <v>35</v>
      </c>
      <c r="V103" s="440">
        <v>17.5</v>
      </c>
      <c r="W103" s="840">
        <v>37</v>
      </c>
      <c r="X103" s="440">
        <v>18.5</v>
      </c>
      <c r="Y103" s="840">
        <v>35</v>
      </c>
      <c r="Z103" s="240">
        <v>17.5</v>
      </c>
      <c r="AA103" s="900"/>
      <c r="AB103" s="877">
        <f t="shared" ref="AB103:AB105" si="40">AVERAGE(W103,U103,S103,Q103,Y103)</f>
        <v>34.200000000000003</v>
      </c>
      <c r="AC103" s="896">
        <f t="shared" ref="AC103:AC105" si="41">AVERAGE(X103,V103,T103,R103,Z103)</f>
        <v>17.100000000000001</v>
      </c>
    </row>
    <row r="104" spans="1:29" ht="12" x14ac:dyDescent="0.2">
      <c r="A104" s="652"/>
      <c r="B104" s="680" t="s">
        <v>133</v>
      </c>
      <c r="C104" s="101">
        <v>2</v>
      </c>
      <c r="D104" s="899">
        <v>0.6</v>
      </c>
      <c r="E104" s="253">
        <v>3</v>
      </c>
      <c r="F104" s="706">
        <v>0.8</v>
      </c>
      <c r="G104" s="253">
        <v>2</v>
      </c>
      <c r="H104" s="706">
        <v>0.6</v>
      </c>
      <c r="I104" s="253">
        <v>2</v>
      </c>
      <c r="J104" s="706">
        <v>0.6</v>
      </c>
      <c r="K104" s="101">
        <v>3</v>
      </c>
      <c r="L104" s="706">
        <v>0.9</v>
      </c>
      <c r="M104" s="840">
        <v>4</v>
      </c>
      <c r="N104" s="717">
        <v>1.7</v>
      </c>
      <c r="O104" s="840">
        <v>2</v>
      </c>
      <c r="P104" s="717">
        <v>1</v>
      </c>
      <c r="Q104" s="840">
        <v>3</v>
      </c>
      <c r="R104" s="440">
        <v>1.5</v>
      </c>
      <c r="S104" s="840">
        <v>3</v>
      </c>
      <c r="T104" s="440">
        <v>1.5</v>
      </c>
      <c r="U104" s="840">
        <v>3</v>
      </c>
      <c r="V104" s="440">
        <v>1.5</v>
      </c>
      <c r="W104" s="840">
        <v>3</v>
      </c>
      <c r="X104" s="440">
        <v>1.5</v>
      </c>
      <c r="Y104" s="840">
        <v>2</v>
      </c>
      <c r="Z104" s="240">
        <v>1</v>
      </c>
      <c r="AA104" s="900"/>
      <c r="AB104" s="877">
        <f t="shared" si="40"/>
        <v>2.8</v>
      </c>
      <c r="AC104" s="896">
        <f t="shared" si="41"/>
        <v>1.4</v>
      </c>
    </row>
    <row r="105" spans="1:29" thickBot="1" x14ac:dyDescent="0.25">
      <c r="A105" s="652"/>
      <c r="B105" s="682" t="s">
        <v>158</v>
      </c>
      <c r="C105" s="683">
        <v>1</v>
      </c>
      <c r="D105" s="902">
        <v>0.5</v>
      </c>
      <c r="E105" s="878">
        <v>0</v>
      </c>
      <c r="F105" s="707">
        <v>0</v>
      </c>
      <c r="G105" s="878">
        <v>0</v>
      </c>
      <c r="H105" s="707">
        <v>0</v>
      </c>
      <c r="I105" s="878">
        <v>0</v>
      </c>
      <c r="J105" s="707">
        <v>0</v>
      </c>
      <c r="K105" s="683">
        <v>0</v>
      </c>
      <c r="L105" s="707">
        <v>0</v>
      </c>
      <c r="M105" s="843">
        <v>0</v>
      </c>
      <c r="N105" s="1026">
        <v>0</v>
      </c>
      <c r="O105" s="843">
        <v>0</v>
      </c>
      <c r="P105" s="1026">
        <v>0</v>
      </c>
      <c r="Q105" s="843">
        <v>0</v>
      </c>
      <c r="R105" s="1337">
        <v>0</v>
      </c>
      <c r="S105" s="843">
        <v>0</v>
      </c>
      <c r="T105" s="1337">
        <v>0</v>
      </c>
      <c r="U105" s="843">
        <v>0</v>
      </c>
      <c r="V105" s="1337">
        <v>0</v>
      </c>
      <c r="W105" s="843">
        <v>0</v>
      </c>
      <c r="X105" s="1337">
        <v>0</v>
      </c>
      <c r="Y105" s="843">
        <v>0</v>
      </c>
      <c r="Z105" s="1408">
        <v>0</v>
      </c>
      <c r="AA105" s="900"/>
      <c r="AB105" s="877">
        <f t="shared" si="40"/>
        <v>0</v>
      </c>
      <c r="AC105" s="898">
        <f t="shared" si="41"/>
        <v>0</v>
      </c>
    </row>
    <row r="106" spans="1:29" ht="14.25" thickTop="1" thickBot="1" x14ac:dyDescent="0.25">
      <c r="A106" s="652"/>
      <c r="B106" s="709"/>
      <c r="C106" s="1477" t="s">
        <v>35</v>
      </c>
      <c r="D106" s="1482"/>
      <c r="E106" s="1477" t="s">
        <v>36</v>
      </c>
      <c r="F106" s="1482"/>
      <c r="G106" s="1479" t="s">
        <v>122</v>
      </c>
      <c r="H106" s="1487"/>
      <c r="I106" s="1479" t="s">
        <v>123</v>
      </c>
      <c r="J106" s="1487"/>
      <c r="K106" s="1479" t="s">
        <v>148</v>
      </c>
      <c r="L106" s="1487"/>
      <c r="M106" s="1488" t="s">
        <v>149</v>
      </c>
      <c r="N106" s="1484"/>
      <c r="O106" s="1483" t="s">
        <v>175</v>
      </c>
      <c r="P106" s="1484"/>
      <c r="Q106" s="1483" t="s">
        <v>194</v>
      </c>
      <c r="R106" s="1484"/>
      <c r="S106" s="1483" t="s">
        <v>219</v>
      </c>
      <c r="T106" s="1484"/>
      <c r="U106" s="1483" t="s">
        <v>222</v>
      </c>
      <c r="V106" s="1484"/>
      <c r="W106" s="1483" t="s">
        <v>233</v>
      </c>
      <c r="X106" s="1484"/>
      <c r="Y106" s="1483" t="s">
        <v>242</v>
      </c>
      <c r="Z106" s="1489"/>
      <c r="AA106" s="24"/>
      <c r="AB106" s="1485"/>
      <c r="AC106" s="1486"/>
    </row>
    <row r="107" spans="1:29" x14ac:dyDescent="0.2">
      <c r="A107" s="652"/>
      <c r="B107" s="710" t="s">
        <v>157</v>
      </c>
      <c r="C107" s="1"/>
      <c r="D107" s="711"/>
      <c r="E107" s="712"/>
      <c r="F107" s="713"/>
      <c r="G107" s="714"/>
      <c r="H107" s="715"/>
      <c r="I107" s="716"/>
      <c r="J107" s="717"/>
      <c r="K107" s="655"/>
      <c r="L107" s="718"/>
      <c r="M107" s="655"/>
      <c r="N107" s="722"/>
      <c r="O107" s="222"/>
      <c r="P107" s="1187"/>
      <c r="Q107" s="655"/>
      <c r="R107" s="722"/>
      <c r="S107" s="655"/>
      <c r="T107" s="722"/>
      <c r="U107" s="222"/>
      <c r="V107" s="1187"/>
      <c r="W107" s="655"/>
      <c r="X107" s="718"/>
      <c r="Y107" s="655"/>
      <c r="Z107" s="1184"/>
      <c r="AA107" s="24"/>
      <c r="AB107" s="24"/>
      <c r="AC107" s="24"/>
    </row>
    <row r="108" spans="1:29" ht="12" x14ac:dyDescent="0.2">
      <c r="A108" s="652"/>
      <c r="B108" s="1059" t="s">
        <v>138</v>
      </c>
      <c r="C108" s="1461">
        <v>4.55</v>
      </c>
      <c r="D108" s="1462"/>
      <c r="E108" s="720"/>
      <c r="F108" s="721"/>
      <c r="G108" s="655"/>
      <c r="H108" s="722"/>
      <c r="I108" s="1461">
        <v>4.54</v>
      </c>
      <c r="J108" s="1462"/>
      <c r="K108" s="723"/>
      <c r="L108" s="724"/>
      <c r="M108" s="723"/>
      <c r="N108" s="722"/>
      <c r="O108" s="235"/>
      <c r="P108" s="1233">
        <v>6</v>
      </c>
      <c r="Q108" s="723"/>
      <c r="R108" s="722"/>
      <c r="S108" s="723"/>
      <c r="T108" s="722"/>
      <c r="U108" s="235"/>
      <c r="V108" s="1233">
        <v>6.81</v>
      </c>
      <c r="W108" s="723"/>
      <c r="X108" s="722"/>
      <c r="Y108" s="723"/>
      <c r="Z108" s="1184"/>
      <c r="AA108" s="24"/>
      <c r="AB108" s="24"/>
      <c r="AC108" s="1215" t="s">
        <v>23</v>
      </c>
    </row>
    <row r="109" spans="1:29" ht="12" x14ac:dyDescent="0.2">
      <c r="A109" s="652"/>
      <c r="B109" s="1060" t="s">
        <v>139</v>
      </c>
      <c r="C109" s="1461">
        <v>0</v>
      </c>
      <c r="D109" s="1462"/>
      <c r="E109" s="720"/>
      <c r="F109" s="721"/>
      <c r="G109" s="655"/>
      <c r="H109" s="722"/>
      <c r="I109" s="1461">
        <v>0</v>
      </c>
      <c r="J109" s="1462"/>
      <c r="K109" s="723"/>
      <c r="L109" s="724"/>
      <c r="M109" s="723"/>
      <c r="N109" s="722"/>
      <c r="O109" s="235"/>
      <c r="P109" s="1233"/>
      <c r="Q109" s="723"/>
      <c r="R109" s="722"/>
      <c r="S109" s="723"/>
      <c r="T109" s="722"/>
      <c r="U109" s="235"/>
      <c r="V109" s="1233"/>
      <c r="W109" s="723"/>
      <c r="X109" s="722"/>
      <c r="Y109" s="723"/>
      <c r="Z109" s="1184"/>
      <c r="AA109" s="24"/>
      <c r="AB109" s="24"/>
      <c r="AC109" s="1215"/>
    </row>
    <row r="110" spans="1:29" ht="12" x14ac:dyDescent="0.2">
      <c r="A110" s="652"/>
      <c r="B110" s="1060" t="s">
        <v>140</v>
      </c>
      <c r="C110" s="1461"/>
      <c r="D110" s="1462"/>
      <c r="E110" s="720"/>
      <c r="F110" s="721"/>
      <c r="G110" s="655"/>
      <c r="H110" s="722"/>
      <c r="I110" s="1461"/>
      <c r="J110" s="1462"/>
      <c r="K110" s="723"/>
      <c r="L110" s="724"/>
      <c r="M110" s="723"/>
      <c r="N110" s="722"/>
      <c r="O110" s="235"/>
      <c r="P110" s="1233">
        <v>0.5</v>
      </c>
      <c r="Q110" s="723"/>
      <c r="R110" s="722"/>
      <c r="S110" s="723"/>
      <c r="T110" s="722"/>
      <c r="U110" s="235"/>
      <c r="V110" s="1233">
        <v>1.5</v>
      </c>
      <c r="W110" s="723"/>
      <c r="X110" s="722"/>
      <c r="Y110" s="723"/>
      <c r="Z110" s="1184"/>
      <c r="AA110" s="24"/>
      <c r="AB110" s="24"/>
      <c r="AC110" s="1215"/>
    </row>
    <row r="111" spans="1:29" ht="12" x14ac:dyDescent="0.2">
      <c r="A111" s="652"/>
      <c r="B111" s="1059" t="s">
        <v>141</v>
      </c>
      <c r="C111" s="1461">
        <v>0.6</v>
      </c>
      <c r="D111" s="1462"/>
      <c r="E111" s="720"/>
      <c r="F111" s="721"/>
      <c r="G111" s="655"/>
      <c r="H111" s="722"/>
      <c r="I111" s="1461">
        <v>0.6</v>
      </c>
      <c r="J111" s="1462"/>
      <c r="K111" s="723"/>
      <c r="L111" s="724"/>
      <c r="M111" s="723"/>
      <c r="N111" s="722"/>
      <c r="O111" s="235"/>
      <c r="P111" s="1233">
        <v>1</v>
      </c>
      <c r="Q111" s="723"/>
      <c r="R111" s="722"/>
      <c r="S111" s="723"/>
      <c r="T111" s="722"/>
      <c r="U111" s="235"/>
      <c r="V111" s="1233">
        <v>0</v>
      </c>
      <c r="W111" s="723"/>
      <c r="X111" s="722"/>
      <c r="Y111" s="723"/>
      <c r="Z111" s="1184"/>
      <c r="AA111" s="24"/>
      <c r="AB111" s="24"/>
      <c r="AC111" s="1215"/>
    </row>
    <row r="112" spans="1:29" ht="12" x14ac:dyDescent="0.2">
      <c r="A112" s="652"/>
      <c r="B112" s="1061" t="s">
        <v>142</v>
      </c>
      <c r="C112" s="1461">
        <v>1</v>
      </c>
      <c r="D112" s="1462"/>
      <c r="E112" s="720"/>
      <c r="F112" s="721"/>
      <c r="G112" s="655"/>
      <c r="H112" s="722"/>
      <c r="I112" s="1461">
        <v>2</v>
      </c>
      <c r="J112" s="1462"/>
      <c r="K112" s="723"/>
      <c r="L112" s="724"/>
      <c r="M112" s="723"/>
      <c r="N112" s="722"/>
      <c r="O112" s="235"/>
      <c r="P112" s="1233">
        <v>1</v>
      </c>
      <c r="Q112" s="723"/>
      <c r="R112" s="722"/>
      <c r="S112" s="723"/>
      <c r="T112" s="722"/>
      <c r="U112" s="235"/>
      <c r="V112" s="1233">
        <f>1.6+1</f>
        <v>2.6</v>
      </c>
      <c r="W112" s="723"/>
      <c r="X112" s="722"/>
      <c r="Y112" s="723"/>
      <c r="Z112" s="1184"/>
      <c r="AA112" s="24"/>
      <c r="AB112" s="24"/>
      <c r="AC112" s="1215"/>
    </row>
    <row r="113" spans="1:29" ht="12" x14ac:dyDescent="0.2">
      <c r="A113" s="652"/>
      <c r="B113" s="1061" t="s">
        <v>143</v>
      </c>
      <c r="C113" s="1461">
        <f>SUM(C108:D112)</f>
        <v>6.1499999999999995</v>
      </c>
      <c r="D113" s="1462"/>
      <c r="E113" s="720"/>
      <c r="F113" s="721"/>
      <c r="G113" s="655"/>
      <c r="H113" s="722"/>
      <c r="I113" s="1461">
        <f>SUM(I108:J112)</f>
        <v>7.14</v>
      </c>
      <c r="J113" s="1462"/>
      <c r="K113" s="723"/>
      <c r="L113" s="724"/>
      <c r="M113" s="723"/>
      <c r="N113" s="722"/>
      <c r="O113" s="235"/>
      <c r="P113" s="1233">
        <f>SUM(P108:P112)</f>
        <v>8.5</v>
      </c>
      <c r="Q113" s="723"/>
      <c r="R113" s="722"/>
      <c r="S113" s="723"/>
      <c r="T113" s="722"/>
      <c r="U113" s="235"/>
      <c r="V113" s="1233">
        <f>SUM(V108:V112)</f>
        <v>10.909999999999998</v>
      </c>
      <c r="W113" s="723"/>
      <c r="X113" s="722"/>
      <c r="Y113" s="723"/>
      <c r="Z113" s="1184"/>
      <c r="AA113" s="24"/>
      <c r="AB113" s="24"/>
      <c r="AC113" s="1215"/>
    </row>
    <row r="114" spans="1:29" thickBot="1" x14ac:dyDescent="0.25">
      <c r="A114" s="652"/>
      <c r="B114" s="1062" t="s">
        <v>151</v>
      </c>
      <c r="C114" s="1526"/>
      <c r="D114" s="1527"/>
      <c r="E114" s="720"/>
      <c r="F114" s="721"/>
      <c r="G114" s="655"/>
      <c r="H114" s="722"/>
      <c r="I114" s="1526"/>
      <c r="J114" s="1527"/>
      <c r="K114" s="723"/>
      <c r="L114" s="724"/>
      <c r="M114" s="723"/>
      <c r="N114" s="722"/>
      <c r="O114" s="235"/>
      <c r="P114" s="1187"/>
      <c r="Q114" s="723"/>
      <c r="R114" s="722"/>
      <c r="S114" s="723"/>
      <c r="T114" s="722"/>
      <c r="U114" s="235"/>
      <c r="V114" s="1187"/>
      <c r="W114" s="723"/>
      <c r="X114" s="722"/>
      <c r="Y114" s="723"/>
      <c r="Z114" s="1184"/>
      <c r="AA114" s="24"/>
      <c r="AB114" s="24"/>
      <c r="AC114" s="1215"/>
    </row>
    <row r="115" spans="1:29" ht="12" x14ac:dyDescent="0.2">
      <c r="A115" s="652"/>
      <c r="B115" s="1059" t="s">
        <v>144</v>
      </c>
      <c r="C115" s="1524">
        <v>386</v>
      </c>
      <c r="D115" s="1525"/>
      <c r="E115" s="720"/>
      <c r="F115" s="721"/>
      <c r="G115" s="655"/>
      <c r="H115" s="722"/>
      <c r="I115" s="1524">
        <v>621</v>
      </c>
      <c r="J115" s="1525"/>
      <c r="K115" s="723"/>
      <c r="L115" s="724"/>
      <c r="M115" s="723"/>
      <c r="N115" s="722"/>
      <c r="O115" s="235"/>
      <c r="P115" s="1231">
        <v>931</v>
      </c>
      <c r="Q115" s="723"/>
      <c r="R115" s="722"/>
      <c r="S115" s="723"/>
      <c r="T115" s="722"/>
      <c r="U115" s="235"/>
      <c r="V115" s="1231">
        <v>1032</v>
      </c>
      <c r="W115" s="723"/>
      <c r="X115" s="722"/>
      <c r="Y115" s="723"/>
      <c r="Z115" s="1184"/>
      <c r="AA115" s="24"/>
      <c r="AB115" s="24"/>
      <c r="AC115" s="550"/>
    </row>
    <row r="116" spans="1:29" ht="12" x14ac:dyDescent="0.2">
      <c r="A116" s="652"/>
      <c r="B116" s="1061" t="s">
        <v>145</v>
      </c>
      <c r="C116" s="1524">
        <v>0</v>
      </c>
      <c r="D116" s="1525"/>
      <c r="E116" s="720"/>
      <c r="F116" s="721"/>
      <c r="G116" s="655"/>
      <c r="H116" s="722"/>
      <c r="I116" s="1524">
        <v>0</v>
      </c>
      <c r="J116" s="1525"/>
      <c r="K116" s="723"/>
      <c r="L116" s="724"/>
      <c r="M116" s="723"/>
      <c r="N116" s="722"/>
      <c r="O116" s="235"/>
      <c r="P116" s="1231">
        <v>0</v>
      </c>
      <c r="Q116" s="723"/>
      <c r="R116" s="722"/>
      <c r="S116" s="723"/>
      <c r="T116" s="722"/>
      <c r="U116" s="235"/>
      <c r="V116" s="1231">
        <v>0</v>
      </c>
      <c r="W116" s="723"/>
      <c r="X116" s="722"/>
      <c r="Y116" s="723"/>
      <c r="Z116" s="1184"/>
      <c r="AA116" s="24"/>
      <c r="AB116" s="24"/>
      <c r="AC116" s="550"/>
    </row>
    <row r="117" spans="1:29" ht="12" x14ac:dyDescent="0.2">
      <c r="A117" s="652"/>
      <c r="B117" s="1061" t="s">
        <v>146</v>
      </c>
      <c r="C117" s="1524">
        <v>214</v>
      </c>
      <c r="D117" s="1525"/>
      <c r="E117" s="720"/>
      <c r="F117" s="721"/>
      <c r="G117" s="655"/>
      <c r="H117" s="722"/>
      <c r="I117" s="1524">
        <v>235</v>
      </c>
      <c r="J117" s="1525"/>
      <c r="K117" s="723"/>
      <c r="L117" s="724"/>
      <c r="M117" s="723"/>
      <c r="N117" s="722"/>
      <c r="O117" s="235"/>
      <c r="P117" s="1231">
        <v>272</v>
      </c>
      <c r="Q117" s="723"/>
      <c r="R117" s="722"/>
      <c r="S117" s="723"/>
      <c r="T117" s="722"/>
      <c r="U117" s="235"/>
      <c r="V117" s="1231">
        <f>335+252</f>
        <v>587</v>
      </c>
      <c r="W117" s="723"/>
      <c r="X117" s="722"/>
      <c r="Y117" s="723"/>
      <c r="Z117" s="1184"/>
      <c r="AA117" s="24"/>
      <c r="AB117" s="24"/>
      <c r="AC117" s="550"/>
    </row>
    <row r="118" spans="1:29" ht="12" x14ac:dyDescent="0.2">
      <c r="A118" s="652"/>
      <c r="B118" s="1061" t="s">
        <v>156</v>
      </c>
      <c r="C118" s="1524">
        <f>SUM(C115:D117)</f>
        <v>600</v>
      </c>
      <c r="D118" s="1525"/>
      <c r="E118" s="720"/>
      <c r="F118" s="721"/>
      <c r="G118" s="655"/>
      <c r="H118" s="722"/>
      <c r="I118" s="1524">
        <f>SUM(I115:J117)</f>
        <v>856</v>
      </c>
      <c r="J118" s="1525"/>
      <c r="K118" s="723"/>
      <c r="L118" s="724"/>
      <c r="M118" s="723"/>
      <c r="N118" s="722"/>
      <c r="O118" s="235"/>
      <c r="P118" s="1231">
        <f>SUM(P115:P117)</f>
        <v>1203</v>
      </c>
      <c r="Q118" s="723"/>
      <c r="R118" s="722"/>
      <c r="S118" s="723"/>
      <c r="T118" s="722"/>
      <c r="U118" s="235"/>
      <c r="V118" s="1231">
        <f>SUM(V115:V117)</f>
        <v>1619</v>
      </c>
      <c r="W118" s="723"/>
      <c r="X118" s="722"/>
      <c r="Y118" s="723"/>
      <c r="Z118" s="1184"/>
      <c r="AA118" s="24"/>
      <c r="AB118" s="24"/>
      <c r="AC118" s="550"/>
    </row>
    <row r="119" spans="1:29" thickBot="1" x14ac:dyDescent="0.25">
      <c r="A119" s="652"/>
      <c r="B119" s="1062" t="s">
        <v>152</v>
      </c>
      <c r="C119" s="1461"/>
      <c r="D119" s="1462"/>
      <c r="E119" s="720"/>
      <c r="F119" s="721"/>
      <c r="G119" s="655"/>
      <c r="H119" s="722"/>
      <c r="I119" s="1461"/>
      <c r="J119" s="1462"/>
      <c r="K119" s="723"/>
      <c r="L119" s="724"/>
      <c r="M119" s="723"/>
      <c r="N119" s="722"/>
      <c r="O119" s="235"/>
      <c r="P119" s="1187"/>
      <c r="Q119" s="723"/>
      <c r="R119" s="722"/>
      <c r="S119" s="723"/>
      <c r="T119" s="722"/>
      <c r="U119" s="235"/>
      <c r="V119" s="1187"/>
      <c r="W119" s="723"/>
      <c r="X119" s="722"/>
      <c r="Y119" s="723"/>
      <c r="Z119" s="1184"/>
      <c r="AA119" s="24"/>
      <c r="AB119" s="24"/>
      <c r="AC119" s="550"/>
    </row>
    <row r="120" spans="1:29" ht="12" x14ac:dyDescent="0.2">
      <c r="A120" s="652"/>
      <c r="B120" s="1059" t="s">
        <v>153</v>
      </c>
      <c r="C120" s="1461">
        <f>C115/C108</f>
        <v>84.835164835164832</v>
      </c>
      <c r="D120" s="1462"/>
      <c r="E120" s="728"/>
      <c r="F120" s="729"/>
      <c r="G120" s="730"/>
      <c r="H120" s="731"/>
      <c r="I120" s="1461">
        <f>I115/I108</f>
        <v>136.78414096916299</v>
      </c>
      <c r="J120" s="1462"/>
      <c r="K120" s="723"/>
      <c r="L120" s="732"/>
      <c r="M120" s="723"/>
      <c r="N120" s="722"/>
      <c r="O120" s="235"/>
      <c r="P120" s="1199">
        <f>P115/P108</f>
        <v>155.16666666666666</v>
      </c>
      <c r="Q120" s="723"/>
      <c r="R120" s="722"/>
      <c r="S120" s="723"/>
      <c r="T120" s="722"/>
      <c r="U120" s="235"/>
      <c r="V120" s="1199">
        <f>V115/V108</f>
        <v>151.54185022026434</v>
      </c>
      <c r="W120" s="723"/>
      <c r="X120" s="722"/>
      <c r="Y120" s="723"/>
      <c r="Z120" s="1184"/>
      <c r="AB120" s="24"/>
      <c r="AC120" s="550"/>
    </row>
    <row r="121" spans="1:29" ht="12" x14ac:dyDescent="0.2">
      <c r="A121" s="652"/>
      <c r="B121" s="1061" t="s">
        <v>154</v>
      </c>
      <c r="C121" s="1461">
        <f>C116/SUM(C109:D111)</f>
        <v>0</v>
      </c>
      <c r="D121" s="1462"/>
      <c r="E121" s="728"/>
      <c r="F121" s="729"/>
      <c r="G121" s="730"/>
      <c r="H121" s="731"/>
      <c r="I121" s="1461">
        <f>I116/SUM(I109:J111)</f>
        <v>0</v>
      </c>
      <c r="J121" s="1462"/>
      <c r="K121" s="723"/>
      <c r="L121" s="732"/>
      <c r="M121" s="723"/>
      <c r="N121" s="722"/>
      <c r="O121" s="235"/>
      <c r="P121" s="1199">
        <f>P116/SUM(P109:Q111)</f>
        <v>0</v>
      </c>
      <c r="Q121" s="723"/>
      <c r="R121" s="722"/>
      <c r="S121" s="723"/>
      <c r="T121" s="722"/>
      <c r="U121" s="235"/>
      <c r="V121" s="1199">
        <v>0</v>
      </c>
      <c r="W121" s="723"/>
      <c r="X121" s="722"/>
      <c r="Y121" s="723"/>
      <c r="Z121" s="1184"/>
      <c r="AB121" s="24"/>
      <c r="AC121" s="550"/>
    </row>
    <row r="122" spans="1:29" ht="12" x14ac:dyDescent="0.2">
      <c r="A122" s="652"/>
      <c r="B122" s="1061" t="s">
        <v>155</v>
      </c>
      <c r="C122" s="1461">
        <f>C117/C112</f>
        <v>214</v>
      </c>
      <c r="D122" s="1462"/>
      <c r="E122" s="728"/>
      <c r="F122" s="729"/>
      <c r="G122" s="730"/>
      <c r="H122" s="731"/>
      <c r="I122" s="1461">
        <f>I117/I112</f>
        <v>117.5</v>
      </c>
      <c r="J122" s="1462"/>
      <c r="K122" s="723"/>
      <c r="L122" s="732"/>
      <c r="M122" s="723"/>
      <c r="N122" s="722"/>
      <c r="O122" s="235"/>
      <c r="P122" s="1199">
        <f>P117/P112</f>
        <v>272</v>
      </c>
      <c r="Q122" s="723"/>
      <c r="R122" s="722"/>
      <c r="S122" s="723"/>
      <c r="T122" s="722"/>
      <c r="U122" s="235"/>
      <c r="V122" s="1199">
        <f>V117/V112</f>
        <v>225.76923076923077</v>
      </c>
      <c r="W122" s="723"/>
      <c r="X122" s="722"/>
      <c r="Y122" s="723"/>
      <c r="Z122" s="1184"/>
      <c r="AB122" s="24"/>
      <c r="AC122" s="550"/>
    </row>
    <row r="123" spans="1:29" thickBot="1" x14ac:dyDescent="0.25">
      <c r="A123" s="652"/>
      <c r="B123" s="1063" t="s">
        <v>147</v>
      </c>
      <c r="C123" s="1459">
        <f>C118/C113</f>
        <v>97.560975609756099</v>
      </c>
      <c r="D123" s="1460"/>
      <c r="E123" s="734"/>
      <c r="F123" s="735"/>
      <c r="G123" s="736"/>
      <c r="H123" s="737"/>
      <c r="I123" s="1459">
        <f>I118/I113</f>
        <v>119.88795518207283</v>
      </c>
      <c r="J123" s="1460"/>
      <c r="K123" s="738"/>
      <c r="L123" s="739"/>
      <c r="M123" s="738"/>
      <c r="N123" s="739"/>
      <c r="O123" s="252"/>
      <c r="P123" s="1200">
        <f>P118/P113</f>
        <v>141.52941176470588</v>
      </c>
      <c r="Q123" s="738"/>
      <c r="R123" s="739"/>
      <c r="S123" s="738"/>
      <c r="T123" s="739"/>
      <c r="U123" s="252"/>
      <c r="V123" s="1200">
        <f>V118/V113</f>
        <v>148.39596700274979</v>
      </c>
      <c r="W123" s="738"/>
      <c r="X123" s="739"/>
      <c r="Y123" s="738"/>
      <c r="Z123" s="1185"/>
      <c r="AB123" s="24"/>
      <c r="AC123" s="550"/>
    </row>
    <row r="124" spans="1:29" ht="13.5" thickTop="1" x14ac:dyDescent="0.2">
      <c r="B124" s="1" t="str">
        <f>'ag sum'!B126</f>
        <v>*Note: For the 2009 collection cycle and later, Instructional FTE was defined according to the national Delaware Study of Instructional Costs and Productivity</v>
      </c>
      <c r="AC124" s="24"/>
    </row>
  </sheetData>
  <mergeCells count="124">
    <mergeCell ref="Y6:Z6"/>
    <mergeCell ref="Y29:Z29"/>
    <mergeCell ref="Y37:Z37"/>
    <mergeCell ref="Y40:Z40"/>
    <mergeCell ref="Y44:Z44"/>
    <mergeCell ref="Y71:Z71"/>
    <mergeCell ref="Y106:Z106"/>
    <mergeCell ref="AB40:AC40"/>
    <mergeCell ref="U37:V37"/>
    <mergeCell ref="U40:V40"/>
    <mergeCell ref="U44:V44"/>
    <mergeCell ref="U71:V71"/>
    <mergeCell ref="U29:V29"/>
    <mergeCell ref="W37:X37"/>
    <mergeCell ref="W44:X44"/>
    <mergeCell ref="W71:X71"/>
    <mergeCell ref="W40:X40"/>
    <mergeCell ref="AB44:AC44"/>
    <mergeCell ref="AB71:AC71"/>
    <mergeCell ref="AB106:AC106"/>
    <mergeCell ref="G37:H37"/>
    <mergeCell ref="I44:J44"/>
    <mergeCell ref="M37:N37"/>
    <mergeCell ref="I37:J37"/>
    <mergeCell ref="I71:J71"/>
    <mergeCell ref="I40:J40"/>
    <mergeCell ref="S37:T37"/>
    <mergeCell ref="S40:T40"/>
    <mergeCell ref="Q37:R37"/>
    <mergeCell ref="Q40:R40"/>
    <mergeCell ref="O37:P37"/>
    <mergeCell ref="O40:P40"/>
    <mergeCell ref="K37:L37"/>
    <mergeCell ref="K40:L40"/>
    <mergeCell ref="M40:N40"/>
    <mergeCell ref="M44:N44"/>
    <mergeCell ref="M71:N71"/>
    <mergeCell ref="I39:J39"/>
    <mergeCell ref="G71:H71"/>
    <mergeCell ref="S71:T71"/>
    <mergeCell ref="O71:P71"/>
    <mergeCell ref="C38:D38"/>
    <mergeCell ref="E38:F38"/>
    <mergeCell ref="E44:F44"/>
    <mergeCell ref="C44:D44"/>
    <mergeCell ref="G40:H40"/>
    <mergeCell ref="E39:F39"/>
    <mergeCell ref="G39:H39"/>
    <mergeCell ref="G44:H44"/>
    <mergeCell ref="AB6:AC6"/>
    <mergeCell ref="C29:D29"/>
    <mergeCell ref="E29:F29"/>
    <mergeCell ref="G29:H29"/>
    <mergeCell ref="Q6:R6"/>
    <mergeCell ref="Q29:R29"/>
    <mergeCell ref="M6:N6"/>
    <mergeCell ref="M29:N29"/>
    <mergeCell ref="AB29:AC29"/>
    <mergeCell ref="S6:T6"/>
    <mergeCell ref="S29:T29"/>
    <mergeCell ref="W6:X6"/>
    <mergeCell ref="W29:X29"/>
    <mergeCell ref="I29:J29"/>
    <mergeCell ref="O6:P6"/>
    <mergeCell ref="U6:V6"/>
    <mergeCell ref="O29:P29"/>
    <mergeCell ref="K6:L6"/>
    <mergeCell ref="K29:L29"/>
    <mergeCell ref="I116:J116"/>
    <mergeCell ref="I112:J112"/>
    <mergeCell ref="C113:D113"/>
    <mergeCell ref="I113:J113"/>
    <mergeCell ref="C114:D114"/>
    <mergeCell ref="I114:J114"/>
    <mergeCell ref="C112:D112"/>
    <mergeCell ref="I38:J38"/>
    <mergeCell ref="C106:D106"/>
    <mergeCell ref="E106:F106"/>
    <mergeCell ref="G106:H106"/>
    <mergeCell ref="I106:J106"/>
    <mergeCell ref="C40:D40"/>
    <mergeCell ref="C109:D110"/>
    <mergeCell ref="I109:J110"/>
    <mergeCell ref="C111:D111"/>
    <mergeCell ref="I111:J111"/>
    <mergeCell ref="C108:D108"/>
    <mergeCell ref="I108:J108"/>
    <mergeCell ref="K71:L71"/>
    <mergeCell ref="O44:P44"/>
    <mergeCell ref="K106:L106"/>
    <mergeCell ref="S106:T106"/>
    <mergeCell ref="S44:T44"/>
    <mergeCell ref="Q106:R106"/>
    <mergeCell ref="Q44:R44"/>
    <mergeCell ref="Q71:R71"/>
    <mergeCell ref="W106:X106"/>
    <mergeCell ref="O106:P106"/>
    <mergeCell ref="K44:L44"/>
    <mergeCell ref="M106:N106"/>
    <mergeCell ref="U106:V106"/>
    <mergeCell ref="C115:D115"/>
    <mergeCell ref="I115:J115"/>
    <mergeCell ref="C37:D37"/>
    <mergeCell ref="C39:D39"/>
    <mergeCell ref="E37:F37"/>
    <mergeCell ref="C116:D116"/>
    <mergeCell ref="C123:D123"/>
    <mergeCell ref="I123:J123"/>
    <mergeCell ref="C121:D121"/>
    <mergeCell ref="I121:J121"/>
    <mergeCell ref="C117:D117"/>
    <mergeCell ref="I117:J117"/>
    <mergeCell ref="C118:D118"/>
    <mergeCell ref="I118:J118"/>
    <mergeCell ref="C122:D122"/>
    <mergeCell ref="I122:J122"/>
    <mergeCell ref="C119:D119"/>
    <mergeCell ref="I119:J119"/>
    <mergeCell ref="C120:D120"/>
    <mergeCell ref="I120:J120"/>
    <mergeCell ref="G38:H38"/>
    <mergeCell ref="C71:D71"/>
    <mergeCell ref="E71:F71"/>
    <mergeCell ref="E40:F40"/>
  </mergeCells>
  <phoneticPr fontId="0" type="noConversion"/>
  <printOptions horizontalCentered="1"/>
  <pageMargins left="0.5" right="0.5" top="0.25" bottom="0.25" header="0.5" footer="0.5"/>
  <pageSetup scale="69" orientation="landscape" horizontalDpi="4294967292" verticalDpi="4294967292" r:id="rId1"/>
  <headerFooter alignWithMargins="0">
    <oddFooter>&amp;R&amp;P of &amp;N
&amp;D</oddFooter>
  </headerFooter>
  <rowBreaks count="1" manualBreakCount="1">
    <brk id="68" max="19" man="1"/>
  </rowBreaks>
  <ignoredErrors>
    <ignoredError sqref="N88:N100 N81:N86 S81:S100 W81:W9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zoomScaleNormal="100" zoomScaleSheetLayoutView="70" workbookViewId="0">
      <pane xSplit="2" ySplit="1" topLeftCell="C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2.75" x14ac:dyDescent="0.2"/>
  <cols>
    <col min="1" max="1" width="3.7109375" style="1" customWidth="1"/>
    <col min="2" max="2" width="34.42578125" style="1" customWidth="1"/>
    <col min="3" max="3" width="7.7109375" hidden="1" customWidth="1"/>
    <col min="4" max="4" width="10.42578125" hidden="1" customWidth="1"/>
    <col min="5" max="5" width="7.7109375" hidden="1" customWidth="1"/>
    <col min="6" max="6" width="10.42578125" hidden="1" customWidth="1"/>
    <col min="7" max="7" width="7.85546875" style="223" hidden="1" customWidth="1"/>
    <col min="8" max="8" width="10.42578125" style="223" hidden="1" customWidth="1"/>
    <col min="9" max="9" width="7.7109375" style="223" hidden="1" customWidth="1"/>
    <col min="10" max="10" width="11.28515625" style="223" hidden="1" customWidth="1"/>
    <col min="11" max="11" width="7.7109375" style="1" hidden="1" customWidth="1"/>
    <col min="12" max="12" width="10.42578125" style="1" hidden="1" customWidth="1"/>
    <col min="13" max="13" width="7.7109375" style="1" hidden="1" customWidth="1"/>
    <col min="14" max="14" width="10.42578125" style="1" hidden="1" customWidth="1"/>
    <col min="15" max="15" width="7.7109375" style="1" customWidth="1"/>
    <col min="16" max="16" width="10.42578125" style="1" customWidth="1"/>
    <col min="17" max="17" width="7.7109375" style="1" customWidth="1"/>
    <col min="18" max="18" width="10.42578125" style="1" customWidth="1"/>
    <col min="19" max="19" width="7.7109375" style="1" customWidth="1"/>
    <col min="20" max="20" width="10.42578125" style="1" customWidth="1"/>
    <col min="21" max="21" width="7.7109375" style="1" customWidth="1"/>
    <col min="22" max="22" width="10.42578125" style="1" customWidth="1"/>
    <col min="23" max="23" width="7.7109375" style="1" customWidth="1"/>
    <col min="24" max="24" width="10.42578125" style="1" customWidth="1"/>
    <col min="25" max="25" width="7.7109375" style="1" customWidth="1"/>
    <col min="26" max="26" width="10.42578125" style="1" customWidth="1"/>
    <col min="27" max="27" width="5.140625" style="1" customWidth="1"/>
    <col min="28" max="28" width="7.7109375" style="1" customWidth="1"/>
    <col min="29" max="29" width="10.28515625" style="1" customWidth="1"/>
    <col min="30" max="30" width="2.28515625" style="1" customWidth="1"/>
    <col min="31" max="16384" width="10.28515625" style="1"/>
  </cols>
  <sheetData>
    <row r="1" spans="1:29" ht="18" x14ac:dyDescent="0.25">
      <c r="A1" s="1100" t="str">
        <f>Dean_Ag!A1</f>
        <v>Department Profile Report - FY 2015</v>
      </c>
      <c r="B1" s="1100"/>
      <c r="C1" s="1100"/>
      <c r="D1" s="1100"/>
      <c r="E1" s="1100"/>
      <c r="F1" s="1100"/>
      <c r="G1" s="1100"/>
      <c r="H1" s="1100"/>
      <c r="I1" s="1101"/>
      <c r="J1" s="1101"/>
      <c r="K1" s="1101"/>
      <c r="L1" s="1101"/>
      <c r="M1" s="1101"/>
      <c r="N1" s="1101"/>
      <c r="O1" s="1101"/>
      <c r="P1" s="1101"/>
      <c r="Q1" s="1101"/>
      <c r="R1" s="1101"/>
      <c r="S1" s="1101"/>
      <c r="T1" s="1101"/>
      <c r="U1" s="1101"/>
      <c r="V1" s="1101"/>
      <c r="W1" s="1101"/>
      <c r="X1" s="1101"/>
      <c r="Y1" s="1101"/>
      <c r="Z1" s="1101"/>
      <c r="AA1" s="1101"/>
      <c r="AB1" s="1101"/>
      <c r="AC1" s="1101"/>
    </row>
    <row r="2" spans="1:29" x14ac:dyDescent="0.2">
      <c r="A2" s="3" t="s">
        <v>31</v>
      </c>
      <c r="C2" s="1"/>
      <c r="D2" s="1"/>
      <c r="E2" s="1"/>
      <c r="F2" s="1"/>
      <c r="G2" s="222"/>
      <c r="H2" s="222"/>
      <c r="I2" s="222"/>
      <c r="J2" s="222"/>
    </row>
    <row r="3" spans="1:29" ht="5.25" customHeight="1" x14ac:dyDescent="0.2">
      <c r="C3" s="1"/>
      <c r="D3" s="1"/>
      <c r="E3" s="1"/>
      <c r="F3" s="1"/>
      <c r="G3" s="222"/>
      <c r="H3" s="222"/>
      <c r="I3" s="222"/>
      <c r="J3" s="222"/>
    </row>
    <row r="4" spans="1:29" x14ac:dyDescent="0.2">
      <c r="A4" s="3" t="s">
        <v>55</v>
      </c>
      <c r="C4" s="1"/>
      <c r="D4" s="1"/>
      <c r="E4" s="1"/>
      <c r="F4" s="1"/>
      <c r="G4" s="222"/>
      <c r="H4" s="222"/>
      <c r="I4" s="222"/>
      <c r="J4" s="222"/>
    </row>
    <row r="5" spans="1:29" thickBot="1" x14ac:dyDescent="0.25">
      <c r="A5" s="2"/>
      <c r="C5" s="1"/>
      <c r="D5" s="1"/>
      <c r="E5" s="1"/>
      <c r="F5" s="1"/>
      <c r="G5" s="222"/>
      <c r="H5" s="222"/>
      <c r="I5" s="222"/>
      <c r="J5" s="222"/>
      <c r="AB5" s="71"/>
      <c r="AC5" s="71"/>
    </row>
    <row r="6" spans="1:29" ht="13.5" customHeight="1" thickTop="1" x14ac:dyDescent="0.2">
      <c r="B6" s="38"/>
      <c r="C6" s="8" t="s">
        <v>33</v>
      </c>
      <c r="D6" s="29"/>
      <c r="E6" s="8" t="s">
        <v>34</v>
      </c>
      <c r="F6" s="5"/>
      <c r="G6" s="256" t="s">
        <v>106</v>
      </c>
      <c r="H6" s="418"/>
      <c r="I6" s="405" t="s">
        <v>118</v>
      </c>
      <c r="J6" s="469"/>
      <c r="K6" s="1512" t="s">
        <v>121</v>
      </c>
      <c r="L6" s="1509"/>
      <c r="M6" s="1512" t="s">
        <v>127</v>
      </c>
      <c r="N6" s="1513"/>
      <c r="O6" s="1509" t="s">
        <v>174</v>
      </c>
      <c r="P6" s="1513"/>
      <c r="Q6" s="1509" t="s">
        <v>193</v>
      </c>
      <c r="R6" s="1513"/>
      <c r="S6" s="1509" t="s">
        <v>218</v>
      </c>
      <c r="T6" s="1513"/>
      <c r="U6" s="1509" t="s">
        <v>221</v>
      </c>
      <c r="V6" s="1513"/>
      <c r="W6" s="1509" t="s">
        <v>232</v>
      </c>
      <c r="X6" s="1513"/>
      <c r="Y6" s="1509" t="s">
        <v>241</v>
      </c>
      <c r="Z6" s="1510"/>
      <c r="AB6" s="1517" t="s">
        <v>134</v>
      </c>
      <c r="AC6" s="1528"/>
    </row>
    <row r="7" spans="1:29" ht="12" x14ac:dyDescent="0.2">
      <c r="B7" s="39"/>
      <c r="C7" s="9" t="s">
        <v>1</v>
      </c>
      <c r="D7" s="31" t="s">
        <v>2</v>
      </c>
      <c r="E7" s="9" t="s">
        <v>1</v>
      </c>
      <c r="F7" s="6" t="s">
        <v>2</v>
      </c>
      <c r="G7" s="257" t="s">
        <v>1</v>
      </c>
      <c r="H7" s="415" t="s">
        <v>2</v>
      </c>
      <c r="I7" s="402" t="s">
        <v>1</v>
      </c>
      <c r="J7" s="470" t="s">
        <v>2</v>
      </c>
      <c r="K7" s="257" t="s">
        <v>1</v>
      </c>
      <c r="L7" s="470" t="s">
        <v>2</v>
      </c>
      <c r="M7" s="257" t="s">
        <v>1</v>
      </c>
      <c r="N7" s="415" t="s">
        <v>2</v>
      </c>
      <c r="O7" s="402" t="s">
        <v>1</v>
      </c>
      <c r="P7" s="415" t="s">
        <v>2</v>
      </c>
      <c r="Q7" s="402" t="s">
        <v>1</v>
      </c>
      <c r="R7" s="415" t="s">
        <v>2</v>
      </c>
      <c r="S7" s="402" t="s">
        <v>1</v>
      </c>
      <c r="T7" s="415" t="s">
        <v>2</v>
      </c>
      <c r="U7" s="402" t="s">
        <v>1</v>
      </c>
      <c r="V7" s="415" t="s">
        <v>2</v>
      </c>
      <c r="W7" s="402" t="s">
        <v>1</v>
      </c>
      <c r="X7" s="415" t="s">
        <v>2</v>
      </c>
      <c r="Y7" s="402" t="s">
        <v>1</v>
      </c>
      <c r="Z7" s="224" t="s">
        <v>2</v>
      </c>
      <c r="AB7" s="755" t="s">
        <v>1</v>
      </c>
      <c r="AC7" s="756" t="s">
        <v>2</v>
      </c>
    </row>
    <row r="8" spans="1:29" thickBot="1" x14ac:dyDescent="0.25">
      <c r="B8" s="40"/>
      <c r="C8" s="55" t="s">
        <v>3</v>
      </c>
      <c r="D8" s="56" t="s">
        <v>4</v>
      </c>
      <c r="E8" s="55" t="s">
        <v>3</v>
      </c>
      <c r="F8" s="282" t="s">
        <v>4</v>
      </c>
      <c r="G8" s="283" t="s">
        <v>3</v>
      </c>
      <c r="H8" s="431" t="s">
        <v>4</v>
      </c>
      <c r="I8" s="419" t="s">
        <v>3</v>
      </c>
      <c r="J8" s="471" t="s">
        <v>4</v>
      </c>
      <c r="K8" s="283" t="s">
        <v>3</v>
      </c>
      <c r="L8" s="471" t="s">
        <v>4</v>
      </c>
      <c r="M8" s="283" t="s">
        <v>3</v>
      </c>
      <c r="N8" s="431" t="s">
        <v>4</v>
      </c>
      <c r="O8" s="419" t="s">
        <v>3</v>
      </c>
      <c r="P8" s="431" t="s">
        <v>4</v>
      </c>
      <c r="Q8" s="419" t="s">
        <v>3</v>
      </c>
      <c r="R8" s="431" t="s">
        <v>4</v>
      </c>
      <c r="S8" s="419" t="s">
        <v>3</v>
      </c>
      <c r="T8" s="431" t="s">
        <v>4</v>
      </c>
      <c r="U8" s="419" t="s">
        <v>3</v>
      </c>
      <c r="V8" s="431" t="s">
        <v>4</v>
      </c>
      <c r="W8" s="419" t="s">
        <v>3</v>
      </c>
      <c r="X8" s="431" t="s">
        <v>4</v>
      </c>
      <c r="Y8" s="419" t="s">
        <v>3</v>
      </c>
      <c r="Z8" s="225" t="s">
        <v>4</v>
      </c>
      <c r="AB8" s="757" t="s">
        <v>3</v>
      </c>
      <c r="AC8" s="758" t="s">
        <v>4</v>
      </c>
    </row>
    <row r="9" spans="1:29" ht="12" x14ac:dyDescent="0.2">
      <c r="B9" s="41" t="s">
        <v>5</v>
      </c>
      <c r="C9" s="57"/>
      <c r="D9" s="58"/>
      <c r="E9" s="57"/>
      <c r="F9" s="27"/>
      <c r="G9" s="284"/>
      <c r="H9" s="393"/>
      <c r="I9" s="324"/>
      <c r="J9" s="472"/>
      <c r="K9" s="284"/>
      <c r="L9" s="472"/>
      <c r="M9" s="284"/>
      <c r="N9" s="393"/>
      <c r="O9" s="324"/>
      <c r="P9" s="393"/>
      <c r="Q9" s="324"/>
      <c r="R9" s="393"/>
      <c r="S9" s="324"/>
      <c r="T9" s="393"/>
      <c r="U9" s="324"/>
      <c r="V9" s="393"/>
      <c r="W9" s="324"/>
      <c r="X9" s="393"/>
      <c r="Y9" s="324"/>
      <c r="Z9" s="226"/>
      <c r="AB9" s="299"/>
      <c r="AC9" s="652"/>
    </row>
    <row r="10" spans="1:29" ht="12" x14ac:dyDescent="0.2">
      <c r="B10" s="593" t="s">
        <v>48</v>
      </c>
      <c r="C10" s="338"/>
      <c r="D10" s="339"/>
      <c r="E10" s="338"/>
      <c r="F10" s="340"/>
      <c r="G10" s="259"/>
      <c r="H10" s="339"/>
      <c r="I10" s="338"/>
      <c r="J10" s="340"/>
      <c r="K10" s="259"/>
      <c r="L10" s="340"/>
      <c r="M10" s="259"/>
      <c r="N10" s="339"/>
      <c r="O10" s="338"/>
      <c r="P10" s="339"/>
      <c r="Q10" s="338"/>
      <c r="R10" s="339"/>
      <c r="S10" s="338"/>
      <c r="T10" s="339"/>
      <c r="U10" s="338"/>
      <c r="V10" s="339"/>
      <c r="W10" s="338"/>
      <c r="X10" s="339"/>
      <c r="Y10" s="338"/>
      <c r="Z10" s="130"/>
      <c r="AB10" s="299"/>
      <c r="AC10" s="652"/>
    </row>
    <row r="11" spans="1:29" ht="12" x14ac:dyDescent="0.2">
      <c r="B11" s="594" t="s">
        <v>164</v>
      </c>
      <c r="C11" s="338">
        <v>320</v>
      </c>
      <c r="D11" s="339">
        <v>58</v>
      </c>
      <c r="E11" s="338">
        <f>290+3</f>
        <v>293</v>
      </c>
      <c r="F11" s="340">
        <v>67</v>
      </c>
      <c r="G11" s="259">
        <v>274</v>
      </c>
      <c r="H11" s="339">
        <v>58</v>
      </c>
      <c r="I11" s="338">
        <f>247+3</f>
        <v>250</v>
      </c>
      <c r="J11" s="340">
        <f>68+1</f>
        <v>69</v>
      </c>
      <c r="K11" s="259">
        <v>208</v>
      </c>
      <c r="L11" s="340">
        <v>50</v>
      </c>
      <c r="M11" s="259">
        <f>209+0</f>
        <v>209</v>
      </c>
      <c r="N11" s="339">
        <v>50</v>
      </c>
      <c r="O11" s="338">
        <v>172</v>
      </c>
      <c r="P11" s="339">
        <v>41</v>
      </c>
      <c r="Q11" s="338">
        <v>172</v>
      </c>
      <c r="R11" s="339">
        <v>40</v>
      </c>
      <c r="S11" s="338">
        <v>163</v>
      </c>
      <c r="T11" s="339">
        <v>36</v>
      </c>
      <c r="U11" s="338">
        <v>141</v>
      </c>
      <c r="V11" s="339">
        <v>35</v>
      </c>
      <c r="W11" s="338">
        <v>147</v>
      </c>
      <c r="X11" s="339">
        <v>31</v>
      </c>
      <c r="Y11" s="338">
        <v>139</v>
      </c>
      <c r="Z11" s="1399"/>
      <c r="AA11" s="657"/>
      <c r="AB11" s="742">
        <f>AVERAGE(W11,U11,S11,Q11,Y11)</f>
        <v>152.4</v>
      </c>
      <c r="AC11" s="759">
        <f>AVERAGE(X11,V11,T11,R11,P11)</f>
        <v>36.6</v>
      </c>
    </row>
    <row r="12" spans="1:29" ht="12" x14ac:dyDescent="0.2">
      <c r="B12" s="594" t="s">
        <v>51</v>
      </c>
      <c r="C12" s="338">
        <v>5</v>
      </c>
      <c r="D12" s="339"/>
      <c r="E12" s="338">
        <v>12</v>
      </c>
      <c r="F12" s="340">
        <f>2</f>
        <v>2</v>
      </c>
      <c r="G12" s="259">
        <v>11</v>
      </c>
      <c r="H12" s="339">
        <v>3</v>
      </c>
      <c r="I12" s="338">
        <v>1</v>
      </c>
      <c r="J12" s="340">
        <v>1</v>
      </c>
      <c r="K12" s="259">
        <v>1</v>
      </c>
      <c r="L12" s="340">
        <v>2</v>
      </c>
      <c r="M12" s="259">
        <v>3</v>
      </c>
      <c r="N12" s="339">
        <v>1</v>
      </c>
      <c r="O12" s="338">
        <v>6</v>
      </c>
      <c r="P12" s="339">
        <v>0</v>
      </c>
      <c r="Q12" s="338">
        <v>4</v>
      </c>
      <c r="R12" s="339">
        <v>2</v>
      </c>
      <c r="S12" s="338">
        <v>6</v>
      </c>
      <c r="T12" s="339">
        <v>1</v>
      </c>
      <c r="U12" s="338">
        <v>6</v>
      </c>
      <c r="V12" s="339">
        <v>2</v>
      </c>
      <c r="W12" s="338">
        <v>6</v>
      </c>
      <c r="X12" s="339">
        <v>3</v>
      </c>
      <c r="Y12" s="338">
        <v>16</v>
      </c>
      <c r="Z12" s="1399"/>
      <c r="AA12" s="657"/>
      <c r="AB12" s="742">
        <f t="shared" ref="AB12:AB14" si="0">AVERAGE(W12,U12,S12,Q12,Y12)</f>
        <v>7.6</v>
      </c>
      <c r="AC12" s="759">
        <f t="shared" ref="AC12:AC22" si="1">AVERAGE(X12,V12,T12,R12,P12)</f>
        <v>1.6</v>
      </c>
    </row>
    <row r="13" spans="1:29" ht="12" x14ac:dyDescent="0.2">
      <c r="B13" s="594" t="s">
        <v>167</v>
      </c>
      <c r="C13" s="338">
        <v>14</v>
      </c>
      <c r="D13" s="339">
        <v>4</v>
      </c>
      <c r="E13" s="338">
        <v>11</v>
      </c>
      <c r="F13" s="340">
        <v>8</v>
      </c>
      <c r="G13" s="259">
        <v>10</v>
      </c>
      <c r="H13" s="339">
        <v>3</v>
      </c>
      <c r="I13" s="338">
        <v>7</v>
      </c>
      <c r="J13" s="340">
        <v>1</v>
      </c>
      <c r="K13" s="259">
        <v>9</v>
      </c>
      <c r="L13" s="340">
        <v>2</v>
      </c>
      <c r="M13" s="259">
        <v>9</v>
      </c>
      <c r="N13" s="339">
        <v>3</v>
      </c>
      <c r="O13" s="338">
        <v>11</v>
      </c>
      <c r="P13" s="339">
        <v>2</v>
      </c>
      <c r="Q13" s="338">
        <v>12</v>
      </c>
      <c r="R13" s="339">
        <v>4</v>
      </c>
      <c r="S13" s="338">
        <v>19</v>
      </c>
      <c r="T13" s="339">
        <v>5</v>
      </c>
      <c r="U13" s="338">
        <v>17</v>
      </c>
      <c r="V13" s="339">
        <v>6</v>
      </c>
      <c r="W13" s="338">
        <v>18</v>
      </c>
      <c r="X13" s="339">
        <v>6</v>
      </c>
      <c r="Y13" s="338">
        <v>13</v>
      </c>
      <c r="Z13" s="1399"/>
      <c r="AA13" s="657"/>
      <c r="AB13" s="742">
        <f t="shared" si="0"/>
        <v>15.8</v>
      </c>
      <c r="AC13" s="759">
        <f>AVERAGE(X13,V13,T13,R13,P13)</f>
        <v>4.5999999999999996</v>
      </c>
    </row>
    <row r="14" spans="1:29" ht="12" x14ac:dyDescent="0.2">
      <c r="B14" s="594" t="s">
        <v>6</v>
      </c>
      <c r="C14" s="338">
        <v>9</v>
      </c>
      <c r="D14" s="339">
        <v>2</v>
      </c>
      <c r="E14" s="338">
        <v>11</v>
      </c>
      <c r="F14" s="340">
        <v>1</v>
      </c>
      <c r="G14" s="259">
        <v>13</v>
      </c>
      <c r="H14" s="339">
        <v>1</v>
      </c>
      <c r="I14" s="338">
        <v>10</v>
      </c>
      <c r="J14" s="340">
        <v>2</v>
      </c>
      <c r="K14" s="259">
        <v>10</v>
      </c>
      <c r="L14" s="340">
        <v>6</v>
      </c>
      <c r="M14" s="259">
        <v>6</v>
      </c>
      <c r="N14" s="339">
        <v>1</v>
      </c>
      <c r="O14" s="338">
        <v>7</v>
      </c>
      <c r="P14" s="339">
        <v>0</v>
      </c>
      <c r="Q14" s="338">
        <v>8</v>
      </c>
      <c r="R14" s="339">
        <v>3</v>
      </c>
      <c r="S14" s="338">
        <v>12</v>
      </c>
      <c r="T14" s="339">
        <v>2</v>
      </c>
      <c r="U14" s="338">
        <v>10</v>
      </c>
      <c r="V14" s="339">
        <v>2</v>
      </c>
      <c r="W14" s="338">
        <v>9</v>
      </c>
      <c r="X14" s="339">
        <v>2</v>
      </c>
      <c r="Y14" s="338">
        <v>11</v>
      </c>
      <c r="Z14" s="1399"/>
      <c r="AA14" s="657"/>
      <c r="AB14" s="742">
        <f t="shared" si="0"/>
        <v>10</v>
      </c>
      <c r="AC14" s="759">
        <f t="shared" si="1"/>
        <v>1.8</v>
      </c>
    </row>
    <row r="15" spans="1:29" ht="12" x14ac:dyDescent="0.2">
      <c r="B15" s="594" t="s">
        <v>230</v>
      </c>
      <c r="C15" s="338"/>
      <c r="D15" s="339"/>
      <c r="E15" s="338"/>
      <c r="F15" s="340"/>
      <c r="G15" s="259"/>
      <c r="H15" s="339"/>
      <c r="I15" s="338"/>
      <c r="J15" s="340"/>
      <c r="K15" s="1419"/>
      <c r="L15" s="1420"/>
      <c r="M15" s="1419"/>
      <c r="N15" s="1421"/>
      <c r="O15" s="1422"/>
      <c r="P15" s="1421"/>
      <c r="Q15" s="1422"/>
      <c r="R15" s="1421"/>
      <c r="S15" s="1422"/>
      <c r="T15" s="1421"/>
      <c r="U15" s="338">
        <v>0</v>
      </c>
      <c r="V15" s="339">
        <v>0</v>
      </c>
      <c r="W15" s="338">
        <v>2</v>
      </c>
      <c r="X15" s="339">
        <v>0</v>
      </c>
      <c r="Y15" s="338">
        <v>3</v>
      </c>
      <c r="Z15" s="1399"/>
      <c r="AA15" s="657"/>
      <c r="AB15" s="742"/>
      <c r="AC15" s="759">
        <f t="shared" si="1"/>
        <v>0</v>
      </c>
    </row>
    <row r="16" spans="1:29" ht="12" x14ac:dyDescent="0.2">
      <c r="B16" s="593" t="s">
        <v>49</v>
      </c>
      <c r="C16" s="338"/>
      <c r="D16" s="339"/>
      <c r="E16" s="338"/>
      <c r="F16" s="340"/>
      <c r="G16" s="259"/>
      <c r="H16" s="339"/>
      <c r="I16" s="338"/>
      <c r="J16" s="340"/>
      <c r="K16" s="259"/>
      <c r="L16" s="340"/>
      <c r="M16" s="259"/>
      <c r="N16" s="339"/>
      <c r="O16" s="338"/>
      <c r="P16" s="339"/>
      <c r="Q16" s="338"/>
      <c r="R16" s="339"/>
      <c r="S16" s="338"/>
      <c r="T16" s="339"/>
      <c r="U16" s="338"/>
      <c r="V16" s="339"/>
      <c r="W16" s="338"/>
      <c r="X16" s="339"/>
      <c r="Y16" s="338"/>
      <c r="Z16" s="1399"/>
      <c r="AA16" s="657"/>
      <c r="AB16" s="742"/>
      <c r="AC16" s="759"/>
    </row>
    <row r="17" spans="2:31" ht="12" hidden="1" x14ac:dyDescent="0.2">
      <c r="B17" s="594" t="s">
        <v>164</v>
      </c>
      <c r="C17" s="338">
        <v>19</v>
      </c>
      <c r="D17" s="339">
        <v>4</v>
      </c>
      <c r="E17" s="338">
        <f>13+2</f>
        <v>15</v>
      </c>
      <c r="F17" s="340">
        <v>2</v>
      </c>
      <c r="G17" s="259">
        <v>16</v>
      </c>
      <c r="H17" s="339">
        <v>5</v>
      </c>
      <c r="I17" s="338">
        <v>8</v>
      </c>
      <c r="J17" s="340">
        <v>4</v>
      </c>
      <c r="K17" s="259">
        <v>5</v>
      </c>
      <c r="L17" s="340">
        <v>3</v>
      </c>
      <c r="M17" s="259">
        <v>2</v>
      </c>
      <c r="N17" s="339">
        <v>3</v>
      </c>
      <c r="O17" s="1193"/>
      <c r="P17" s="1194"/>
      <c r="Q17" s="1193"/>
      <c r="R17" s="1194"/>
      <c r="S17" s="1193"/>
      <c r="T17" s="1194"/>
      <c r="U17" s="1193"/>
      <c r="V17" s="1421"/>
      <c r="W17" s="1193"/>
      <c r="X17" s="1421"/>
      <c r="Y17" s="1193"/>
      <c r="Z17" s="1399"/>
      <c r="AA17" s="657"/>
      <c r="AB17" s="1340"/>
      <c r="AC17" s="1203" t="e">
        <f t="shared" si="1"/>
        <v>#DIV/0!</v>
      </c>
    </row>
    <row r="18" spans="2:31" ht="12" x14ac:dyDescent="0.2">
      <c r="B18" s="594" t="s">
        <v>229</v>
      </c>
      <c r="C18" s="338"/>
      <c r="D18" s="339"/>
      <c r="E18" s="338"/>
      <c r="F18" s="340"/>
      <c r="G18" s="1211"/>
      <c r="H18" s="1194"/>
      <c r="I18" s="1193"/>
      <c r="J18" s="1212"/>
      <c r="K18" s="1211"/>
      <c r="L18" s="1212"/>
      <c r="M18" s="1211"/>
      <c r="N18" s="1194"/>
      <c r="O18" s="1193"/>
      <c r="P18" s="1194"/>
      <c r="Q18" s="338">
        <v>1</v>
      </c>
      <c r="R18" s="339">
        <v>0</v>
      </c>
      <c r="S18" s="338">
        <v>0</v>
      </c>
      <c r="T18" s="339">
        <v>0</v>
      </c>
      <c r="U18" s="338">
        <v>4</v>
      </c>
      <c r="V18" s="339">
        <v>0</v>
      </c>
      <c r="W18" s="338">
        <v>5</v>
      </c>
      <c r="X18" s="339">
        <v>2</v>
      </c>
      <c r="Y18" s="338">
        <v>2</v>
      </c>
      <c r="Z18" s="1399"/>
      <c r="AA18" s="657"/>
      <c r="AB18" s="742">
        <f>AVERAGE(W18,U18,S18,Q18,Y18)</f>
        <v>2.4</v>
      </c>
      <c r="AC18" s="759">
        <f t="shared" si="1"/>
        <v>0.5</v>
      </c>
      <c r="AE18" s="1" t="s">
        <v>23</v>
      </c>
    </row>
    <row r="19" spans="2:31" ht="12" x14ac:dyDescent="0.2">
      <c r="B19" s="593" t="s">
        <v>238</v>
      </c>
      <c r="C19" s="338"/>
      <c r="D19" s="339"/>
      <c r="E19" s="338"/>
      <c r="F19" s="340"/>
      <c r="G19" s="259"/>
      <c r="H19" s="339"/>
      <c r="I19" s="338"/>
      <c r="J19" s="340"/>
      <c r="K19" s="259"/>
      <c r="L19" s="340"/>
      <c r="M19" s="259"/>
      <c r="N19" s="339"/>
      <c r="O19" s="338"/>
      <c r="P19" s="339"/>
      <c r="Q19" s="338"/>
      <c r="R19" s="339"/>
      <c r="S19" s="338"/>
      <c r="T19" s="339"/>
      <c r="U19" s="338"/>
      <c r="V19" s="339"/>
      <c r="W19" s="338"/>
      <c r="X19" s="339"/>
      <c r="Y19" s="338"/>
      <c r="Z19" s="1399"/>
      <c r="AA19" s="657"/>
      <c r="AB19" s="742"/>
      <c r="AC19" s="759"/>
    </row>
    <row r="20" spans="2:31" ht="12" x14ac:dyDescent="0.2">
      <c r="B20" s="594" t="s">
        <v>164</v>
      </c>
      <c r="C20" s="338">
        <v>144</v>
      </c>
      <c r="D20" s="339">
        <v>22</v>
      </c>
      <c r="E20" s="338">
        <f>137+1</f>
        <v>138</v>
      </c>
      <c r="F20" s="340">
        <v>34</v>
      </c>
      <c r="G20" s="259">
        <v>127</v>
      </c>
      <c r="H20" s="457">
        <v>39</v>
      </c>
      <c r="I20" s="338">
        <f>105+1</f>
        <v>106</v>
      </c>
      <c r="J20" s="340">
        <v>37</v>
      </c>
      <c r="K20" s="259">
        <v>90</v>
      </c>
      <c r="L20" s="340">
        <v>25</v>
      </c>
      <c r="M20" s="259">
        <f>80+1</f>
        <v>81</v>
      </c>
      <c r="N20" s="339">
        <v>24</v>
      </c>
      <c r="O20" s="338">
        <v>94</v>
      </c>
      <c r="P20" s="339">
        <v>14</v>
      </c>
      <c r="Q20" s="338">
        <v>111</v>
      </c>
      <c r="R20" s="339">
        <v>22</v>
      </c>
      <c r="S20" s="338">
        <v>104</v>
      </c>
      <c r="T20" s="339">
        <v>17</v>
      </c>
      <c r="U20" s="338">
        <v>100</v>
      </c>
      <c r="V20" s="339">
        <v>19</v>
      </c>
      <c r="W20" s="338">
        <v>100</v>
      </c>
      <c r="X20" s="339">
        <v>29</v>
      </c>
      <c r="Y20" s="338">
        <v>93</v>
      </c>
      <c r="Z20" s="1399"/>
      <c r="AA20" s="657"/>
      <c r="AB20" s="742">
        <f t="shared" ref="AB20" si="2">AVERAGE(W20,U20,S20,Q20,Y20)</f>
        <v>101.6</v>
      </c>
      <c r="AC20" s="759">
        <f t="shared" si="1"/>
        <v>20.2</v>
      </c>
    </row>
    <row r="21" spans="2:31" ht="12" x14ac:dyDescent="0.2">
      <c r="B21" s="596" t="s">
        <v>183</v>
      </c>
      <c r="C21" s="353"/>
      <c r="D21" s="342"/>
      <c r="E21" s="353"/>
      <c r="F21" s="345"/>
      <c r="G21" s="359"/>
      <c r="H21" s="342"/>
      <c r="I21" s="353"/>
      <c r="J21" s="345"/>
      <c r="K21" s="359"/>
      <c r="L21" s="345"/>
      <c r="M21" s="359"/>
      <c r="N21" s="1022"/>
      <c r="O21" s="353"/>
      <c r="P21" s="1022"/>
      <c r="Q21" s="353"/>
      <c r="R21" s="1022"/>
      <c r="S21" s="353"/>
      <c r="T21" s="1022"/>
      <c r="U21" s="353"/>
      <c r="V21" s="1022"/>
      <c r="W21" s="353"/>
      <c r="X21" s="1022"/>
      <c r="Y21" s="353"/>
      <c r="Z21" s="1401"/>
      <c r="AA21" s="657"/>
      <c r="AB21" s="742"/>
      <c r="AC21" s="759"/>
    </row>
    <row r="22" spans="2:31" thickBot="1" x14ac:dyDescent="0.25">
      <c r="B22" s="595" t="s">
        <v>164</v>
      </c>
      <c r="C22" s="465"/>
      <c r="D22" s="466"/>
      <c r="E22" s="1077"/>
      <c r="F22" s="1078"/>
      <c r="G22" s="1079"/>
      <c r="H22" s="1080"/>
      <c r="I22" s="1077"/>
      <c r="J22" s="1078"/>
      <c r="K22" s="1079"/>
      <c r="L22" s="1078"/>
      <c r="M22" s="1079"/>
      <c r="N22" s="1080"/>
      <c r="O22" s="357">
        <v>17</v>
      </c>
      <c r="P22" s="364">
        <v>0</v>
      </c>
      <c r="Q22" s="357">
        <v>54</v>
      </c>
      <c r="R22" s="364">
        <v>0</v>
      </c>
      <c r="S22" s="357">
        <v>82</v>
      </c>
      <c r="T22" s="364">
        <v>0</v>
      </c>
      <c r="U22" s="357">
        <v>98</v>
      </c>
      <c r="V22" s="364">
        <v>12</v>
      </c>
      <c r="W22" s="357">
        <v>115</v>
      </c>
      <c r="X22" s="364">
        <v>24</v>
      </c>
      <c r="Y22" s="357">
        <v>112</v>
      </c>
      <c r="Z22" s="1404"/>
      <c r="AA22" s="1188"/>
      <c r="AB22" s="761">
        <f t="shared" ref="AB22" si="3">AVERAGE(W22,U22,S22,Q22,Y22)</f>
        <v>92.2</v>
      </c>
      <c r="AC22" s="1338">
        <f t="shared" si="1"/>
        <v>7.2</v>
      </c>
    </row>
    <row r="23" spans="2:31" thickTop="1" x14ac:dyDescent="0.2">
      <c r="B23" s="1064" t="s">
        <v>170</v>
      </c>
      <c r="C23" s="1065"/>
      <c r="D23" s="1066"/>
      <c r="E23" s="1065"/>
      <c r="F23" s="1066"/>
      <c r="G23" s="627"/>
      <c r="H23" s="1067"/>
      <c r="I23" s="627"/>
      <c r="J23" s="1067"/>
      <c r="K23" s="627"/>
      <c r="L23" s="1067"/>
      <c r="M23" s="627"/>
      <c r="N23" s="1067"/>
      <c r="O23" s="627"/>
      <c r="P23" s="1067"/>
      <c r="Q23" s="627"/>
      <c r="R23" s="1067"/>
      <c r="S23" s="627"/>
      <c r="T23" s="1067"/>
      <c r="U23" s="627"/>
      <c r="V23" s="1067"/>
      <c r="W23" s="627"/>
      <c r="X23" s="1067"/>
      <c r="Y23" s="627"/>
      <c r="Z23" s="1067"/>
      <c r="AB23" s="784"/>
      <c r="AC23" s="785"/>
    </row>
    <row r="24" spans="2:31" ht="12" x14ac:dyDescent="0.2">
      <c r="B24" s="50" t="s">
        <v>181</v>
      </c>
      <c r="C24" s="51"/>
      <c r="D24" s="26"/>
      <c r="E24" s="51"/>
      <c r="F24" s="26"/>
      <c r="G24" s="228"/>
      <c r="H24" s="229"/>
      <c r="I24" s="228"/>
      <c r="J24" s="229"/>
      <c r="K24" s="228"/>
      <c r="L24" s="229"/>
      <c r="M24" s="228"/>
      <c r="N24" s="229"/>
      <c r="O24" s="228"/>
      <c r="P24" s="229"/>
      <c r="Q24" s="228"/>
      <c r="R24" s="229"/>
      <c r="S24" s="228"/>
      <c r="T24" s="229"/>
      <c r="U24" s="228"/>
      <c r="V24" s="229"/>
      <c r="W24" s="228"/>
      <c r="X24" s="229"/>
      <c r="Y24" s="228"/>
      <c r="Z24" s="229"/>
      <c r="AB24" s="784"/>
      <c r="AC24" s="785"/>
    </row>
    <row r="25" spans="2:31" ht="8.25" customHeight="1" thickBot="1" x14ac:dyDescent="0.25">
      <c r="C25" s="51"/>
      <c r="D25" s="26"/>
      <c r="E25" s="51"/>
      <c r="F25" s="26"/>
      <c r="G25" s="228"/>
      <c r="H25" s="229"/>
      <c r="I25" s="228"/>
      <c r="J25" s="229"/>
      <c r="K25" s="228"/>
      <c r="L25" s="229"/>
      <c r="M25" s="228"/>
      <c r="N25" s="229"/>
      <c r="O25" s="228"/>
      <c r="P25" s="229"/>
      <c r="Q25" s="228"/>
      <c r="R25" s="229"/>
      <c r="S25" s="228"/>
      <c r="T25" s="229"/>
      <c r="U25" s="228"/>
      <c r="V25" s="229"/>
      <c r="W25" s="228"/>
      <c r="X25" s="229"/>
      <c r="Y25" s="228"/>
      <c r="Z25" s="229"/>
      <c r="AB25" s="71"/>
      <c r="AC25" s="71"/>
    </row>
    <row r="26" spans="2:31" ht="14.25" customHeight="1" thickTop="1" thickBot="1" x14ac:dyDescent="0.25">
      <c r="B26" s="1055"/>
      <c r="C26" s="1498" t="s">
        <v>33</v>
      </c>
      <c r="D26" s="1499"/>
      <c r="E26" s="1501" t="s">
        <v>34</v>
      </c>
      <c r="F26" s="1501"/>
      <c r="G26" s="1500" t="s">
        <v>106</v>
      </c>
      <c r="H26" s="1495"/>
      <c r="I26" s="1494" t="s">
        <v>118</v>
      </c>
      <c r="J26" s="1494"/>
      <c r="K26" s="1500" t="s">
        <v>121</v>
      </c>
      <c r="L26" s="1494"/>
      <c r="M26" s="1500" t="s">
        <v>127</v>
      </c>
      <c r="N26" s="1495"/>
      <c r="O26" s="1494" t="s">
        <v>174</v>
      </c>
      <c r="P26" s="1495"/>
      <c r="Q26" s="1494" t="s">
        <v>193</v>
      </c>
      <c r="R26" s="1495"/>
      <c r="S26" s="1494" t="s">
        <v>218</v>
      </c>
      <c r="T26" s="1495"/>
      <c r="U26" s="1494" t="s">
        <v>221</v>
      </c>
      <c r="V26" s="1495"/>
      <c r="W26" s="1494" t="s">
        <v>232</v>
      </c>
      <c r="X26" s="1495"/>
      <c r="Y26" s="1494" t="s">
        <v>241</v>
      </c>
      <c r="Z26" s="1508"/>
      <c r="AA26" s="657"/>
      <c r="AB26" s="1529" t="s">
        <v>134</v>
      </c>
      <c r="AC26" s="1530"/>
    </row>
    <row r="27" spans="2:31" ht="12" x14ac:dyDescent="0.2">
      <c r="B27" s="41" t="s">
        <v>7</v>
      </c>
      <c r="C27" s="132"/>
      <c r="D27" s="133"/>
      <c r="E27" s="16"/>
      <c r="F27" s="16"/>
      <c r="G27" s="260"/>
      <c r="H27" s="407"/>
      <c r="I27" s="387"/>
      <c r="J27" s="387"/>
      <c r="K27" s="260"/>
      <c r="L27" s="387"/>
      <c r="M27" s="260"/>
      <c r="N27" s="407"/>
      <c r="O27" s="387"/>
      <c r="P27" s="407"/>
      <c r="Q27" s="387"/>
      <c r="R27" s="407"/>
      <c r="S27" s="387"/>
      <c r="T27" s="407"/>
      <c r="U27" s="387"/>
      <c r="V27" s="407"/>
      <c r="W27" s="387"/>
      <c r="X27" s="407"/>
      <c r="Y27" s="387"/>
      <c r="Z27" s="230"/>
      <c r="AA27" s="657"/>
      <c r="AB27" s="660"/>
      <c r="AC27" s="656"/>
    </row>
    <row r="28" spans="2:31" ht="12" x14ac:dyDescent="0.2">
      <c r="B28" s="45" t="s">
        <v>8</v>
      </c>
      <c r="C28" s="134"/>
      <c r="D28" s="135"/>
      <c r="E28" s="7"/>
      <c r="F28" s="7"/>
      <c r="G28" s="261"/>
      <c r="H28" s="389"/>
      <c r="I28" s="231"/>
      <c r="J28" s="231"/>
      <c r="K28" s="261"/>
      <c r="L28" s="231"/>
      <c r="M28" s="261"/>
      <c r="N28" s="389"/>
      <c r="O28" s="231"/>
      <c r="P28" s="389"/>
      <c r="Q28" s="231"/>
      <c r="R28" s="389"/>
      <c r="S28" s="231"/>
      <c r="T28" s="389"/>
      <c r="U28" s="231"/>
      <c r="V28" s="389"/>
      <c r="W28" s="231"/>
      <c r="X28" s="389"/>
      <c r="Y28" s="231"/>
      <c r="Z28" s="104"/>
      <c r="AA28" s="657"/>
      <c r="AC28" s="652"/>
    </row>
    <row r="29" spans="2:31" ht="12" x14ac:dyDescent="0.2">
      <c r="B29" s="45" t="s">
        <v>9</v>
      </c>
      <c r="C29" s="134"/>
      <c r="D29" s="168">
        <f>1248+264</f>
        <v>1512</v>
      </c>
      <c r="E29" s="7"/>
      <c r="F29" s="244">
        <f>1224+1155</f>
        <v>2379</v>
      </c>
      <c r="G29" s="261"/>
      <c r="H29" s="408">
        <f>1508+1051</f>
        <v>2559</v>
      </c>
      <c r="I29" s="231"/>
      <c r="J29" s="244">
        <f>1033+1462</f>
        <v>2495</v>
      </c>
      <c r="K29" s="261"/>
      <c r="L29" s="244">
        <f>1699+817</f>
        <v>2516</v>
      </c>
      <c r="M29" s="261"/>
      <c r="N29" s="408">
        <v>2703</v>
      </c>
      <c r="O29" s="231"/>
      <c r="P29" s="408">
        <v>2848</v>
      </c>
      <c r="Q29" s="231"/>
      <c r="R29" s="408">
        <v>3555</v>
      </c>
      <c r="S29" s="231"/>
      <c r="T29" s="408">
        <v>3489</v>
      </c>
      <c r="U29" s="231"/>
      <c r="V29" s="408">
        <v>2615</v>
      </c>
      <c r="W29" s="231"/>
      <c r="X29" s="408">
        <v>2514</v>
      </c>
      <c r="Y29" s="231"/>
      <c r="Z29" s="1432"/>
      <c r="AA29" s="657"/>
      <c r="AB29" s="16"/>
      <c r="AC29" s="752">
        <f>AVERAGE(X29,V29,T29,R29,P29)</f>
        <v>3004.2</v>
      </c>
      <c r="AE29" s="1" t="s">
        <v>23</v>
      </c>
    </row>
    <row r="30" spans="2:31" ht="12" x14ac:dyDescent="0.2">
      <c r="B30" s="45" t="s">
        <v>10</v>
      </c>
      <c r="C30" s="134"/>
      <c r="D30" s="168">
        <f>2669+1543</f>
        <v>4212</v>
      </c>
      <c r="E30" s="7"/>
      <c r="F30" s="99">
        <f>2575+1519</f>
        <v>4094</v>
      </c>
      <c r="G30" s="261"/>
      <c r="H30" s="408">
        <f>1414+2481</f>
        <v>3895</v>
      </c>
      <c r="I30" s="231"/>
      <c r="J30" s="244">
        <f>1292+2168</f>
        <v>3460</v>
      </c>
      <c r="K30" s="261"/>
      <c r="L30" s="244">
        <f>2125+1150</f>
        <v>3275</v>
      </c>
      <c r="M30" s="261"/>
      <c r="N30" s="408">
        <v>2726</v>
      </c>
      <c r="O30" s="231"/>
      <c r="P30" s="408">
        <v>2642</v>
      </c>
      <c r="Q30" s="231"/>
      <c r="R30" s="408">
        <v>2623</v>
      </c>
      <c r="S30" s="231"/>
      <c r="T30" s="408">
        <v>3364</v>
      </c>
      <c r="U30" s="231"/>
      <c r="V30" s="408">
        <v>3179</v>
      </c>
      <c r="W30" s="231"/>
      <c r="X30" s="408">
        <v>3202</v>
      </c>
      <c r="Y30" s="231"/>
      <c r="Z30" s="1432"/>
      <c r="AA30" s="657"/>
      <c r="AB30" s="7"/>
      <c r="AC30" s="752">
        <f t="shared" ref="AC30:AC33" si="4">AVERAGE(X30,V30,T30,R30,P30)</f>
        <v>3002</v>
      </c>
    </row>
    <row r="31" spans="2:31" ht="12" x14ac:dyDescent="0.2">
      <c r="B31" s="45" t="s">
        <v>11</v>
      </c>
      <c r="C31" s="134"/>
      <c r="D31" s="168">
        <v>164</v>
      </c>
      <c r="E31" s="7"/>
      <c r="F31" s="99">
        <v>174</v>
      </c>
      <c r="G31" s="261"/>
      <c r="H31" s="408">
        <v>186</v>
      </c>
      <c r="I31" s="231"/>
      <c r="J31" s="244">
        <v>125</v>
      </c>
      <c r="K31" s="261"/>
      <c r="L31" s="244">
        <v>116</v>
      </c>
      <c r="M31" s="261"/>
      <c r="N31" s="408">
        <v>106</v>
      </c>
      <c r="O31" s="231"/>
      <c r="P31" s="408">
        <v>169</v>
      </c>
      <c r="Q31" s="231"/>
      <c r="R31" s="408">
        <v>151</v>
      </c>
      <c r="S31" s="231"/>
      <c r="T31" s="408">
        <v>174</v>
      </c>
      <c r="U31" s="231"/>
      <c r="V31" s="408">
        <v>193</v>
      </c>
      <c r="W31" s="231"/>
      <c r="X31" s="408">
        <v>235</v>
      </c>
      <c r="Y31" s="231"/>
      <c r="Z31" s="1432"/>
      <c r="AA31" s="657"/>
      <c r="AB31" s="748"/>
      <c r="AC31" s="752">
        <f t="shared" si="4"/>
        <v>184.4</v>
      </c>
    </row>
    <row r="32" spans="2:31" ht="12" x14ac:dyDescent="0.2">
      <c r="B32" s="45" t="s">
        <v>12</v>
      </c>
      <c r="C32" s="134"/>
      <c r="D32" s="136">
        <v>116</v>
      </c>
      <c r="E32" s="7"/>
      <c r="F32" s="12">
        <v>99</v>
      </c>
      <c r="G32" s="261"/>
      <c r="H32" s="217">
        <v>82</v>
      </c>
      <c r="I32" s="231"/>
      <c r="J32" s="105">
        <v>144</v>
      </c>
      <c r="K32" s="261"/>
      <c r="L32" s="105">
        <v>126</v>
      </c>
      <c r="M32" s="261"/>
      <c r="N32" s="217">
        <v>69</v>
      </c>
      <c r="O32" s="231"/>
      <c r="P32" s="217">
        <v>91</v>
      </c>
      <c r="Q32" s="231"/>
      <c r="R32" s="217">
        <v>99</v>
      </c>
      <c r="S32" s="231"/>
      <c r="T32" s="217">
        <v>105</v>
      </c>
      <c r="U32" s="231"/>
      <c r="V32" s="217">
        <v>148</v>
      </c>
      <c r="W32" s="231"/>
      <c r="X32" s="217">
        <v>115</v>
      </c>
      <c r="Y32" s="231"/>
      <c r="Z32" s="1433"/>
      <c r="AB32" s="748"/>
      <c r="AC32" s="752">
        <f t="shared" si="4"/>
        <v>111.6</v>
      </c>
    </row>
    <row r="33" spans="1:29" thickBot="1" x14ac:dyDescent="0.25">
      <c r="B33" s="46" t="s">
        <v>13</v>
      </c>
      <c r="C33" s="137"/>
      <c r="D33" s="178">
        <f>SUM(D29:D32)</f>
        <v>6004</v>
      </c>
      <c r="E33" s="59"/>
      <c r="F33" s="60">
        <f>SUM(F29:F32)</f>
        <v>6746</v>
      </c>
      <c r="G33" s="262"/>
      <c r="H33" s="432">
        <f>SUM(H29:H32)</f>
        <v>6722</v>
      </c>
      <c r="I33" s="404"/>
      <c r="J33" s="473">
        <f>SUM(J29:J32)</f>
        <v>6224</v>
      </c>
      <c r="K33" s="262"/>
      <c r="L33" s="473">
        <f>SUM(L29:L32)</f>
        <v>6033</v>
      </c>
      <c r="M33" s="262"/>
      <c r="N33" s="432">
        <v>5604</v>
      </c>
      <c r="O33" s="404"/>
      <c r="P33" s="432">
        <f>SUM(P29:P32)</f>
        <v>5750</v>
      </c>
      <c r="Q33" s="404"/>
      <c r="R33" s="432">
        <f>SUM(R29:R32)</f>
        <v>6428</v>
      </c>
      <c r="S33" s="404"/>
      <c r="T33" s="432">
        <f>SUM(T29:T32)</f>
        <v>7132</v>
      </c>
      <c r="U33" s="404"/>
      <c r="V33" s="432">
        <f>SUM(V29:V32)</f>
        <v>6135</v>
      </c>
      <c r="W33" s="404"/>
      <c r="X33" s="432">
        <f>SUM(X29:X32)</f>
        <v>6066</v>
      </c>
      <c r="Y33" s="404"/>
      <c r="Z33" s="1434">
        <f>SUM(Z29:Z32)</f>
        <v>0</v>
      </c>
      <c r="AB33" s="659"/>
      <c r="AC33" s="859">
        <f t="shared" si="4"/>
        <v>6302.2</v>
      </c>
    </row>
    <row r="34" spans="1:29" ht="14.25" thickTop="1" thickBot="1" x14ac:dyDescent="0.25">
      <c r="A34" s="652"/>
      <c r="B34" s="727" t="s">
        <v>150</v>
      </c>
      <c r="C34" s="1477" t="s">
        <v>35</v>
      </c>
      <c r="D34" s="1478"/>
      <c r="E34" s="1477" t="s">
        <v>36</v>
      </c>
      <c r="F34" s="1478"/>
      <c r="G34" s="1479" t="s">
        <v>122</v>
      </c>
      <c r="H34" s="1480"/>
      <c r="I34" s="1479" t="s">
        <v>123</v>
      </c>
      <c r="J34" s="1481"/>
      <c r="K34" s="1479" t="s">
        <v>148</v>
      </c>
      <c r="L34" s="1481"/>
      <c r="M34" s="1488" t="s">
        <v>149</v>
      </c>
      <c r="N34" s="1480"/>
      <c r="O34" s="1483" t="s">
        <v>175</v>
      </c>
      <c r="P34" s="1480"/>
      <c r="Q34" s="1483" t="s">
        <v>194</v>
      </c>
      <c r="R34" s="1549"/>
      <c r="S34" s="1483" t="s">
        <v>219</v>
      </c>
      <c r="T34" s="1549"/>
      <c r="U34" s="1483" t="s">
        <v>222</v>
      </c>
      <c r="V34" s="1549"/>
      <c r="W34" s="1483" t="s">
        <v>233</v>
      </c>
      <c r="X34" s="1549"/>
      <c r="Y34" s="1483" t="s">
        <v>242</v>
      </c>
      <c r="Z34" s="1550"/>
      <c r="AA34" s="652"/>
      <c r="AB34" s="693"/>
      <c r="AC34" s="694"/>
    </row>
    <row r="35" spans="1:29" x14ac:dyDescent="0.2">
      <c r="A35" s="652"/>
      <c r="B35" s="719" t="s">
        <v>135</v>
      </c>
      <c r="C35" s="1463">
        <v>0.76700000000000002</v>
      </c>
      <c r="D35" s="1464"/>
      <c r="E35" s="1465">
        <v>0.68400000000000005</v>
      </c>
      <c r="F35" s="1466"/>
      <c r="G35" s="1465">
        <v>0.67300000000000004</v>
      </c>
      <c r="H35" s="1466"/>
      <c r="I35" s="1465">
        <v>0.66500000000000004</v>
      </c>
      <c r="J35" s="1467"/>
      <c r="K35" s="696"/>
      <c r="L35" s="697">
        <v>0.60599999999999998</v>
      </c>
      <c r="M35" s="698"/>
      <c r="N35" s="997">
        <v>0.57499999999999996</v>
      </c>
      <c r="O35" s="995"/>
      <c r="P35" s="997">
        <v>0.36299999999999999</v>
      </c>
      <c r="Q35" s="1019"/>
      <c r="R35" s="997">
        <v>0.58599999999999997</v>
      </c>
      <c r="S35" s="1019"/>
      <c r="T35" s="997">
        <v>0.58899999999999997</v>
      </c>
      <c r="U35" s="1019"/>
      <c r="V35" s="997">
        <v>0.622</v>
      </c>
      <c r="W35" s="1019"/>
      <c r="X35" s="997">
        <v>0.64800000000000002</v>
      </c>
      <c r="Y35" s="1019"/>
      <c r="Z35" s="1241">
        <v>0.66400000000000003</v>
      </c>
      <c r="AA35" s="699"/>
      <c r="AB35" s="848"/>
      <c r="AC35" s="743"/>
    </row>
    <row r="36" spans="1:29" x14ac:dyDescent="0.2">
      <c r="A36" s="652"/>
      <c r="B36" s="726" t="s">
        <v>136</v>
      </c>
      <c r="C36" s="1470">
        <v>2.5999999999999999E-2</v>
      </c>
      <c r="D36" s="1471"/>
      <c r="E36" s="1472">
        <v>2.7E-2</v>
      </c>
      <c r="F36" s="1473"/>
      <c r="G36" s="1472">
        <v>2.5000000000000001E-2</v>
      </c>
      <c r="H36" s="1473"/>
      <c r="I36" s="1472">
        <v>2.3E-2</v>
      </c>
      <c r="J36" s="1474"/>
      <c r="K36" s="701"/>
      <c r="L36" s="702">
        <v>0.03</v>
      </c>
      <c r="M36" s="701"/>
      <c r="N36" s="998">
        <v>1.7999999999999999E-2</v>
      </c>
      <c r="O36" s="996"/>
      <c r="P36" s="998">
        <v>2.4E-2</v>
      </c>
      <c r="Q36" s="1020"/>
      <c r="R36" s="998">
        <v>2.5999999999999999E-2</v>
      </c>
      <c r="S36" s="1020"/>
      <c r="T36" s="998">
        <v>3.2000000000000001E-2</v>
      </c>
      <c r="U36" s="1020"/>
      <c r="V36" s="998">
        <v>3.9E-2</v>
      </c>
      <c r="W36" s="1020"/>
      <c r="X36" s="998">
        <v>2.9000000000000001E-2</v>
      </c>
      <c r="Y36" s="1020"/>
      <c r="Z36" s="1242">
        <v>2.4E-2</v>
      </c>
      <c r="AA36" s="699"/>
      <c r="AB36" s="848"/>
      <c r="AC36" s="743"/>
    </row>
    <row r="37" spans="1:29" ht="13.5" customHeight="1" thickBot="1" x14ac:dyDescent="0.25">
      <c r="B37" s="703" t="s">
        <v>137</v>
      </c>
      <c r="C37" s="1468">
        <f>1-SUM(C35:D36)</f>
        <v>0.20699999999999996</v>
      </c>
      <c r="D37" s="1469"/>
      <c r="E37" s="1468">
        <f>1-SUM(E35:F36)</f>
        <v>0.28899999999999992</v>
      </c>
      <c r="F37" s="1469"/>
      <c r="G37" s="1468">
        <f>1-SUM(G35:H36)</f>
        <v>0.30199999999999994</v>
      </c>
      <c r="H37" s="1469"/>
      <c r="I37" s="1468">
        <f>1-SUM(I35:J36)</f>
        <v>0.31199999999999994</v>
      </c>
      <c r="J37" s="1469"/>
      <c r="K37" s="1468">
        <f>1-SUM(K35:L36)</f>
        <v>0.36399999999999999</v>
      </c>
      <c r="L37" s="1469"/>
      <c r="M37" s="1468">
        <f>1-SUM(M35:N36)</f>
        <v>0.40700000000000003</v>
      </c>
      <c r="N37" s="1469"/>
      <c r="O37" s="1514">
        <f>1-P35-P36</f>
        <v>0.61299999999999999</v>
      </c>
      <c r="P37" s="1469"/>
      <c r="Q37" s="1490">
        <f>1-R35-R36</f>
        <v>0.38800000000000001</v>
      </c>
      <c r="R37" s="1491"/>
      <c r="S37" s="1490">
        <f>1-T35-T36</f>
        <v>0.379</v>
      </c>
      <c r="T37" s="1491"/>
      <c r="U37" s="1490">
        <f>1-V35-V36</f>
        <v>0.33900000000000002</v>
      </c>
      <c r="V37" s="1491"/>
      <c r="W37" s="1490">
        <f>1-X35-X36</f>
        <v>0.32299999999999995</v>
      </c>
      <c r="X37" s="1491"/>
      <c r="Y37" s="1490">
        <f>1-Z35-Z36</f>
        <v>0.31199999999999994</v>
      </c>
      <c r="Z37" s="1491"/>
      <c r="AA37" s="699"/>
      <c r="AB37" s="1515"/>
      <c r="AC37" s="1516"/>
    </row>
    <row r="38" spans="1:29" ht="6" customHeight="1" thickTop="1" x14ac:dyDescent="0.2">
      <c r="B38" s="65"/>
      <c r="C38" s="68"/>
      <c r="D38" s="67"/>
      <c r="E38" s="68"/>
      <c r="F38" s="67"/>
      <c r="G38" s="233"/>
      <c r="H38" s="234"/>
      <c r="I38" s="233"/>
      <c r="J38" s="234"/>
      <c r="K38" s="233"/>
      <c r="L38" s="234"/>
      <c r="M38" s="233"/>
      <c r="N38" s="234"/>
      <c r="O38" s="233"/>
      <c r="P38" s="234"/>
      <c r="Q38" s="233"/>
      <c r="R38" s="234"/>
      <c r="S38" s="233"/>
      <c r="T38" s="234"/>
      <c r="U38" s="233"/>
      <c r="V38" s="234"/>
      <c r="W38" s="233"/>
      <c r="X38" s="234"/>
      <c r="Y38" s="233"/>
      <c r="Z38" s="234"/>
    </row>
    <row r="39" spans="1:29" x14ac:dyDescent="0.2">
      <c r="A39" s="3" t="s">
        <v>56</v>
      </c>
      <c r="B39" s="61"/>
      <c r="C39" s="24"/>
      <c r="D39" s="24"/>
      <c r="E39" s="24"/>
      <c r="F39" s="24"/>
      <c r="G39" s="235"/>
      <c r="H39" s="235"/>
      <c r="I39" s="235"/>
      <c r="J39" s="235"/>
      <c r="K39" s="235"/>
      <c r="L39" s="235"/>
      <c r="M39" s="235"/>
      <c r="N39" s="235"/>
      <c r="O39" s="235"/>
      <c r="P39" s="235"/>
      <c r="Q39" s="235"/>
      <c r="R39" s="235"/>
      <c r="S39" s="235"/>
      <c r="T39" s="235"/>
      <c r="U39" s="235"/>
      <c r="V39" s="235"/>
      <c r="W39" s="235"/>
      <c r="X39" s="235"/>
      <c r="Y39" s="235"/>
      <c r="Z39" s="235"/>
    </row>
    <row r="40" spans="1:29" ht="5.25" customHeight="1" thickBot="1" x14ac:dyDescent="0.25">
      <c r="A40" s="3"/>
      <c r="B40" s="70"/>
      <c r="C40" s="71"/>
      <c r="D40" s="71"/>
      <c r="E40" s="71"/>
      <c r="F40" s="71"/>
      <c r="G40" s="252"/>
      <c r="H40" s="252"/>
      <c r="I40" s="252"/>
      <c r="J40" s="252"/>
      <c r="K40" s="252"/>
      <c r="L40" s="252"/>
      <c r="M40" s="252"/>
      <c r="N40" s="252"/>
      <c r="O40" s="252"/>
      <c r="P40" s="252"/>
      <c r="Q40" s="252"/>
      <c r="R40" s="252"/>
      <c r="S40" s="252"/>
      <c r="T40" s="252"/>
      <c r="U40" s="252"/>
      <c r="V40" s="252"/>
      <c r="W40" s="252"/>
      <c r="X40" s="252"/>
      <c r="Y40" s="252"/>
      <c r="Z40" s="252"/>
      <c r="AB40" s="71"/>
      <c r="AC40" s="71"/>
    </row>
    <row r="41" spans="1:29" ht="14.25" thickTop="1" thickBot="1" x14ac:dyDescent="0.25">
      <c r="A41" s="3"/>
      <c r="B41" s="1152" t="s">
        <v>57</v>
      </c>
      <c r="C41" s="1498" t="s">
        <v>33</v>
      </c>
      <c r="D41" s="1499"/>
      <c r="E41" s="1501" t="s">
        <v>34</v>
      </c>
      <c r="F41" s="1501"/>
      <c r="G41" s="1500" t="s">
        <v>106</v>
      </c>
      <c r="H41" s="1495"/>
      <c r="I41" s="1494" t="s">
        <v>118</v>
      </c>
      <c r="J41" s="1494"/>
      <c r="K41" s="1500" t="s">
        <v>121</v>
      </c>
      <c r="L41" s="1494"/>
      <c r="M41" s="1500" t="s">
        <v>127</v>
      </c>
      <c r="N41" s="1495"/>
      <c r="O41" s="1494" t="s">
        <v>174</v>
      </c>
      <c r="P41" s="1495"/>
      <c r="Q41" s="1494" t="s">
        <v>193</v>
      </c>
      <c r="R41" s="1495"/>
      <c r="S41" s="1494" t="s">
        <v>218</v>
      </c>
      <c r="T41" s="1495"/>
      <c r="U41" s="1494" t="s">
        <v>221</v>
      </c>
      <c r="V41" s="1495"/>
      <c r="W41" s="1494" t="s">
        <v>232</v>
      </c>
      <c r="X41" s="1495"/>
      <c r="Y41" s="1494" t="s">
        <v>241</v>
      </c>
      <c r="Z41" s="1508"/>
      <c r="AA41" s="657"/>
      <c r="AB41" s="1529" t="s">
        <v>134</v>
      </c>
      <c r="AC41" s="1530"/>
    </row>
    <row r="42" spans="1:29" x14ac:dyDescent="0.2">
      <c r="A42" s="3"/>
      <c r="B42" s="1153" t="s">
        <v>58</v>
      </c>
      <c r="C42" s="134"/>
      <c r="D42" s="135"/>
      <c r="E42" s="7"/>
      <c r="F42" s="7"/>
      <c r="G42" s="261"/>
      <c r="H42" s="389"/>
      <c r="I42" s="231"/>
      <c r="J42" s="231"/>
      <c r="K42" s="261"/>
      <c r="L42" s="231"/>
      <c r="M42" s="261"/>
      <c r="N42" s="389"/>
      <c r="O42" s="231"/>
      <c r="P42" s="389"/>
      <c r="Q42" s="231"/>
      <c r="R42" s="389"/>
      <c r="S42" s="231"/>
      <c r="T42" s="389"/>
      <c r="U42" s="231"/>
      <c r="V42" s="389"/>
      <c r="W42" s="231"/>
      <c r="X42" s="389"/>
      <c r="Y42" s="231"/>
      <c r="Z42" s="104"/>
      <c r="AA42" s="657"/>
      <c r="AB42" s="744"/>
      <c r="AC42" s="745"/>
    </row>
    <row r="43" spans="1:29" x14ac:dyDescent="0.2">
      <c r="A43" s="3"/>
      <c r="B43" s="1044" t="s">
        <v>59</v>
      </c>
      <c r="C43" s="132"/>
      <c r="D43" s="139">
        <v>1143096</v>
      </c>
      <c r="E43" s="16"/>
      <c r="F43" s="153">
        <v>1215922</v>
      </c>
      <c r="G43" s="260"/>
      <c r="H43" s="219">
        <v>1254038</v>
      </c>
      <c r="I43" s="463"/>
      <c r="J43" s="787">
        <v>1329581</v>
      </c>
      <c r="K43" s="463"/>
      <c r="L43" s="787">
        <v>1348989</v>
      </c>
      <c r="M43" s="463"/>
      <c r="N43" s="1069">
        <v>1520349</v>
      </c>
      <c r="O43" s="1068"/>
      <c r="P43" s="1069">
        <v>1485186</v>
      </c>
      <c r="Q43" s="1068"/>
      <c r="R43" s="1069">
        <v>1528938</v>
      </c>
      <c r="S43" s="1068"/>
      <c r="T43" s="1069">
        <v>1676535</v>
      </c>
      <c r="U43" s="1068"/>
      <c r="V43" s="1069">
        <v>1728674</v>
      </c>
      <c r="W43" s="1068"/>
      <c r="X43" s="1069">
        <v>1748711</v>
      </c>
      <c r="Y43" s="1068"/>
      <c r="Z43" s="1354">
        <v>1706983</v>
      </c>
      <c r="AA43" s="657"/>
      <c r="AB43" s="7"/>
      <c r="AC43" s="746">
        <f t="shared" ref="AC43:AC52" si="5">AVERAGE(X43,V43,T43,R43,P43)</f>
        <v>1633608.8</v>
      </c>
    </row>
    <row r="44" spans="1:29" x14ac:dyDescent="0.2">
      <c r="A44" s="3"/>
      <c r="B44" s="1044" t="s">
        <v>196</v>
      </c>
      <c r="C44" s="132"/>
      <c r="D44" s="139"/>
      <c r="E44" s="16"/>
      <c r="F44" s="153"/>
      <c r="G44" s="260"/>
      <c r="H44" s="219"/>
      <c r="I44" s="1068"/>
      <c r="J44" s="787"/>
      <c r="K44" s="463"/>
      <c r="L44" s="787"/>
      <c r="M44" s="463"/>
      <c r="N44" s="1069"/>
      <c r="O44" s="1068"/>
      <c r="P44" s="1069"/>
      <c r="Q44" s="1068"/>
      <c r="R44" s="1069"/>
      <c r="S44" s="1068"/>
      <c r="T44" s="1069"/>
      <c r="U44" s="1068"/>
      <c r="V44" s="1069"/>
      <c r="W44" s="1068"/>
      <c r="X44" s="1069"/>
      <c r="Y44" s="1068"/>
      <c r="Z44" s="1354"/>
      <c r="AA44" s="657"/>
      <c r="AB44" s="7"/>
      <c r="AC44" s="746"/>
    </row>
    <row r="45" spans="1:29" ht="37.5" customHeight="1" x14ac:dyDescent="0.2">
      <c r="A45" s="3"/>
      <c r="B45" s="1045" t="s">
        <v>198</v>
      </c>
      <c r="C45" s="134"/>
      <c r="D45" s="180">
        <v>1850</v>
      </c>
      <c r="E45" s="7"/>
      <c r="F45" s="187">
        <v>1850</v>
      </c>
      <c r="G45" s="261"/>
      <c r="H45" s="433">
        <v>1850</v>
      </c>
      <c r="I45" s="231"/>
      <c r="J45" s="313">
        <v>1850</v>
      </c>
      <c r="K45" s="261"/>
      <c r="L45" s="313">
        <v>1850</v>
      </c>
      <c r="M45" s="261"/>
      <c r="N45" s="433">
        <v>1850</v>
      </c>
      <c r="O45" s="231"/>
      <c r="P45" s="433">
        <v>1850</v>
      </c>
      <c r="Q45" s="231"/>
      <c r="R45" s="433">
        <v>1850</v>
      </c>
      <c r="S45" s="231"/>
      <c r="T45" s="433">
        <v>1850</v>
      </c>
      <c r="U45" s="231"/>
      <c r="V45" s="433">
        <v>97874</v>
      </c>
      <c r="W45" s="231"/>
      <c r="X45" s="433">
        <v>97537</v>
      </c>
      <c r="Y45" s="231"/>
      <c r="Z45" s="1347">
        <v>101931</v>
      </c>
      <c r="AA45" s="657"/>
      <c r="AB45" s="748"/>
      <c r="AC45" s="746">
        <f t="shared" si="5"/>
        <v>40192.199999999997</v>
      </c>
    </row>
    <row r="46" spans="1:29" x14ac:dyDescent="0.2">
      <c r="A46" s="3"/>
      <c r="B46" s="1046" t="s">
        <v>60</v>
      </c>
      <c r="C46" s="141"/>
      <c r="D46" s="181">
        <f>SUM(D43:D45)</f>
        <v>1144946</v>
      </c>
      <c r="E46" s="59"/>
      <c r="F46" s="188">
        <f>SUM(F43:F45)</f>
        <v>1217772</v>
      </c>
      <c r="G46" s="264"/>
      <c r="H46" s="434">
        <f>SUM(H43:H45)</f>
        <v>1255888</v>
      </c>
      <c r="I46" s="388"/>
      <c r="J46" s="474">
        <f>SUM(J43:J45)</f>
        <v>1331431</v>
      </c>
      <c r="K46" s="264"/>
      <c r="L46" s="474">
        <f>SUM(L43:L45)</f>
        <v>1350839</v>
      </c>
      <c r="M46" s="264"/>
      <c r="N46" s="434">
        <f>SUM(N43:N45)</f>
        <v>1522199</v>
      </c>
      <c r="O46" s="388"/>
      <c r="P46" s="434">
        <f>SUM(P43:P45)</f>
        <v>1487036</v>
      </c>
      <c r="Q46" s="388"/>
      <c r="R46" s="434">
        <f>SUM(R43:R45)</f>
        <v>1530788</v>
      </c>
      <c r="S46" s="388"/>
      <c r="T46" s="434">
        <f>SUM(T43:T45)</f>
        <v>1678385</v>
      </c>
      <c r="U46" s="388"/>
      <c r="V46" s="434">
        <f>SUM(V43:V45)</f>
        <v>1826548</v>
      </c>
      <c r="W46" s="388"/>
      <c r="X46" s="434">
        <f>SUM(X43:X45)</f>
        <v>1846248</v>
      </c>
      <c r="Y46" s="388"/>
      <c r="Z46" s="1348">
        <f>SUM(Z43:Z45)</f>
        <v>1808914</v>
      </c>
      <c r="AA46" s="657"/>
      <c r="AB46" s="16"/>
      <c r="AC46" s="804">
        <f t="shared" si="5"/>
        <v>1673801</v>
      </c>
    </row>
    <row r="47" spans="1:29" x14ac:dyDescent="0.2">
      <c r="A47" s="3"/>
      <c r="B47" s="1043" t="s">
        <v>61</v>
      </c>
      <c r="C47" s="134"/>
      <c r="D47" s="180"/>
      <c r="E47" s="7"/>
      <c r="F47" s="187"/>
      <c r="G47" s="261"/>
      <c r="H47" s="433"/>
      <c r="I47" s="231"/>
      <c r="J47" s="313"/>
      <c r="K47" s="261"/>
      <c r="L47" s="313"/>
      <c r="M47" s="261"/>
      <c r="N47" s="433"/>
      <c r="O47" s="231"/>
      <c r="P47" s="433"/>
      <c r="Q47" s="231"/>
      <c r="R47" s="433"/>
      <c r="S47" s="231"/>
      <c r="T47" s="433"/>
      <c r="U47" s="231"/>
      <c r="V47" s="433"/>
      <c r="W47" s="231"/>
      <c r="X47" s="433"/>
      <c r="Y47" s="231"/>
      <c r="Z47" s="1347"/>
      <c r="AA47" s="657"/>
      <c r="AB47" s="7"/>
      <c r="AC47" s="746"/>
    </row>
    <row r="48" spans="1:29" x14ac:dyDescent="0.2">
      <c r="A48" s="3"/>
      <c r="B48" s="1044" t="s">
        <v>59</v>
      </c>
      <c r="C48" s="134"/>
      <c r="D48" s="180">
        <v>2196278</v>
      </c>
      <c r="E48" s="7"/>
      <c r="F48" s="187">
        <v>2202775</v>
      </c>
      <c r="G48" s="261"/>
      <c r="H48" s="433">
        <v>2255328</v>
      </c>
      <c r="I48" s="231"/>
      <c r="J48" s="313">
        <v>2302256</v>
      </c>
      <c r="K48" s="261"/>
      <c r="L48" s="313">
        <v>2444008</v>
      </c>
      <c r="M48" s="261"/>
      <c r="N48" s="433">
        <v>2636364</v>
      </c>
      <c r="O48" s="231"/>
      <c r="P48" s="433">
        <v>2507492</v>
      </c>
      <c r="Q48" s="231"/>
      <c r="R48" s="433">
        <v>2646550</v>
      </c>
      <c r="S48" s="231"/>
      <c r="T48" s="433">
        <v>2682047</v>
      </c>
      <c r="U48" s="231"/>
      <c r="V48" s="433">
        <v>2766076</v>
      </c>
      <c r="W48" s="231"/>
      <c r="X48" s="433">
        <v>2786105</v>
      </c>
      <c r="Y48" s="231"/>
      <c r="Z48" s="1347">
        <v>2874986</v>
      </c>
      <c r="AA48" s="657"/>
      <c r="AB48" s="748"/>
      <c r="AC48" s="746">
        <f t="shared" si="5"/>
        <v>2677654</v>
      </c>
    </row>
    <row r="49" spans="1:29" x14ac:dyDescent="0.2">
      <c r="A49" s="3"/>
      <c r="B49" s="1044" t="s">
        <v>196</v>
      </c>
      <c r="C49" s="134"/>
      <c r="D49" s="180"/>
      <c r="E49" s="7"/>
      <c r="F49" s="187"/>
      <c r="G49" s="261"/>
      <c r="H49" s="433"/>
      <c r="I49" s="231"/>
      <c r="J49" s="313"/>
      <c r="K49" s="261"/>
      <c r="L49" s="313"/>
      <c r="M49" s="261"/>
      <c r="N49" s="433"/>
      <c r="O49" s="231"/>
      <c r="P49" s="433"/>
      <c r="Q49" s="231"/>
      <c r="R49" s="433"/>
      <c r="S49" s="231"/>
      <c r="T49" s="433"/>
      <c r="U49" s="231"/>
      <c r="V49" s="433"/>
      <c r="W49" s="231"/>
      <c r="X49" s="433"/>
      <c r="Y49" s="231"/>
      <c r="Z49" s="1347"/>
      <c r="AA49" s="657"/>
      <c r="AB49" s="24"/>
      <c r="AC49" s="746"/>
    </row>
    <row r="50" spans="1:29" ht="24" x14ac:dyDescent="0.2">
      <c r="A50" s="3"/>
      <c r="B50" s="1045" t="s">
        <v>198</v>
      </c>
      <c r="C50" s="134"/>
      <c r="D50" s="180">
        <v>995569</v>
      </c>
      <c r="E50" s="7"/>
      <c r="F50" s="187">
        <v>1030772</v>
      </c>
      <c r="G50" s="261"/>
      <c r="H50" s="433">
        <v>935538</v>
      </c>
      <c r="I50" s="231"/>
      <c r="J50" s="313">
        <v>947956</v>
      </c>
      <c r="K50" s="261"/>
      <c r="L50" s="313">
        <v>968864</v>
      </c>
      <c r="M50" s="261"/>
      <c r="N50" s="433">
        <v>413510</v>
      </c>
      <c r="O50" s="231"/>
      <c r="P50" s="433">
        <v>445330</v>
      </c>
      <c r="Q50" s="231"/>
      <c r="R50" s="433">
        <v>430001</v>
      </c>
      <c r="S50" s="231"/>
      <c r="T50" s="433">
        <v>413574</v>
      </c>
      <c r="U50" s="231"/>
      <c r="V50" s="433">
        <v>462310</v>
      </c>
      <c r="W50" s="231"/>
      <c r="X50" s="433">
        <v>462251</v>
      </c>
      <c r="Y50" s="231"/>
      <c r="Z50" s="1347">
        <v>394801</v>
      </c>
      <c r="AA50" s="657"/>
      <c r="AB50" s="748"/>
      <c r="AC50" s="746">
        <f t="shared" si="5"/>
        <v>442693.2</v>
      </c>
    </row>
    <row r="51" spans="1:29" x14ac:dyDescent="0.2">
      <c r="A51" s="3"/>
      <c r="B51" s="1046" t="s">
        <v>62</v>
      </c>
      <c r="C51" s="141"/>
      <c r="D51" s="181">
        <f>SUM(D48:D50)</f>
        <v>3191847</v>
      </c>
      <c r="E51" s="59"/>
      <c r="F51" s="188">
        <f>SUM(F48:F50)</f>
        <v>3233547</v>
      </c>
      <c r="G51" s="264"/>
      <c r="H51" s="434">
        <f>SUM(H48:H50)</f>
        <v>3190866</v>
      </c>
      <c r="I51" s="388"/>
      <c r="J51" s="474">
        <f>SUM(J48:J50)</f>
        <v>3250212</v>
      </c>
      <c r="K51" s="264"/>
      <c r="L51" s="474">
        <f>SUM(L48:L50)</f>
        <v>3412872</v>
      </c>
      <c r="M51" s="264"/>
      <c r="N51" s="434">
        <f>SUM(N48:N50)</f>
        <v>3049874</v>
      </c>
      <c r="O51" s="388"/>
      <c r="P51" s="434">
        <f>SUM(P48:P50)</f>
        <v>2952822</v>
      </c>
      <c r="Q51" s="388"/>
      <c r="R51" s="434">
        <f>SUM(R48:R50)</f>
        <v>3076551</v>
      </c>
      <c r="S51" s="388"/>
      <c r="T51" s="434">
        <f>SUM(T48:T50)</f>
        <v>3095621</v>
      </c>
      <c r="U51" s="388"/>
      <c r="V51" s="434">
        <f>SUM(V48:V50)</f>
        <v>3228386</v>
      </c>
      <c r="W51" s="388"/>
      <c r="X51" s="434">
        <f>SUM(X48:X50)</f>
        <v>3248356</v>
      </c>
      <c r="Y51" s="388"/>
      <c r="Z51" s="1348">
        <f>SUM(Z48:Z50)</f>
        <v>3269787</v>
      </c>
      <c r="AA51" s="657"/>
      <c r="AB51" s="748"/>
      <c r="AC51" s="804">
        <f t="shared" si="5"/>
        <v>3120347.2</v>
      </c>
    </row>
    <row r="52" spans="1:29" ht="13.5" thickBot="1" x14ac:dyDescent="0.25">
      <c r="A52" s="3"/>
      <c r="B52" s="1070" t="s">
        <v>63</v>
      </c>
      <c r="C52" s="134"/>
      <c r="D52" s="181">
        <f>SUM(D46,D51)</f>
        <v>4336793</v>
      </c>
      <c r="E52" s="7"/>
      <c r="F52" s="188">
        <f>SUM(F46,F51)</f>
        <v>4451319</v>
      </c>
      <c r="G52" s="261"/>
      <c r="H52" s="434">
        <f>SUM(H46,H51)</f>
        <v>4446754</v>
      </c>
      <c r="I52" s="231"/>
      <c r="J52" s="474">
        <f>SUM(J46,J51)</f>
        <v>4581643</v>
      </c>
      <c r="K52" s="261"/>
      <c r="L52" s="474">
        <f>SUM(L46,L51)</f>
        <v>4763711</v>
      </c>
      <c r="M52" s="261"/>
      <c r="N52" s="434">
        <f>SUM(N46,N51)</f>
        <v>4572073</v>
      </c>
      <c r="O52" s="231"/>
      <c r="P52" s="434">
        <f>SUM(P46,P51)</f>
        <v>4439858</v>
      </c>
      <c r="Q52" s="231"/>
      <c r="R52" s="434">
        <f>SUM(R46,R51)</f>
        <v>4607339</v>
      </c>
      <c r="S52" s="231"/>
      <c r="T52" s="434">
        <f>SUM(T46,T51)</f>
        <v>4774006</v>
      </c>
      <c r="U52" s="231"/>
      <c r="V52" s="434">
        <f>SUM(V46,V51)</f>
        <v>5054934</v>
      </c>
      <c r="W52" s="231"/>
      <c r="X52" s="434">
        <f>SUM(X46,X51)</f>
        <v>5094604</v>
      </c>
      <c r="Y52" s="231"/>
      <c r="Z52" s="1348">
        <f>SUM(Z46,Z51)</f>
        <v>5078701</v>
      </c>
      <c r="AA52" s="657"/>
      <c r="AB52" s="665"/>
      <c r="AC52" s="1192">
        <f t="shared" si="5"/>
        <v>4794148.2</v>
      </c>
    </row>
    <row r="53" spans="1:29" ht="12" x14ac:dyDescent="0.2">
      <c r="B53" s="1048" t="s">
        <v>205</v>
      </c>
      <c r="C53" s="142"/>
      <c r="D53" s="143"/>
      <c r="E53" s="54"/>
      <c r="F53" s="54"/>
      <c r="G53" s="265"/>
      <c r="H53" s="435"/>
      <c r="I53" s="138"/>
      <c r="J53" s="138"/>
      <c r="K53" s="265"/>
      <c r="L53" s="138"/>
      <c r="M53" s="265"/>
      <c r="N53" s="435"/>
      <c r="O53" s="138"/>
      <c r="P53" s="435"/>
      <c r="Q53" s="138"/>
      <c r="R53" s="435"/>
      <c r="S53" s="138"/>
      <c r="T53" s="435"/>
      <c r="U53" s="138"/>
      <c r="V53" s="435"/>
      <c r="W53" s="138"/>
      <c r="X53" s="435"/>
      <c r="Y53" s="138"/>
      <c r="Z53" s="236"/>
      <c r="AA53" s="657"/>
      <c r="AB53" s="744"/>
      <c r="AC53" s="1011"/>
    </row>
    <row r="54" spans="1:29" x14ac:dyDescent="0.2">
      <c r="B54" s="45" t="s">
        <v>14</v>
      </c>
      <c r="C54" s="149"/>
      <c r="D54" s="182">
        <f>1192958+75288</f>
        <v>1268246</v>
      </c>
      <c r="E54" s="7"/>
      <c r="F54" s="327">
        <v>1274655</v>
      </c>
      <c r="G54" s="261"/>
      <c r="H54" s="454">
        <v>1338343</v>
      </c>
      <c r="I54" s="231"/>
      <c r="J54" s="788">
        <v>1334138.73</v>
      </c>
      <c r="K54" s="789"/>
      <c r="L54" s="788">
        <v>1454964</v>
      </c>
      <c r="M54" s="261"/>
      <c r="N54" s="1010">
        <v>1532141</v>
      </c>
      <c r="O54" s="231"/>
      <c r="P54" s="1094">
        <v>1525337</v>
      </c>
      <c r="Q54" s="327"/>
      <c r="R54" s="1342">
        <v>1606798</v>
      </c>
      <c r="S54" s="327"/>
      <c r="T54" s="1342">
        <v>1687182</v>
      </c>
      <c r="U54" s="327"/>
      <c r="V54" s="1342">
        <v>1993458</v>
      </c>
      <c r="W54" s="327"/>
      <c r="X54" s="1342">
        <v>1870873.94</v>
      </c>
      <c r="Y54" s="327"/>
      <c r="Z54" s="1341"/>
      <c r="AA54" s="657"/>
      <c r="AB54" s="748"/>
      <c r="AC54" s="854">
        <f>AVERAGE(X54,V54,T54,R54,P54)</f>
        <v>1736729.7879999999</v>
      </c>
    </row>
    <row r="55" spans="1:29" x14ac:dyDescent="0.2">
      <c r="B55" s="45" t="s">
        <v>15</v>
      </c>
      <c r="C55" s="147"/>
      <c r="D55" s="183">
        <f>1175523+228958+577656+181919</f>
        <v>2164056</v>
      </c>
      <c r="E55" s="13"/>
      <c r="F55" s="462">
        <f>1469991+724341</f>
        <v>2194332</v>
      </c>
      <c r="G55" s="296"/>
      <c r="H55" s="503">
        <v>2377613</v>
      </c>
      <c r="I55" s="421"/>
      <c r="J55" s="462">
        <f>1629630+760823</f>
        <v>2390453</v>
      </c>
      <c r="K55" s="556"/>
      <c r="L55" s="386">
        <f>7452+9497+220598+254942+1343801+732515+75293</f>
        <v>2644098</v>
      </c>
      <c r="M55" s="296"/>
      <c r="N55" s="1117">
        <f>0+1912270+833857</f>
        <v>2746127</v>
      </c>
      <c r="O55" s="421"/>
      <c r="P55" s="1268">
        <f>1767100+72004+757738+18653</f>
        <v>2615495</v>
      </c>
      <c r="Q55" s="327"/>
      <c r="R55" s="1268">
        <f>84585.02+1959515.64+58646.77+803749.58+18645.76</f>
        <v>2925142.7699999996</v>
      </c>
      <c r="S55" s="327"/>
      <c r="T55" s="1342">
        <f>106686.49+2080315.15+33903.72+834331.05+17592.44</f>
        <v>3072828.85</v>
      </c>
      <c r="U55" s="327"/>
      <c r="V55" s="1268">
        <v>2817529</v>
      </c>
      <c r="W55" s="327"/>
      <c r="X55" s="1268">
        <f>3259730.83+622252.26</f>
        <v>3881983.09</v>
      </c>
      <c r="Y55" s="327"/>
      <c r="Z55" s="1324"/>
      <c r="AA55" s="657"/>
      <c r="AB55" s="318"/>
      <c r="AC55" s="854">
        <f>AVERAGE(X55,V55,T55,R55,P55)</f>
        <v>3062595.7419999996</v>
      </c>
    </row>
    <row r="56" spans="1:29" thickBot="1" x14ac:dyDescent="0.25">
      <c r="B56" s="37" t="s">
        <v>32</v>
      </c>
      <c r="C56" s="144"/>
      <c r="D56" s="157"/>
      <c r="E56" s="19"/>
      <c r="F56" s="306"/>
      <c r="G56" s="266"/>
      <c r="H56" s="436"/>
      <c r="I56" s="422"/>
      <c r="J56" s="332"/>
      <c r="K56" s="266"/>
      <c r="L56" s="332"/>
      <c r="M56" s="266"/>
      <c r="N56" s="436"/>
      <c r="O56" s="422"/>
      <c r="P56" s="436"/>
      <c r="Q56" s="422"/>
      <c r="R56" s="436"/>
      <c r="S56" s="422"/>
      <c r="T56" s="436"/>
      <c r="U56" s="422"/>
      <c r="V56" s="436"/>
      <c r="W56" s="422"/>
      <c r="X56" s="436"/>
      <c r="Y56" s="422"/>
      <c r="Z56" s="237"/>
      <c r="AA56" s="657"/>
      <c r="AB56" s="849"/>
      <c r="AC56" s="850"/>
    </row>
    <row r="57" spans="1:29" ht="12" x14ac:dyDescent="0.2">
      <c r="B57" s="1071"/>
      <c r="C57" s="145" t="s">
        <v>97</v>
      </c>
      <c r="D57" s="146" t="s">
        <v>104</v>
      </c>
      <c r="E57" s="53" t="s">
        <v>97</v>
      </c>
      <c r="F57" s="155" t="s">
        <v>104</v>
      </c>
      <c r="G57" s="267" t="s">
        <v>97</v>
      </c>
      <c r="H57" s="437" t="s">
        <v>104</v>
      </c>
      <c r="I57" s="423" t="s">
        <v>97</v>
      </c>
      <c r="J57" s="475" t="s">
        <v>104</v>
      </c>
      <c r="K57" s="267" t="s">
        <v>97</v>
      </c>
      <c r="L57" s="475" t="s">
        <v>104</v>
      </c>
      <c r="M57" s="267" t="s">
        <v>97</v>
      </c>
      <c r="N57" s="437" t="s">
        <v>104</v>
      </c>
      <c r="O57" s="423" t="s">
        <v>97</v>
      </c>
      <c r="P57" s="437" t="s">
        <v>104</v>
      </c>
      <c r="Q57" s="423" t="s">
        <v>97</v>
      </c>
      <c r="R57" s="437" t="s">
        <v>104</v>
      </c>
      <c r="S57" s="423" t="s">
        <v>97</v>
      </c>
      <c r="T57" s="437" t="s">
        <v>104</v>
      </c>
      <c r="U57" s="423" t="s">
        <v>97</v>
      </c>
      <c r="V57" s="437" t="s">
        <v>104</v>
      </c>
      <c r="W57" s="423" t="s">
        <v>97</v>
      </c>
      <c r="X57" s="437" t="s">
        <v>104</v>
      </c>
      <c r="Y57" s="423" t="s">
        <v>97</v>
      </c>
      <c r="Z57" s="250" t="s">
        <v>104</v>
      </c>
      <c r="AA57" s="657"/>
      <c r="AB57" s="749" t="s">
        <v>97</v>
      </c>
      <c r="AC57" s="250" t="s">
        <v>104</v>
      </c>
    </row>
    <row r="58" spans="1:29" ht="11.45" customHeight="1" x14ac:dyDescent="0.2">
      <c r="B58" s="1072" t="s">
        <v>50</v>
      </c>
      <c r="C58" s="764">
        <v>35</v>
      </c>
      <c r="D58" s="597">
        <v>1163069</v>
      </c>
      <c r="E58" s="790">
        <v>16</v>
      </c>
      <c r="F58" s="598">
        <v>596629.15</v>
      </c>
      <c r="G58" s="768">
        <v>24</v>
      </c>
      <c r="H58" s="503">
        <v>818332</v>
      </c>
      <c r="I58" s="771">
        <v>11</v>
      </c>
      <c r="J58" s="643">
        <v>543960.4</v>
      </c>
      <c r="K58" s="771">
        <v>19</v>
      </c>
      <c r="L58" s="597">
        <v>745107</v>
      </c>
      <c r="M58" s="1093">
        <v>37</v>
      </c>
      <c r="N58" s="503">
        <v>2951160</v>
      </c>
      <c r="O58" s="1093">
        <v>24</v>
      </c>
      <c r="P58" s="503">
        <v>3289678</v>
      </c>
      <c r="Q58" s="1093">
        <v>42</v>
      </c>
      <c r="R58" s="503">
        <v>3055269</v>
      </c>
      <c r="S58" s="1093">
        <v>37</v>
      </c>
      <c r="T58" s="503">
        <v>2942028</v>
      </c>
      <c r="U58" s="1093">
        <v>33</v>
      </c>
      <c r="V58" s="503">
        <v>1487173</v>
      </c>
      <c r="W58" s="1093">
        <v>32</v>
      </c>
      <c r="X58" s="503">
        <v>2548113</v>
      </c>
      <c r="Y58" s="992"/>
      <c r="Z58" s="385"/>
      <c r="AA58" s="657"/>
      <c r="AB58" s="855">
        <f>AVERAGE(W58,U58,S58,Q58,O58)</f>
        <v>33.6</v>
      </c>
      <c r="AC58" s="854">
        <f>AVERAGE(X58,V58,T58,R58,P58)</f>
        <v>2664452.2000000002</v>
      </c>
    </row>
    <row r="59" spans="1:29" ht="11.45" customHeight="1" x14ac:dyDescent="0.2">
      <c r="B59" s="1072"/>
      <c r="C59" s="765"/>
      <c r="D59" s="148"/>
      <c r="E59" s="767"/>
      <c r="F59" s="156"/>
      <c r="G59" s="769"/>
      <c r="H59" s="644"/>
      <c r="I59" s="772"/>
      <c r="J59" s="564"/>
      <c r="K59" s="772"/>
      <c r="L59" s="565"/>
      <c r="M59" s="1095"/>
      <c r="N59" s="644"/>
      <c r="O59" s="1095"/>
      <c r="P59" s="644"/>
      <c r="Q59" s="1095"/>
      <c r="R59" s="644"/>
      <c r="S59" s="1095"/>
      <c r="T59" s="644"/>
      <c r="U59" s="1095"/>
      <c r="V59" s="644"/>
      <c r="W59" s="1095"/>
      <c r="X59" s="644"/>
      <c r="Y59" s="1029"/>
      <c r="Z59" s="251"/>
      <c r="AA59" s="657"/>
      <c r="AB59" s="855"/>
      <c r="AC59" s="854"/>
    </row>
    <row r="60" spans="1:29" thickBot="1" x14ac:dyDescent="0.25">
      <c r="B60" s="1073" t="s">
        <v>16</v>
      </c>
      <c r="C60" s="766">
        <v>20</v>
      </c>
      <c r="D60" s="157">
        <v>390158</v>
      </c>
      <c r="E60" s="751">
        <v>15</v>
      </c>
      <c r="F60" s="537">
        <v>325670.76</v>
      </c>
      <c r="G60" s="770">
        <v>14</v>
      </c>
      <c r="H60" s="632">
        <v>387539</v>
      </c>
      <c r="I60" s="773">
        <v>16</v>
      </c>
      <c r="J60" s="604">
        <v>633383</v>
      </c>
      <c r="K60" s="773">
        <v>20</v>
      </c>
      <c r="L60" s="575">
        <v>1046426</v>
      </c>
      <c r="M60" s="770">
        <v>24</v>
      </c>
      <c r="N60" s="632">
        <v>1082763</v>
      </c>
      <c r="O60" s="770">
        <v>15</v>
      </c>
      <c r="P60" s="632">
        <v>514216</v>
      </c>
      <c r="Q60" s="770">
        <v>15</v>
      </c>
      <c r="R60" s="632">
        <v>368293</v>
      </c>
      <c r="S60" s="770">
        <v>16</v>
      </c>
      <c r="T60" s="632">
        <v>755787</v>
      </c>
      <c r="U60" s="770">
        <v>22</v>
      </c>
      <c r="V60" s="632">
        <v>610161</v>
      </c>
      <c r="W60" s="770">
        <v>18</v>
      </c>
      <c r="X60" s="632">
        <v>1212934</v>
      </c>
      <c r="Y60" s="993"/>
      <c r="Z60" s="368"/>
      <c r="AA60" s="657"/>
      <c r="AB60" s="856">
        <f>AVERAGE(W60,U60,S60,Q60,O60)</f>
        <v>17.2</v>
      </c>
      <c r="AC60" s="854">
        <f t="shared" ref="AC60" si="6">AVERAGE(X60,V60,T60,R60,P60)</f>
        <v>692278.2</v>
      </c>
    </row>
    <row r="61" spans="1:29" ht="12" x14ac:dyDescent="0.2">
      <c r="B61" s="1048" t="s">
        <v>68</v>
      </c>
      <c r="C61" s="185"/>
      <c r="D61" s="193"/>
      <c r="E61" s="94"/>
      <c r="F61" s="293"/>
      <c r="G61" s="297"/>
      <c r="H61" s="439"/>
      <c r="I61" s="424"/>
      <c r="J61" s="476"/>
      <c r="K61" s="297"/>
      <c r="L61" s="476"/>
      <c r="M61" s="297"/>
      <c r="N61" s="439"/>
      <c r="O61" s="424"/>
      <c r="P61" s="439"/>
      <c r="Q61" s="424"/>
      <c r="R61" s="439"/>
      <c r="S61" s="424"/>
      <c r="T61" s="439"/>
      <c r="U61" s="424"/>
      <c r="V61" s="439"/>
      <c r="W61" s="424"/>
      <c r="X61" s="439"/>
      <c r="Y61" s="424"/>
      <c r="Z61" s="238"/>
      <c r="AA61" s="657"/>
      <c r="AB61" s="851"/>
      <c r="AC61" s="852"/>
    </row>
    <row r="62" spans="1:29" ht="12" x14ac:dyDescent="0.2">
      <c r="B62" s="1074" t="s">
        <v>70</v>
      </c>
      <c r="C62" s="149"/>
      <c r="D62" s="158">
        <v>847053.52</v>
      </c>
      <c r="E62" s="17"/>
      <c r="F62" s="294">
        <v>262144.90999999997</v>
      </c>
      <c r="G62" s="268"/>
      <c r="H62" s="529">
        <v>127059.07</v>
      </c>
      <c r="I62" s="425"/>
      <c r="J62" s="535">
        <v>214131</v>
      </c>
      <c r="K62" s="268"/>
      <c r="L62" s="535">
        <v>279670.56</v>
      </c>
      <c r="M62" s="268"/>
      <c r="N62" s="1024">
        <v>103333</v>
      </c>
      <c r="O62" s="425"/>
      <c r="P62" s="1024">
        <v>99865</v>
      </c>
      <c r="Q62" s="425"/>
      <c r="R62" s="1024">
        <v>114341.74</v>
      </c>
      <c r="S62" s="425"/>
      <c r="T62" s="1024">
        <v>150823.43</v>
      </c>
      <c r="U62" s="425"/>
      <c r="V62" s="1024">
        <v>204293.29</v>
      </c>
      <c r="W62" s="425"/>
      <c r="X62" s="1024">
        <v>155788.78</v>
      </c>
      <c r="Y62" s="425"/>
      <c r="Z62" s="1332"/>
      <c r="AA62" s="657"/>
      <c r="AB62" s="318"/>
      <c r="AC62" s="750">
        <f t="shared" ref="AC62:AC63" si="7">AVERAGE(X62,V62,T62,R62,P62)</f>
        <v>145022.448</v>
      </c>
    </row>
    <row r="63" spans="1:29" thickBot="1" x14ac:dyDescent="0.25">
      <c r="B63" s="1075" t="s">
        <v>71</v>
      </c>
      <c r="C63" s="151"/>
      <c r="D63" s="159">
        <v>0</v>
      </c>
      <c r="E63" s="14"/>
      <c r="F63" s="307">
        <v>0</v>
      </c>
      <c r="G63" s="270"/>
      <c r="H63" s="307">
        <v>0</v>
      </c>
      <c r="I63" s="270"/>
      <c r="J63" s="307">
        <v>0</v>
      </c>
      <c r="K63" s="270"/>
      <c r="L63" s="307">
        <v>0</v>
      </c>
      <c r="M63" s="270"/>
      <c r="N63" s="455">
        <v>0</v>
      </c>
      <c r="O63" s="426"/>
      <c r="P63" s="455">
        <v>0</v>
      </c>
      <c r="Q63" s="426"/>
      <c r="R63" s="455">
        <v>0</v>
      </c>
      <c r="S63" s="426"/>
      <c r="T63" s="455">
        <v>0</v>
      </c>
      <c r="U63" s="426"/>
      <c r="V63" s="455">
        <v>0</v>
      </c>
      <c r="W63" s="426"/>
      <c r="X63" s="455">
        <v>0</v>
      </c>
      <c r="Y63" s="426"/>
      <c r="Z63" s="1326"/>
      <c r="AB63" s="659"/>
      <c r="AC63" s="854">
        <f t="shared" si="7"/>
        <v>0</v>
      </c>
    </row>
    <row r="64" spans="1:29" thickTop="1" x14ac:dyDescent="0.2">
      <c r="B64" s="61"/>
      <c r="C64" s="25"/>
      <c r="D64" s="62"/>
      <c r="E64" s="25"/>
      <c r="F64" s="26"/>
      <c r="G64" s="239"/>
      <c r="H64" s="229"/>
      <c r="I64" s="239"/>
      <c r="J64" s="229"/>
      <c r="K64" s="239"/>
      <c r="L64" s="229"/>
      <c r="M64" s="623"/>
      <c r="N64" s="229"/>
      <c r="O64" s="623"/>
      <c r="P64" s="229"/>
      <c r="Q64" s="623"/>
      <c r="R64" s="229"/>
      <c r="S64" s="623"/>
      <c r="T64" s="229"/>
      <c r="U64" s="623"/>
      <c r="V64" s="229"/>
      <c r="W64" s="623"/>
      <c r="X64" s="229"/>
      <c r="Y64" s="623"/>
      <c r="Z64" s="229"/>
      <c r="AB64" s="66"/>
      <c r="AC64" s="664"/>
    </row>
    <row r="65" spans="1:29" x14ac:dyDescent="0.2">
      <c r="A65" s="3" t="s">
        <v>66</v>
      </c>
      <c r="B65" s="61"/>
      <c r="C65" s="25"/>
      <c r="D65" s="62"/>
      <c r="E65" s="25"/>
      <c r="F65" s="26"/>
      <c r="G65" s="239"/>
      <c r="H65" s="229"/>
      <c r="I65" s="239"/>
      <c r="J65" s="229"/>
      <c r="K65" s="239"/>
      <c r="L65" s="229"/>
      <c r="M65" s="239"/>
      <c r="N65" s="229"/>
      <c r="O65" s="239"/>
      <c r="P65" s="229"/>
      <c r="Q65" s="239"/>
      <c r="R65" s="229"/>
      <c r="S65" s="239"/>
      <c r="T65" s="229"/>
      <c r="U65" s="239"/>
      <c r="V65" s="229"/>
      <c r="W65" s="239"/>
      <c r="X65" s="229"/>
      <c r="Y65" s="239"/>
      <c r="Z65" s="229"/>
    </row>
    <row r="66" spans="1:29" thickBot="1" x14ac:dyDescent="0.25">
      <c r="B66" s="61"/>
      <c r="C66" s="25"/>
      <c r="D66" s="62"/>
      <c r="E66" s="25"/>
      <c r="F66" s="26"/>
      <c r="G66" s="239"/>
      <c r="H66" s="229"/>
      <c r="I66" s="239"/>
      <c r="J66" s="229"/>
      <c r="K66" s="239"/>
      <c r="L66" s="229"/>
      <c r="M66" s="239"/>
      <c r="N66" s="229"/>
      <c r="O66" s="239"/>
      <c r="P66" s="229"/>
      <c r="Q66" s="239"/>
      <c r="R66" s="229"/>
      <c r="S66" s="239"/>
      <c r="T66" s="229"/>
      <c r="U66" s="239"/>
      <c r="V66" s="229"/>
      <c r="W66" s="239"/>
      <c r="X66" s="229"/>
      <c r="Y66" s="239"/>
      <c r="Z66" s="229"/>
      <c r="AB66" s="24"/>
    </row>
    <row r="67" spans="1:29" ht="14.25" customHeight="1" thickTop="1" thickBot="1" x14ac:dyDescent="0.25">
      <c r="B67" s="1055"/>
      <c r="C67" s="1498" t="s">
        <v>33</v>
      </c>
      <c r="D67" s="1499"/>
      <c r="E67" s="1501" t="s">
        <v>34</v>
      </c>
      <c r="F67" s="1501"/>
      <c r="G67" s="1500" t="s">
        <v>106</v>
      </c>
      <c r="H67" s="1495"/>
      <c r="I67" s="1494" t="s">
        <v>118</v>
      </c>
      <c r="J67" s="1494"/>
      <c r="K67" s="1500" t="s">
        <v>121</v>
      </c>
      <c r="L67" s="1494"/>
      <c r="M67" s="1500" t="s">
        <v>127</v>
      </c>
      <c r="N67" s="1495"/>
      <c r="O67" s="1494" t="s">
        <v>174</v>
      </c>
      <c r="P67" s="1495"/>
      <c r="Q67" s="1494" t="s">
        <v>193</v>
      </c>
      <c r="R67" s="1495"/>
      <c r="S67" s="1494" t="s">
        <v>218</v>
      </c>
      <c r="T67" s="1495"/>
      <c r="U67" s="1494" t="s">
        <v>221</v>
      </c>
      <c r="V67" s="1495"/>
      <c r="W67" s="1494" t="s">
        <v>232</v>
      </c>
      <c r="X67" s="1495"/>
      <c r="Y67" s="1494" t="s">
        <v>241</v>
      </c>
      <c r="Z67" s="1508"/>
      <c r="AB67" s="1521" t="s">
        <v>134</v>
      </c>
      <c r="AC67" s="1531"/>
    </row>
    <row r="68" spans="1:29" ht="12" x14ac:dyDescent="0.2">
      <c r="B68" s="41" t="s">
        <v>37</v>
      </c>
      <c r="C68" s="132"/>
      <c r="D68" s="133"/>
      <c r="E68" s="16"/>
      <c r="F68" s="16"/>
      <c r="G68" s="260"/>
      <c r="H68" s="407"/>
      <c r="I68" s="387"/>
      <c r="J68" s="387"/>
      <c r="K68" s="260"/>
      <c r="L68" s="387"/>
      <c r="M68" s="260"/>
      <c r="N68" s="407"/>
      <c r="O68" s="387"/>
      <c r="P68" s="407"/>
      <c r="Q68" s="387"/>
      <c r="R68" s="407"/>
      <c r="S68" s="387"/>
      <c r="T68" s="407"/>
      <c r="U68" s="387"/>
      <c r="V68" s="407"/>
      <c r="W68" s="387"/>
      <c r="X68" s="407"/>
      <c r="Y68" s="387"/>
      <c r="Z68" s="230"/>
      <c r="AA68" s="657"/>
      <c r="AC68" s="652"/>
    </row>
    <row r="69" spans="1:29" ht="12" x14ac:dyDescent="0.2">
      <c r="B69" s="98" t="s">
        <v>38</v>
      </c>
      <c r="C69" s="134"/>
      <c r="D69" s="168"/>
      <c r="E69" s="7"/>
      <c r="F69" s="99"/>
      <c r="G69" s="261"/>
      <c r="H69" s="408"/>
      <c r="I69" s="231"/>
      <c r="J69" s="244"/>
      <c r="K69" s="261"/>
      <c r="L69" s="244"/>
      <c r="M69" s="261"/>
      <c r="N69" s="408"/>
      <c r="O69" s="231"/>
      <c r="P69" s="408"/>
      <c r="Q69" s="231"/>
      <c r="R69" s="408"/>
      <c r="S69" s="231"/>
      <c r="T69" s="408"/>
      <c r="U69" s="231"/>
      <c r="V69" s="408"/>
      <c r="W69" s="231"/>
      <c r="X69" s="408"/>
      <c r="Y69" s="231"/>
      <c r="Z69" s="221"/>
      <c r="AA69" s="657"/>
      <c r="AC69" s="652"/>
    </row>
    <row r="70" spans="1:29" ht="12" x14ac:dyDescent="0.2">
      <c r="B70" s="42" t="s">
        <v>39</v>
      </c>
      <c r="C70" s="134"/>
      <c r="D70" s="168">
        <v>13</v>
      </c>
      <c r="E70" s="7"/>
      <c r="F70" s="99">
        <v>13</v>
      </c>
      <c r="G70" s="261"/>
      <c r="H70" s="408">
        <v>13</v>
      </c>
      <c r="I70" s="231"/>
      <c r="J70" s="244">
        <v>12</v>
      </c>
      <c r="K70" s="261"/>
      <c r="L70" s="244">
        <v>12</v>
      </c>
      <c r="M70" s="261"/>
      <c r="N70" s="408">
        <v>12</v>
      </c>
      <c r="O70" s="231"/>
      <c r="P70" s="408">
        <v>12</v>
      </c>
      <c r="Q70" s="231"/>
      <c r="R70" s="408">
        <v>14</v>
      </c>
      <c r="S70" s="231"/>
      <c r="T70" s="408">
        <v>14</v>
      </c>
      <c r="U70" s="231"/>
      <c r="V70" s="408">
        <v>15</v>
      </c>
      <c r="W70" s="231"/>
      <c r="X70" s="408">
        <v>16</v>
      </c>
      <c r="Y70" s="231"/>
      <c r="Z70" s="221">
        <v>15</v>
      </c>
      <c r="AA70" s="657"/>
      <c r="AC70" s="658">
        <f t="shared" ref="AC70:AC71" si="8">AVERAGE(X70,V70,T70,R70,Z70)</f>
        <v>14.8</v>
      </c>
    </row>
    <row r="71" spans="1:29" ht="12" x14ac:dyDescent="0.2">
      <c r="B71" s="42" t="s">
        <v>161</v>
      </c>
      <c r="C71" s="134"/>
      <c r="D71" s="168">
        <v>0</v>
      </c>
      <c r="E71" s="7"/>
      <c r="F71" s="99">
        <v>0</v>
      </c>
      <c r="G71" s="261"/>
      <c r="H71" s="408">
        <v>0</v>
      </c>
      <c r="I71" s="231"/>
      <c r="J71" s="244">
        <v>0</v>
      </c>
      <c r="K71" s="261"/>
      <c r="L71" s="244">
        <v>0</v>
      </c>
      <c r="M71" s="261"/>
      <c r="N71" s="408">
        <v>0</v>
      </c>
      <c r="O71" s="231"/>
      <c r="P71" s="408">
        <v>0</v>
      </c>
      <c r="Q71" s="231"/>
      <c r="R71" s="408">
        <v>0</v>
      </c>
      <c r="S71" s="231"/>
      <c r="T71" s="408">
        <v>1</v>
      </c>
      <c r="U71" s="231"/>
      <c r="V71" s="408">
        <v>2</v>
      </c>
      <c r="W71" s="231"/>
      <c r="X71" s="408">
        <v>0</v>
      </c>
      <c r="Y71" s="231"/>
      <c r="Z71" s="221">
        <v>0</v>
      </c>
      <c r="AA71" s="657"/>
      <c r="AB71" s="318"/>
      <c r="AC71" s="658">
        <f t="shared" si="8"/>
        <v>0.6</v>
      </c>
    </row>
    <row r="72" spans="1:29" ht="12" x14ac:dyDescent="0.2">
      <c r="B72" s="98" t="s">
        <v>40</v>
      </c>
      <c r="C72" s="134"/>
      <c r="D72" s="136"/>
      <c r="E72" s="7"/>
      <c r="F72" s="12"/>
      <c r="G72" s="261"/>
      <c r="H72" s="217"/>
      <c r="I72" s="231"/>
      <c r="J72" s="105"/>
      <c r="K72" s="261"/>
      <c r="L72" s="105"/>
      <c r="M72" s="261"/>
      <c r="N72" s="217"/>
      <c r="O72" s="231"/>
      <c r="P72" s="217"/>
      <c r="Q72" s="231"/>
      <c r="R72" s="217"/>
      <c r="S72" s="231"/>
      <c r="T72" s="217"/>
      <c r="U72" s="231"/>
      <c r="V72" s="217"/>
      <c r="W72" s="231"/>
      <c r="X72" s="217"/>
      <c r="Y72" s="231"/>
      <c r="Z72" s="232"/>
      <c r="AA72" s="657"/>
      <c r="AB72" s="748"/>
      <c r="AC72" s="753"/>
    </row>
    <row r="73" spans="1:29" ht="12" x14ac:dyDescent="0.2">
      <c r="B73" s="42" t="s">
        <v>39</v>
      </c>
      <c r="C73" s="134"/>
      <c r="D73" s="136">
        <v>17</v>
      </c>
      <c r="E73" s="7"/>
      <c r="F73" s="12">
        <v>13</v>
      </c>
      <c r="G73" s="261"/>
      <c r="H73" s="217">
        <v>13</v>
      </c>
      <c r="I73" s="231"/>
      <c r="J73" s="105">
        <v>12</v>
      </c>
      <c r="K73" s="261"/>
      <c r="L73" s="105">
        <v>13</v>
      </c>
      <c r="M73" s="261"/>
      <c r="N73" s="217">
        <v>14</v>
      </c>
      <c r="O73" s="231"/>
      <c r="P73" s="217">
        <v>15</v>
      </c>
      <c r="Q73" s="231"/>
      <c r="R73" s="217">
        <v>10</v>
      </c>
      <c r="S73" s="231"/>
      <c r="T73" s="217">
        <v>11</v>
      </c>
      <c r="U73" s="231"/>
      <c r="V73" s="217">
        <v>10</v>
      </c>
      <c r="W73" s="231"/>
      <c r="X73" s="217">
        <v>12</v>
      </c>
      <c r="Y73" s="231"/>
      <c r="Z73" s="232">
        <v>10</v>
      </c>
      <c r="AA73" s="657"/>
      <c r="AC73" s="658">
        <f t="shared" ref="AC73:AC75" si="9">AVERAGE(X73,V73,T73,R73,Z73)</f>
        <v>10.6</v>
      </c>
    </row>
    <row r="74" spans="1:29" ht="12" x14ac:dyDescent="0.2">
      <c r="B74" s="680" t="s">
        <v>161</v>
      </c>
      <c r="C74" s="134"/>
      <c r="D74" s="136">
        <v>0</v>
      </c>
      <c r="E74" s="7"/>
      <c r="F74" s="12">
        <v>1</v>
      </c>
      <c r="G74" s="261"/>
      <c r="H74" s="217">
        <v>0</v>
      </c>
      <c r="I74" s="231"/>
      <c r="J74" s="105">
        <v>0</v>
      </c>
      <c r="K74" s="261"/>
      <c r="L74" s="105">
        <v>0</v>
      </c>
      <c r="M74" s="261"/>
      <c r="N74" s="217">
        <v>0</v>
      </c>
      <c r="O74" s="231"/>
      <c r="P74" s="217">
        <v>0</v>
      </c>
      <c r="Q74" s="231"/>
      <c r="R74" s="217">
        <v>0</v>
      </c>
      <c r="S74" s="231"/>
      <c r="T74" s="217">
        <v>0</v>
      </c>
      <c r="U74" s="231"/>
      <c r="V74" s="217">
        <v>0</v>
      </c>
      <c r="W74" s="231"/>
      <c r="X74" s="217">
        <v>0</v>
      </c>
      <c r="Y74" s="231"/>
      <c r="Z74" s="232">
        <v>1</v>
      </c>
      <c r="AA74" s="657"/>
      <c r="AB74" s="318"/>
      <c r="AC74" s="658">
        <f t="shared" si="9"/>
        <v>0.2</v>
      </c>
    </row>
    <row r="75" spans="1:29" thickBot="1" x14ac:dyDescent="0.25">
      <c r="B75" s="1056" t="s">
        <v>13</v>
      </c>
      <c r="C75" s="196"/>
      <c r="D75" s="208">
        <f>SUM(D70:D74)</f>
        <v>30</v>
      </c>
      <c r="E75" s="120"/>
      <c r="F75" s="315">
        <f>SUM(F70:F74)</f>
        <v>27</v>
      </c>
      <c r="G75" s="288"/>
      <c r="H75" s="409">
        <v>26</v>
      </c>
      <c r="I75" s="396"/>
      <c r="J75" s="315">
        <f>SUM(J70:J74)</f>
        <v>24</v>
      </c>
      <c r="K75" s="288"/>
      <c r="L75" s="315">
        <f>SUM(L70:L74)</f>
        <v>25</v>
      </c>
      <c r="M75" s="288"/>
      <c r="N75" s="409">
        <f>SUM(N70:N74)</f>
        <v>26</v>
      </c>
      <c r="O75" s="396"/>
      <c r="P75" s="409">
        <f>SUM(P70:P74)</f>
        <v>27</v>
      </c>
      <c r="Q75" s="396"/>
      <c r="R75" s="409">
        <f>SUM(R70:R74)</f>
        <v>24</v>
      </c>
      <c r="S75" s="396"/>
      <c r="T75" s="409">
        <f>SUM(T70:T74)</f>
        <v>26</v>
      </c>
      <c r="U75" s="396"/>
      <c r="V75" s="409">
        <f>SUM(V70:V74)</f>
        <v>27</v>
      </c>
      <c r="W75" s="396"/>
      <c r="X75" s="409">
        <f>SUM(X70:X74)</f>
        <v>28</v>
      </c>
      <c r="Y75" s="396"/>
      <c r="Z75" s="1359">
        <f>SUM(Z70:Z74)</f>
        <v>26</v>
      </c>
      <c r="AB75" s="849"/>
      <c r="AC75" s="860">
        <f t="shared" si="9"/>
        <v>26.2</v>
      </c>
    </row>
    <row r="76" spans="1:29" ht="12" x14ac:dyDescent="0.2">
      <c r="B76" s="710" t="s">
        <v>100</v>
      </c>
      <c r="C76" s="197" t="s">
        <v>97</v>
      </c>
      <c r="D76" s="198" t="s">
        <v>98</v>
      </c>
      <c r="E76" s="128" t="s">
        <v>97</v>
      </c>
      <c r="F76" s="195" t="s">
        <v>98</v>
      </c>
      <c r="G76" s="289" t="s">
        <v>97</v>
      </c>
      <c r="H76" s="441" t="s">
        <v>98</v>
      </c>
      <c r="I76" s="427" t="s">
        <v>97</v>
      </c>
      <c r="J76" s="477" t="s">
        <v>98</v>
      </c>
      <c r="K76" s="289" t="s">
        <v>97</v>
      </c>
      <c r="L76" s="477" t="s">
        <v>98</v>
      </c>
      <c r="M76" s="289" t="s">
        <v>97</v>
      </c>
      <c r="N76" s="441" t="s">
        <v>98</v>
      </c>
      <c r="O76" s="427" t="s">
        <v>97</v>
      </c>
      <c r="P76" s="441" t="s">
        <v>98</v>
      </c>
      <c r="Q76" s="427" t="s">
        <v>97</v>
      </c>
      <c r="R76" s="441" t="s">
        <v>98</v>
      </c>
      <c r="S76" s="427" t="s">
        <v>97</v>
      </c>
      <c r="T76" s="441" t="s">
        <v>98</v>
      </c>
      <c r="U76" s="427" t="s">
        <v>97</v>
      </c>
      <c r="V76" s="441" t="s">
        <v>98</v>
      </c>
      <c r="W76" s="427" t="s">
        <v>97</v>
      </c>
      <c r="X76" s="441" t="s">
        <v>98</v>
      </c>
      <c r="Y76" s="427" t="s">
        <v>97</v>
      </c>
      <c r="Z76" s="243" t="s">
        <v>98</v>
      </c>
      <c r="AB76" s="649" t="s">
        <v>97</v>
      </c>
      <c r="AC76" s="754" t="s">
        <v>98</v>
      </c>
    </row>
    <row r="77" spans="1:29" ht="12" x14ac:dyDescent="0.2">
      <c r="B77" s="42" t="s">
        <v>81</v>
      </c>
      <c r="C77" s="199">
        <v>28</v>
      </c>
      <c r="D77" s="200">
        <f>C77/$D$75</f>
        <v>0.93333333333333335</v>
      </c>
      <c r="E77" s="125">
        <v>26</v>
      </c>
      <c r="F77" s="206">
        <f t="shared" ref="F77:F84" si="10">E77/$F$75</f>
        <v>0.96296296296296291</v>
      </c>
      <c r="G77" s="199">
        <v>25</v>
      </c>
      <c r="H77" s="372">
        <f>G77/$H$75</f>
        <v>0.96153846153846156</v>
      </c>
      <c r="I77" s="359">
        <v>23</v>
      </c>
      <c r="J77" s="485">
        <f t="shared" ref="J77:J84" si="11">I77/$J$75</f>
        <v>0.95833333333333337</v>
      </c>
      <c r="K77" s="199">
        <v>23</v>
      </c>
      <c r="L77" s="206">
        <f t="shared" ref="L77:L84" si="12">K77/$L$75</f>
        <v>0.92</v>
      </c>
      <c r="M77" s="359">
        <v>24</v>
      </c>
      <c r="N77" s="372">
        <f t="shared" ref="N77:N82" si="13">M77/N$75</f>
        <v>0.92307692307692313</v>
      </c>
      <c r="O77" s="353">
        <v>24</v>
      </c>
      <c r="P77" s="372">
        <f t="shared" ref="P77:P82" si="14">O77/P$75</f>
        <v>0.88888888888888884</v>
      </c>
      <c r="Q77" s="353">
        <f>22</f>
        <v>22</v>
      </c>
      <c r="R77" s="372">
        <f t="shared" ref="R77:T84" si="15">Q77/R$75</f>
        <v>0.91666666666666663</v>
      </c>
      <c r="S77" s="353">
        <f>22</f>
        <v>22</v>
      </c>
      <c r="T77" s="372">
        <f t="shared" si="15"/>
        <v>0.84615384615384615</v>
      </c>
      <c r="U77" s="353">
        <v>22</v>
      </c>
      <c r="V77" s="372">
        <f t="shared" ref="V77:V84" si="16">U77/V$75</f>
        <v>0.81481481481481477</v>
      </c>
      <c r="W77" s="353">
        <v>24</v>
      </c>
      <c r="X77" s="372">
        <f t="shared" ref="X77:X84" si="17">W77/X$75</f>
        <v>0.8571428571428571</v>
      </c>
      <c r="Y77" s="353">
        <v>24</v>
      </c>
      <c r="Z77" s="1397">
        <f t="shared" ref="Z77:Z84" si="18">Y77/Z$75</f>
        <v>0.92307692307692313</v>
      </c>
      <c r="AB77" s="687">
        <f t="shared" ref="AB77:AB84" si="19">AVERAGE(W77,U77,S77,Q77,Y77)</f>
        <v>22.8</v>
      </c>
      <c r="AC77" s="685">
        <f t="shared" ref="AC77:AC84" si="20">AVERAGE(X77,V77,T77,R77,Z77)</f>
        <v>0.87157102157102151</v>
      </c>
    </row>
    <row r="78" spans="1:29" ht="12" x14ac:dyDescent="0.2">
      <c r="B78" s="1057" t="s">
        <v>82</v>
      </c>
      <c r="C78" s="199">
        <v>0</v>
      </c>
      <c r="D78" s="200">
        <f t="shared" ref="D78:D96" si="21">C78/$D$75</f>
        <v>0</v>
      </c>
      <c r="E78" s="125">
        <v>0</v>
      </c>
      <c r="F78" s="206">
        <f t="shared" si="10"/>
        <v>0</v>
      </c>
      <c r="G78" s="199">
        <v>0</v>
      </c>
      <c r="H78" s="372">
        <f t="shared" ref="H78:H84" si="22">G78/$H$75</f>
        <v>0</v>
      </c>
      <c r="I78" s="359">
        <v>0</v>
      </c>
      <c r="J78" s="485">
        <f t="shared" si="11"/>
        <v>0</v>
      </c>
      <c r="K78" s="359">
        <v>0</v>
      </c>
      <c r="L78" s="485">
        <f t="shared" si="12"/>
        <v>0</v>
      </c>
      <c r="M78" s="359">
        <v>0</v>
      </c>
      <c r="N78" s="372">
        <f t="shared" si="13"/>
        <v>0</v>
      </c>
      <c r="O78" s="353">
        <v>0</v>
      </c>
      <c r="P78" s="372">
        <f t="shared" si="14"/>
        <v>0</v>
      </c>
      <c r="Q78" s="353">
        <v>0</v>
      </c>
      <c r="R78" s="372">
        <f t="shared" si="15"/>
        <v>0</v>
      </c>
      <c r="S78" s="353">
        <f>0</f>
        <v>0</v>
      </c>
      <c r="T78" s="372">
        <f t="shared" si="15"/>
        <v>0</v>
      </c>
      <c r="U78" s="353">
        <v>0</v>
      </c>
      <c r="V78" s="372">
        <f t="shared" si="16"/>
        <v>0</v>
      </c>
      <c r="W78" s="353"/>
      <c r="X78" s="372">
        <f t="shared" si="17"/>
        <v>0</v>
      </c>
      <c r="Y78" s="353">
        <v>0</v>
      </c>
      <c r="Z78" s="1397">
        <f t="shared" si="18"/>
        <v>0</v>
      </c>
      <c r="AA78" s="657"/>
      <c r="AB78" s="803">
        <f t="shared" si="19"/>
        <v>0</v>
      </c>
      <c r="AC78" s="685">
        <f>AVERAGE(X78,V78,T78,R78,Z78)</f>
        <v>0</v>
      </c>
    </row>
    <row r="79" spans="1:29" ht="12" x14ac:dyDescent="0.2">
      <c r="B79" s="1057" t="s">
        <v>83</v>
      </c>
      <c r="C79" s="199">
        <v>0</v>
      </c>
      <c r="D79" s="200">
        <f t="shared" si="21"/>
        <v>0</v>
      </c>
      <c r="E79" s="125">
        <v>0</v>
      </c>
      <c r="F79" s="206">
        <f t="shared" si="10"/>
        <v>0</v>
      </c>
      <c r="G79" s="199">
        <v>0</v>
      </c>
      <c r="H79" s="372">
        <f t="shared" si="22"/>
        <v>0</v>
      </c>
      <c r="I79" s="359">
        <v>0</v>
      </c>
      <c r="J79" s="485">
        <f t="shared" si="11"/>
        <v>0</v>
      </c>
      <c r="K79" s="359">
        <v>0</v>
      </c>
      <c r="L79" s="485">
        <f t="shared" si="12"/>
        <v>0</v>
      </c>
      <c r="M79" s="359">
        <v>0</v>
      </c>
      <c r="N79" s="372">
        <f t="shared" si="13"/>
        <v>0</v>
      </c>
      <c r="O79" s="353">
        <v>0</v>
      </c>
      <c r="P79" s="372">
        <f t="shared" si="14"/>
        <v>0</v>
      </c>
      <c r="Q79" s="353">
        <v>0</v>
      </c>
      <c r="R79" s="372">
        <f t="shared" si="15"/>
        <v>0</v>
      </c>
      <c r="S79" s="353">
        <f>0</f>
        <v>0</v>
      </c>
      <c r="T79" s="372">
        <f t="shared" si="15"/>
        <v>0</v>
      </c>
      <c r="U79" s="353">
        <v>0</v>
      </c>
      <c r="V79" s="372">
        <f t="shared" si="16"/>
        <v>0</v>
      </c>
      <c r="W79" s="353"/>
      <c r="X79" s="372">
        <f t="shared" si="17"/>
        <v>0</v>
      </c>
      <c r="Y79" s="353">
        <v>0</v>
      </c>
      <c r="Z79" s="1397">
        <f t="shared" si="18"/>
        <v>0</v>
      </c>
      <c r="AA79" s="657"/>
      <c r="AB79" s="803">
        <f t="shared" si="19"/>
        <v>0</v>
      </c>
      <c r="AC79" s="685">
        <f t="shared" si="20"/>
        <v>0</v>
      </c>
    </row>
    <row r="80" spans="1:29" ht="12" x14ac:dyDescent="0.2">
      <c r="B80" s="1057" t="s">
        <v>84</v>
      </c>
      <c r="C80" s="199">
        <v>0</v>
      </c>
      <c r="D80" s="200">
        <f t="shared" si="21"/>
        <v>0</v>
      </c>
      <c r="E80" s="125">
        <v>0</v>
      </c>
      <c r="F80" s="206">
        <f t="shared" si="10"/>
        <v>0</v>
      </c>
      <c r="G80" s="199">
        <v>0</v>
      </c>
      <c r="H80" s="372">
        <f t="shared" si="22"/>
        <v>0</v>
      </c>
      <c r="I80" s="359">
        <v>0</v>
      </c>
      <c r="J80" s="485">
        <f t="shared" si="11"/>
        <v>0</v>
      </c>
      <c r="K80" s="359">
        <v>0</v>
      </c>
      <c r="L80" s="485">
        <f t="shared" si="12"/>
        <v>0</v>
      </c>
      <c r="M80" s="359">
        <v>0</v>
      </c>
      <c r="N80" s="372">
        <f t="shared" si="13"/>
        <v>0</v>
      </c>
      <c r="O80" s="353">
        <v>0</v>
      </c>
      <c r="P80" s="372">
        <f t="shared" si="14"/>
        <v>0</v>
      </c>
      <c r="Q80" s="353">
        <v>0</v>
      </c>
      <c r="R80" s="372">
        <f t="shared" si="15"/>
        <v>0</v>
      </c>
      <c r="S80" s="353">
        <f>0</f>
        <v>0</v>
      </c>
      <c r="T80" s="372">
        <f t="shared" si="15"/>
        <v>0</v>
      </c>
      <c r="U80" s="353">
        <v>0</v>
      </c>
      <c r="V80" s="372">
        <f t="shared" si="16"/>
        <v>0</v>
      </c>
      <c r="W80" s="353"/>
      <c r="X80" s="372">
        <f t="shared" si="17"/>
        <v>0</v>
      </c>
      <c r="Y80" s="353">
        <v>0</v>
      </c>
      <c r="Z80" s="1397">
        <f t="shared" si="18"/>
        <v>0</v>
      </c>
      <c r="AA80" s="657"/>
      <c r="AB80" s="803">
        <f t="shared" si="19"/>
        <v>0</v>
      </c>
      <c r="AC80" s="685">
        <f t="shared" si="20"/>
        <v>0</v>
      </c>
    </row>
    <row r="81" spans="2:29" ht="12" x14ac:dyDescent="0.2">
      <c r="B81" s="1057" t="s">
        <v>85</v>
      </c>
      <c r="C81" s="199">
        <v>2</v>
      </c>
      <c r="D81" s="200">
        <f t="shared" si="21"/>
        <v>6.6666666666666666E-2</v>
      </c>
      <c r="E81" s="125">
        <v>1</v>
      </c>
      <c r="F81" s="206">
        <f t="shared" si="10"/>
        <v>3.7037037037037035E-2</v>
      </c>
      <c r="G81" s="199">
        <v>1</v>
      </c>
      <c r="H81" s="372">
        <f t="shared" si="22"/>
        <v>3.8461538461538464E-2</v>
      </c>
      <c r="I81" s="359">
        <v>1</v>
      </c>
      <c r="J81" s="485">
        <f t="shared" si="11"/>
        <v>4.1666666666666664E-2</v>
      </c>
      <c r="K81" s="359">
        <v>2</v>
      </c>
      <c r="L81" s="485">
        <f t="shared" si="12"/>
        <v>0.08</v>
      </c>
      <c r="M81" s="359">
        <v>2</v>
      </c>
      <c r="N81" s="372">
        <f t="shared" si="13"/>
        <v>7.6923076923076927E-2</v>
      </c>
      <c r="O81" s="353">
        <v>2</v>
      </c>
      <c r="P81" s="372">
        <f t="shared" si="14"/>
        <v>7.407407407407407E-2</v>
      </c>
      <c r="Q81" s="353">
        <v>2</v>
      </c>
      <c r="R81" s="372">
        <f t="shared" si="15"/>
        <v>8.3333333333333329E-2</v>
      </c>
      <c r="S81" s="353">
        <f>2</f>
        <v>2</v>
      </c>
      <c r="T81" s="372">
        <f t="shared" si="15"/>
        <v>7.6923076923076927E-2</v>
      </c>
      <c r="U81" s="353">
        <v>2</v>
      </c>
      <c r="V81" s="372">
        <f t="shared" si="16"/>
        <v>7.407407407407407E-2</v>
      </c>
      <c r="W81" s="353">
        <v>2</v>
      </c>
      <c r="X81" s="372">
        <f t="shared" si="17"/>
        <v>7.1428571428571425E-2</v>
      </c>
      <c r="Y81" s="353">
        <v>1</v>
      </c>
      <c r="Z81" s="1397">
        <f t="shared" si="18"/>
        <v>3.8461538461538464E-2</v>
      </c>
      <c r="AA81" s="657"/>
      <c r="AB81" s="803">
        <f t="shared" si="19"/>
        <v>1.8</v>
      </c>
      <c r="AC81" s="685">
        <f t="shared" si="20"/>
        <v>6.8844118844118854E-2</v>
      </c>
    </row>
    <row r="82" spans="2:29" ht="12" x14ac:dyDescent="0.2">
      <c r="B82" s="1057" t="s">
        <v>86</v>
      </c>
      <c r="C82" s="199">
        <v>0</v>
      </c>
      <c r="D82" s="200">
        <f t="shared" si="21"/>
        <v>0</v>
      </c>
      <c r="E82" s="125">
        <v>0</v>
      </c>
      <c r="F82" s="206">
        <f t="shared" si="10"/>
        <v>0</v>
      </c>
      <c r="G82" s="199">
        <v>0</v>
      </c>
      <c r="H82" s="372">
        <f t="shared" si="22"/>
        <v>0</v>
      </c>
      <c r="I82" s="359">
        <v>0</v>
      </c>
      <c r="J82" s="485">
        <f t="shared" si="11"/>
        <v>0</v>
      </c>
      <c r="K82" s="359">
        <v>0</v>
      </c>
      <c r="L82" s="485">
        <f t="shared" si="12"/>
        <v>0</v>
      </c>
      <c r="M82" s="359">
        <v>0</v>
      </c>
      <c r="N82" s="372">
        <f t="shared" si="13"/>
        <v>0</v>
      </c>
      <c r="O82" s="353">
        <v>1</v>
      </c>
      <c r="P82" s="372">
        <f t="shared" si="14"/>
        <v>3.7037037037037035E-2</v>
      </c>
      <c r="Q82" s="353">
        <v>0</v>
      </c>
      <c r="R82" s="372">
        <f t="shared" si="15"/>
        <v>0</v>
      </c>
      <c r="S82" s="353">
        <f>0</f>
        <v>0</v>
      </c>
      <c r="T82" s="372">
        <f t="shared" si="15"/>
        <v>0</v>
      </c>
      <c r="U82" s="353">
        <v>0</v>
      </c>
      <c r="V82" s="372">
        <f t="shared" si="16"/>
        <v>0</v>
      </c>
      <c r="W82" s="353">
        <v>1</v>
      </c>
      <c r="X82" s="372">
        <f t="shared" si="17"/>
        <v>3.5714285714285712E-2</v>
      </c>
      <c r="Y82" s="353">
        <v>1</v>
      </c>
      <c r="Z82" s="1397">
        <f t="shared" si="18"/>
        <v>3.8461538461538464E-2</v>
      </c>
      <c r="AA82" s="657"/>
      <c r="AB82" s="803">
        <f t="shared" si="19"/>
        <v>0.4</v>
      </c>
      <c r="AC82" s="685">
        <f t="shared" si="20"/>
        <v>1.4835164835164835E-2</v>
      </c>
    </row>
    <row r="83" spans="2:29" ht="12" x14ac:dyDescent="0.2">
      <c r="B83" s="1057" t="s">
        <v>201</v>
      </c>
      <c r="C83" s="201"/>
      <c r="D83" s="200"/>
      <c r="E83" s="126"/>
      <c r="F83" s="206"/>
      <c r="G83" s="1252"/>
      <c r="H83" s="1253"/>
      <c r="I83" s="1258"/>
      <c r="J83" s="1259"/>
      <c r="K83" s="1258"/>
      <c r="L83" s="1259"/>
      <c r="M83" s="1258"/>
      <c r="N83" s="1253"/>
      <c r="O83" s="1260"/>
      <c r="P83" s="1253"/>
      <c r="Q83" s="360">
        <f>0</f>
        <v>0</v>
      </c>
      <c r="R83" s="372">
        <f t="shared" si="15"/>
        <v>0</v>
      </c>
      <c r="S83" s="360">
        <f>0</f>
        <v>0</v>
      </c>
      <c r="T83" s="372">
        <f t="shared" si="15"/>
        <v>0</v>
      </c>
      <c r="U83" s="360">
        <v>1</v>
      </c>
      <c r="V83" s="372">
        <f t="shared" si="16"/>
        <v>3.7037037037037035E-2</v>
      </c>
      <c r="W83" s="360"/>
      <c r="X83" s="372">
        <f t="shared" si="17"/>
        <v>0</v>
      </c>
      <c r="Y83" s="360">
        <v>0</v>
      </c>
      <c r="Z83" s="1397">
        <f t="shared" si="18"/>
        <v>0</v>
      </c>
      <c r="AA83" s="657"/>
      <c r="AB83" s="803">
        <f t="shared" si="19"/>
        <v>0.25</v>
      </c>
      <c r="AC83" s="685">
        <f t="shared" si="20"/>
        <v>7.4074074074074068E-3</v>
      </c>
    </row>
    <row r="84" spans="2:29" ht="12" x14ac:dyDescent="0.2">
      <c r="B84" s="1057" t="s">
        <v>87</v>
      </c>
      <c r="C84" s="201">
        <v>0</v>
      </c>
      <c r="D84" s="200">
        <f t="shared" si="21"/>
        <v>0</v>
      </c>
      <c r="E84" s="126">
        <v>0</v>
      </c>
      <c r="F84" s="206">
        <f t="shared" si="10"/>
        <v>0</v>
      </c>
      <c r="G84" s="201">
        <v>0</v>
      </c>
      <c r="H84" s="372">
        <f t="shared" si="22"/>
        <v>0</v>
      </c>
      <c r="I84" s="361">
        <v>0</v>
      </c>
      <c r="J84" s="485">
        <f t="shared" si="11"/>
        <v>0</v>
      </c>
      <c r="K84" s="361">
        <v>0</v>
      </c>
      <c r="L84" s="485">
        <f t="shared" si="12"/>
        <v>0</v>
      </c>
      <c r="M84" s="361">
        <v>0</v>
      </c>
      <c r="N84" s="372">
        <f>M84/N$75</f>
        <v>0</v>
      </c>
      <c r="O84" s="360">
        <v>0</v>
      </c>
      <c r="P84" s="372">
        <f>O84/P$75</f>
        <v>0</v>
      </c>
      <c r="Q84" s="360">
        <f>1+1</f>
        <v>2</v>
      </c>
      <c r="R84" s="372">
        <f t="shared" si="15"/>
        <v>8.3333333333333329E-2</v>
      </c>
      <c r="S84" s="360">
        <f>1+1</f>
        <v>2</v>
      </c>
      <c r="T84" s="372">
        <f t="shared" si="15"/>
        <v>7.6923076923076927E-2</v>
      </c>
      <c r="U84" s="360">
        <v>2</v>
      </c>
      <c r="V84" s="372">
        <f t="shared" si="16"/>
        <v>7.407407407407407E-2</v>
      </c>
      <c r="W84" s="360">
        <v>1</v>
      </c>
      <c r="X84" s="372">
        <f t="shared" si="17"/>
        <v>3.5714285714285712E-2</v>
      </c>
      <c r="Y84" s="360">
        <v>0</v>
      </c>
      <c r="Z84" s="1397">
        <f t="shared" si="18"/>
        <v>0</v>
      </c>
      <c r="AA84" s="657"/>
      <c r="AB84" s="803">
        <f t="shared" si="19"/>
        <v>1.4</v>
      </c>
      <c r="AC84" s="685">
        <f t="shared" si="20"/>
        <v>5.4008954008954002E-2</v>
      </c>
    </row>
    <row r="85" spans="2:29" ht="12" x14ac:dyDescent="0.2">
      <c r="B85" s="1058" t="s">
        <v>101</v>
      </c>
      <c r="C85" s="202"/>
      <c r="D85" s="200"/>
      <c r="E85" s="164"/>
      <c r="F85" s="285"/>
      <c r="G85" s="290"/>
      <c r="H85" s="452"/>
      <c r="I85" s="290"/>
      <c r="J85" s="485"/>
      <c r="K85" s="290"/>
      <c r="L85" s="485"/>
      <c r="M85" s="290"/>
      <c r="N85" s="372"/>
      <c r="O85" s="164"/>
      <c r="P85" s="372"/>
      <c r="Q85" s="164"/>
      <c r="R85" s="372"/>
      <c r="S85" s="164"/>
      <c r="T85" s="372"/>
      <c r="U85" s="164"/>
      <c r="V85" s="372"/>
      <c r="W85" s="164"/>
      <c r="X85" s="372"/>
      <c r="Y85" s="164"/>
      <c r="Z85" s="1397"/>
      <c r="AA85" s="657"/>
      <c r="AB85" s="803"/>
      <c r="AC85" s="685"/>
    </row>
    <row r="86" spans="2:29" ht="12" x14ac:dyDescent="0.2">
      <c r="B86" s="42" t="s">
        <v>88</v>
      </c>
      <c r="C86" s="210">
        <v>22</v>
      </c>
      <c r="D86" s="200">
        <f t="shared" si="21"/>
        <v>0.73333333333333328</v>
      </c>
      <c r="E86" s="99">
        <v>21</v>
      </c>
      <c r="F86" s="286">
        <f>E86/$F$75</f>
        <v>0.77777777777777779</v>
      </c>
      <c r="G86" s="210">
        <v>21</v>
      </c>
      <c r="H86" s="372">
        <f>G86/$H$75</f>
        <v>0.80769230769230771</v>
      </c>
      <c r="I86" s="370">
        <v>20</v>
      </c>
      <c r="J86" s="485">
        <f>I86/$J$75</f>
        <v>0.83333333333333337</v>
      </c>
      <c r="K86" s="370">
        <v>21</v>
      </c>
      <c r="L86" s="485">
        <f>K86/$L$75</f>
        <v>0.84</v>
      </c>
      <c r="M86" s="370">
        <f>9+12</f>
        <v>21</v>
      </c>
      <c r="N86" s="372">
        <f>M86/N$75</f>
        <v>0.80769230769230771</v>
      </c>
      <c r="O86" s="428">
        <v>21</v>
      </c>
      <c r="P86" s="372">
        <f>O86/P$75</f>
        <v>0.77777777777777779</v>
      </c>
      <c r="Q86" s="428">
        <f>20+1</f>
        <v>21</v>
      </c>
      <c r="R86" s="372">
        <f>Q86/R$75</f>
        <v>0.875</v>
      </c>
      <c r="S86" s="428">
        <f>1+20</f>
        <v>21</v>
      </c>
      <c r="T86" s="372">
        <f>S86/T$75</f>
        <v>0.80769230769230771</v>
      </c>
      <c r="U86" s="428">
        <v>20</v>
      </c>
      <c r="V86" s="372">
        <f>U86/V$75</f>
        <v>0.7407407407407407</v>
      </c>
      <c r="W86" s="428">
        <v>20</v>
      </c>
      <c r="X86" s="372">
        <f>W86/X$75</f>
        <v>0.7142857142857143</v>
      </c>
      <c r="Y86" s="428">
        <v>18</v>
      </c>
      <c r="Z86" s="1397">
        <f>Y86/Z$75</f>
        <v>0.69230769230769229</v>
      </c>
      <c r="AA86" s="657"/>
      <c r="AB86" s="803">
        <f t="shared" ref="AB86:AB87" si="23">AVERAGE(W86,U86,S86,Q86,Y86)</f>
        <v>20</v>
      </c>
      <c r="AC86" s="685">
        <f t="shared" ref="AC86:AC87" si="24">AVERAGE(X86,V86,T86,R86,Z86)</f>
        <v>0.76600529100529102</v>
      </c>
    </row>
    <row r="87" spans="2:29" ht="12" x14ac:dyDescent="0.2">
      <c r="B87" s="42" t="s">
        <v>89</v>
      </c>
      <c r="C87" s="210">
        <v>8</v>
      </c>
      <c r="D87" s="200">
        <f t="shared" si="21"/>
        <v>0.26666666666666666</v>
      </c>
      <c r="E87" s="165">
        <f>5+1</f>
        <v>6</v>
      </c>
      <c r="F87" s="286">
        <f>E87/$F$75</f>
        <v>0.22222222222222221</v>
      </c>
      <c r="G87" s="370">
        <v>5</v>
      </c>
      <c r="H87" s="372">
        <f>G87/$H$75</f>
        <v>0.19230769230769232</v>
      </c>
      <c r="I87" s="428">
        <v>4</v>
      </c>
      <c r="J87" s="485">
        <f>I87/$J$75</f>
        <v>0.16666666666666666</v>
      </c>
      <c r="K87" s="370">
        <v>4</v>
      </c>
      <c r="L87" s="485">
        <f>K87/$L$75</f>
        <v>0.16</v>
      </c>
      <c r="M87" s="370">
        <f>3+2</f>
        <v>5</v>
      </c>
      <c r="N87" s="372">
        <f>M87/N$75</f>
        <v>0.19230769230769232</v>
      </c>
      <c r="O87" s="428">
        <v>6</v>
      </c>
      <c r="P87" s="372">
        <f>O87/P$75</f>
        <v>0.22222222222222221</v>
      </c>
      <c r="Q87" s="428">
        <v>5</v>
      </c>
      <c r="R87" s="372">
        <f>Q87/R$75</f>
        <v>0.20833333333333334</v>
      </c>
      <c r="S87" s="428">
        <f>5</f>
        <v>5</v>
      </c>
      <c r="T87" s="372">
        <f>S87/T$75</f>
        <v>0.19230769230769232</v>
      </c>
      <c r="U87" s="428">
        <v>7</v>
      </c>
      <c r="V87" s="372">
        <f>U87/V$75</f>
        <v>0.25925925925925924</v>
      </c>
      <c r="W87" s="428">
        <v>8</v>
      </c>
      <c r="X87" s="372">
        <f>W87/X$75</f>
        <v>0.2857142857142857</v>
      </c>
      <c r="Y87" s="428">
        <v>8</v>
      </c>
      <c r="Z87" s="1397">
        <f>Y87/Z$75</f>
        <v>0.30769230769230771</v>
      </c>
      <c r="AA87" s="657"/>
      <c r="AB87" s="803">
        <f t="shared" si="23"/>
        <v>6.6</v>
      </c>
      <c r="AC87" s="685">
        <f t="shared" si="24"/>
        <v>0.25066137566137564</v>
      </c>
    </row>
    <row r="88" spans="2:29" ht="12" x14ac:dyDescent="0.2">
      <c r="B88" s="1058" t="s">
        <v>102</v>
      </c>
      <c r="C88" s="203"/>
      <c r="D88" s="200"/>
      <c r="E88" s="166"/>
      <c r="F88" s="286"/>
      <c r="G88" s="291"/>
      <c r="H88" s="372"/>
      <c r="I88" s="429"/>
      <c r="J88" s="485"/>
      <c r="K88" s="291"/>
      <c r="L88" s="485"/>
      <c r="M88" s="291"/>
      <c r="N88" s="372"/>
      <c r="O88" s="429"/>
      <c r="P88" s="372"/>
      <c r="Q88" s="429"/>
      <c r="R88" s="372"/>
      <c r="S88" s="429"/>
      <c r="T88" s="372"/>
      <c r="U88" s="429"/>
      <c r="V88" s="372"/>
      <c r="W88" s="429"/>
      <c r="X88" s="372"/>
      <c r="Y88" s="429"/>
      <c r="Z88" s="1397"/>
      <c r="AA88" s="657"/>
      <c r="AB88" s="803"/>
      <c r="AC88" s="685"/>
    </row>
    <row r="89" spans="2:29" ht="12" x14ac:dyDescent="0.2">
      <c r="B89" s="42" t="s">
        <v>90</v>
      </c>
      <c r="C89" s="209">
        <v>16</v>
      </c>
      <c r="D89" s="200">
        <f t="shared" si="21"/>
        <v>0.53333333333333333</v>
      </c>
      <c r="E89" s="165">
        <v>19</v>
      </c>
      <c r="F89" s="286">
        <f>E89/$F$75</f>
        <v>0.70370370370370372</v>
      </c>
      <c r="G89" s="370">
        <v>20</v>
      </c>
      <c r="H89" s="372">
        <f>G89/$H$75</f>
        <v>0.76923076923076927</v>
      </c>
      <c r="I89" s="428">
        <v>19</v>
      </c>
      <c r="J89" s="485">
        <f>I89/$J$75</f>
        <v>0.79166666666666663</v>
      </c>
      <c r="K89" s="370">
        <v>20</v>
      </c>
      <c r="L89" s="485">
        <f>K89/$L$75</f>
        <v>0.8</v>
      </c>
      <c r="M89" s="370">
        <v>21</v>
      </c>
      <c r="N89" s="372">
        <f>M89/N$75</f>
        <v>0.80769230769230771</v>
      </c>
      <c r="O89" s="428">
        <v>21</v>
      </c>
      <c r="P89" s="372">
        <f>O89/P$75</f>
        <v>0.77777777777777779</v>
      </c>
      <c r="Q89" s="428">
        <f>19+1</f>
        <v>20</v>
      </c>
      <c r="R89" s="372">
        <f>Q89/R$75</f>
        <v>0.83333333333333337</v>
      </c>
      <c r="S89" s="428">
        <f>1+19</f>
        <v>20</v>
      </c>
      <c r="T89" s="372">
        <f>S89/T$75</f>
        <v>0.76923076923076927</v>
      </c>
      <c r="U89" s="428">
        <v>21</v>
      </c>
      <c r="V89" s="372">
        <f>U89/V$75</f>
        <v>0.77777777777777779</v>
      </c>
      <c r="W89" s="428">
        <v>20</v>
      </c>
      <c r="X89" s="372">
        <f>W89/X$75</f>
        <v>0.7142857142857143</v>
      </c>
      <c r="Y89" s="428">
        <v>18</v>
      </c>
      <c r="Z89" s="1397">
        <f>Y89/Z$75</f>
        <v>0.69230769230769229</v>
      </c>
      <c r="AA89" s="657"/>
      <c r="AB89" s="803">
        <f t="shared" ref="AB89:AB91" si="25">AVERAGE(W89,U89,S89,Q89,Y89)</f>
        <v>19.8</v>
      </c>
      <c r="AC89" s="685">
        <f t="shared" ref="AC89:AC91" si="26">AVERAGE(X89,V89,T89,R89,Z89)</f>
        <v>0.75738705738705736</v>
      </c>
    </row>
    <row r="90" spans="2:29" ht="12" x14ac:dyDescent="0.2">
      <c r="B90" s="42" t="s">
        <v>91</v>
      </c>
      <c r="C90" s="209">
        <v>9</v>
      </c>
      <c r="D90" s="200">
        <f t="shared" si="21"/>
        <v>0.3</v>
      </c>
      <c r="E90" s="165">
        <v>4</v>
      </c>
      <c r="F90" s="286">
        <f>E90/$F$75</f>
        <v>0.14814814814814814</v>
      </c>
      <c r="G90" s="370">
        <v>3</v>
      </c>
      <c r="H90" s="372">
        <f>G90/$H$75</f>
        <v>0.11538461538461539</v>
      </c>
      <c r="I90" s="428">
        <v>4</v>
      </c>
      <c r="J90" s="485">
        <f>I90/$J$75</f>
        <v>0.16666666666666666</v>
      </c>
      <c r="K90" s="370">
        <v>4</v>
      </c>
      <c r="L90" s="485">
        <f>K90/$L$75</f>
        <v>0.16</v>
      </c>
      <c r="M90" s="370">
        <v>4</v>
      </c>
      <c r="N90" s="372">
        <f>M90/N$75</f>
        <v>0.15384615384615385</v>
      </c>
      <c r="O90" s="428">
        <v>4</v>
      </c>
      <c r="P90" s="372">
        <f>O90/P$75</f>
        <v>0.14814814814814814</v>
      </c>
      <c r="Q90" s="428">
        <f>5</f>
        <v>5</v>
      </c>
      <c r="R90" s="372">
        <f>Q90/R$75</f>
        <v>0.20833333333333334</v>
      </c>
      <c r="S90" s="428">
        <f>5</f>
        <v>5</v>
      </c>
      <c r="T90" s="372">
        <f>S90/T$75</f>
        <v>0.19230769230769232</v>
      </c>
      <c r="U90" s="428">
        <v>4</v>
      </c>
      <c r="V90" s="372">
        <f>U90/V$75</f>
        <v>0.14814814814814814</v>
      </c>
      <c r="W90" s="428">
        <v>6</v>
      </c>
      <c r="X90" s="372">
        <f>W90/X$75</f>
        <v>0.21428571428571427</v>
      </c>
      <c r="Y90" s="428">
        <v>6</v>
      </c>
      <c r="Z90" s="1397">
        <f>Y90/Z$75</f>
        <v>0.23076923076923078</v>
      </c>
      <c r="AA90" s="657"/>
      <c r="AB90" s="803">
        <f t="shared" si="25"/>
        <v>5.2</v>
      </c>
      <c r="AC90" s="685">
        <f t="shared" si="26"/>
        <v>0.19876882376882379</v>
      </c>
    </row>
    <row r="91" spans="2:29" ht="12" x14ac:dyDescent="0.2">
      <c r="B91" s="42" t="s">
        <v>92</v>
      </c>
      <c r="C91" s="209">
        <v>5</v>
      </c>
      <c r="D91" s="200">
        <f t="shared" si="21"/>
        <v>0.16666666666666666</v>
      </c>
      <c r="E91" s="165">
        <f>3+1</f>
        <v>4</v>
      </c>
      <c r="F91" s="286">
        <f>E91/$F$75</f>
        <v>0.14814814814814814</v>
      </c>
      <c r="G91" s="370">
        <v>3</v>
      </c>
      <c r="H91" s="372">
        <f>G91/$H$75</f>
        <v>0.11538461538461539</v>
      </c>
      <c r="I91" s="428">
        <v>1</v>
      </c>
      <c r="J91" s="485">
        <f>I91/$J$75</f>
        <v>4.1666666666666664E-2</v>
      </c>
      <c r="K91" s="370">
        <v>1</v>
      </c>
      <c r="L91" s="485">
        <f>K91/$L$75</f>
        <v>0.04</v>
      </c>
      <c r="M91" s="370">
        <v>1</v>
      </c>
      <c r="N91" s="372">
        <f>M91/N$75</f>
        <v>3.8461538461538464E-2</v>
      </c>
      <c r="O91" s="428">
        <v>2</v>
      </c>
      <c r="P91" s="372">
        <f>O91/P$75</f>
        <v>7.407407407407407E-2</v>
      </c>
      <c r="Q91" s="428">
        <f>1</f>
        <v>1</v>
      </c>
      <c r="R91" s="372">
        <f>Q91/R$75</f>
        <v>4.1666666666666664E-2</v>
      </c>
      <c r="S91" s="428">
        <f>1</f>
        <v>1</v>
      </c>
      <c r="T91" s="372">
        <f>S91/T$75</f>
        <v>3.8461538461538464E-2</v>
      </c>
      <c r="U91" s="428">
        <v>2</v>
      </c>
      <c r="V91" s="372">
        <f>U91/V$75</f>
        <v>7.407407407407407E-2</v>
      </c>
      <c r="W91" s="428">
        <v>2</v>
      </c>
      <c r="X91" s="372">
        <f>W91/X$75</f>
        <v>7.1428571428571425E-2</v>
      </c>
      <c r="Y91" s="428">
        <v>2</v>
      </c>
      <c r="Z91" s="1397">
        <f>Y91/Z$75</f>
        <v>7.6923076923076927E-2</v>
      </c>
      <c r="AA91" s="657"/>
      <c r="AB91" s="803">
        <f t="shared" si="25"/>
        <v>1.6</v>
      </c>
      <c r="AC91" s="685">
        <f t="shared" si="26"/>
        <v>6.0510785510785502E-2</v>
      </c>
    </row>
    <row r="92" spans="2:29" ht="12" x14ac:dyDescent="0.2">
      <c r="B92" s="1058" t="s">
        <v>103</v>
      </c>
      <c r="C92" s="203"/>
      <c r="D92" s="200"/>
      <c r="E92" s="166"/>
      <c r="F92" s="286"/>
      <c r="G92" s="291"/>
      <c r="H92" s="372"/>
      <c r="I92" s="429"/>
      <c r="J92" s="485"/>
      <c r="K92" s="291"/>
      <c r="L92" s="485"/>
      <c r="M92" s="291"/>
      <c r="N92" s="372"/>
      <c r="O92" s="429"/>
      <c r="P92" s="372"/>
      <c r="Q92" s="429"/>
      <c r="R92" s="372"/>
      <c r="S92" s="429"/>
      <c r="T92" s="372"/>
      <c r="U92" s="429"/>
      <c r="V92" s="372"/>
      <c r="W92" s="429"/>
      <c r="X92" s="372"/>
      <c r="Y92" s="429"/>
      <c r="Z92" s="1397"/>
      <c r="AA92" s="657"/>
      <c r="AB92" s="803"/>
      <c r="AC92" s="685"/>
    </row>
    <row r="93" spans="2:29" ht="12" x14ac:dyDescent="0.2">
      <c r="B93" s="42" t="s">
        <v>93</v>
      </c>
      <c r="C93" s="209">
        <v>27</v>
      </c>
      <c r="D93" s="200">
        <f t="shared" si="21"/>
        <v>0.9</v>
      </c>
      <c r="E93" s="165">
        <v>24</v>
      </c>
      <c r="F93" s="286">
        <f>E93/$F$75</f>
        <v>0.88888888888888884</v>
      </c>
      <c r="G93" s="370">
        <v>24</v>
      </c>
      <c r="H93" s="372">
        <f>G93/$H$75</f>
        <v>0.92307692307692313</v>
      </c>
      <c r="I93" s="428">
        <v>22</v>
      </c>
      <c r="J93" s="485">
        <f>I93/$J$75</f>
        <v>0.91666666666666663</v>
      </c>
      <c r="K93" s="370">
        <v>24</v>
      </c>
      <c r="L93" s="485">
        <f>K93/$L$75</f>
        <v>0.96</v>
      </c>
      <c r="M93" s="370">
        <v>25</v>
      </c>
      <c r="N93" s="372">
        <f>M93/N$75</f>
        <v>0.96153846153846156</v>
      </c>
      <c r="O93" s="428">
        <v>26</v>
      </c>
      <c r="P93" s="372">
        <f>O93/P$75</f>
        <v>0.96296296296296291</v>
      </c>
      <c r="Q93" s="428">
        <f>24+1</f>
        <v>25</v>
      </c>
      <c r="R93" s="372">
        <f>Q93/R$75</f>
        <v>1.0416666666666667</v>
      </c>
      <c r="S93" s="428">
        <f>1+24</f>
        <v>25</v>
      </c>
      <c r="T93" s="372">
        <f>S93/T$75</f>
        <v>0.96153846153846156</v>
      </c>
      <c r="U93" s="428">
        <v>26</v>
      </c>
      <c r="V93" s="372">
        <f>U93/V$75</f>
        <v>0.96296296296296291</v>
      </c>
      <c r="W93" s="428">
        <v>27</v>
      </c>
      <c r="X93" s="372">
        <f>W93/X$75</f>
        <v>0.9642857142857143</v>
      </c>
      <c r="Y93" s="428">
        <v>25</v>
      </c>
      <c r="Z93" s="1397">
        <f>Y93/Z$75</f>
        <v>0.96153846153846156</v>
      </c>
      <c r="AA93" s="657"/>
      <c r="AB93" s="803">
        <f t="shared" ref="AB93:AB96" si="27">AVERAGE(W93,U93,S93,Q93,Y93)</f>
        <v>25.6</v>
      </c>
      <c r="AC93" s="685">
        <f t="shared" ref="AC93:AC96" si="28">AVERAGE(X93,V93,T93,R93,Z93)</f>
        <v>0.97839845339845355</v>
      </c>
    </row>
    <row r="94" spans="2:29" ht="12" x14ac:dyDescent="0.2">
      <c r="B94" s="42" t="s">
        <v>94</v>
      </c>
      <c r="C94" s="209">
        <v>2</v>
      </c>
      <c r="D94" s="200">
        <f t="shared" si="21"/>
        <v>6.6666666666666666E-2</v>
      </c>
      <c r="E94" s="165">
        <v>2</v>
      </c>
      <c r="F94" s="286">
        <f>E94/$F$75</f>
        <v>7.407407407407407E-2</v>
      </c>
      <c r="G94" s="370">
        <v>2</v>
      </c>
      <c r="H94" s="372">
        <f>G94/$H$75</f>
        <v>7.6923076923076927E-2</v>
      </c>
      <c r="I94" s="428">
        <v>2</v>
      </c>
      <c r="J94" s="485">
        <f>I94/$J$75</f>
        <v>8.3333333333333329E-2</v>
      </c>
      <c r="K94" s="370">
        <v>1</v>
      </c>
      <c r="L94" s="485">
        <f>K94/$L$75</f>
        <v>0.04</v>
      </c>
      <c r="M94" s="370">
        <v>1</v>
      </c>
      <c r="N94" s="372">
        <f>M94/N$75</f>
        <v>3.8461538461538464E-2</v>
      </c>
      <c r="O94" s="428">
        <v>1</v>
      </c>
      <c r="P94" s="372">
        <f>O94/P$75</f>
        <v>3.7037037037037035E-2</v>
      </c>
      <c r="Q94" s="428">
        <v>1</v>
      </c>
      <c r="R94" s="372">
        <f>Q94/R$75</f>
        <v>4.1666666666666664E-2</v>
      </c>
      <c r="S94" s="428">
        <f>1</f>
        <v>1</v>
      </c>
      <c r="T94" s="372">
        <f>S94/T$75</f>
        <v>3.8461538461538464E-2</v>
      </c>
      <c r="U94" s="428">
        <v>1</v>
      </c>
      <c r="V94" s="372">
        <f>U94/V$75</f>
        <v>3.7037037037037035E-2</v>
      </c>
      <c r="W94" s="428">
        <v>1</v>
      </c>
      <c r="X94" s="372">
        <f>W94/X$75</f>
        <v>3.5714285714285712E-2</v>
      </c>
      <c r="Y94" s="428">
        <v>1</v>
      </c>
      <c r="Z94" s="1397">
        <f>Y94/Z$75</f>
        <v>3.8461538461538464E-2</v>
      </c>
      <c r="AA94" s="657"/>
      <c r="AB94" s="803">
        <f t="shared" si="27"/>
        <v>1</v>
      </c>
      <c r="AC94" s="685">
        <f t="shared" si="28"/>
        <v>3.8268213268213266E-2</v>
      </c>
    </row>
    <row r="95" spans="2:29" ht="12" x14ac:dyDescent="0.2">
      <c r="B95" s="42" t="s">
        <v>95</v>
      </c>
      <c r="C95" s="209">
        <v>1</v>
      </c>
      <c r="D95" s="200">
        <f t="shared" si="21"/>
        <v>3.3333333333333333E-2</v>
      </c>
      <c r="E95" s="165">
        <f>0+1</f>
        <v>1</v>
      </c>
      <c r="F95" s="286">
        <f>E95/$F$75</f>
        <v>3.7037037037037035E-2</v>
      </c>
      <c r="G95" s="370">
        <v>0</v>
      </c>
      <c r="H95" s="372">
        <f>G95/$H$75</f>
        <v>0</v>
      </c>
      <c r="I95" s="428">
        <v>0</v>
      </c>
      <c r="J95" s="485">
        <f>I95/$J$75</f>
        <v>0</v>
      </c>
      <c r="K95" s="370">
        <v>0</v>
      </c>
      <c r="L95" s="485">
        <f>K95/$L$75</f>
        <v>0</v>
      </c>
      <c r="M95" s="370">
        <v>0</v>
      </c>
      <c r="N95" s="372">
        <f>M95/N$75</f>
        <v>0</v>
      </c>
      <c r="O95" s="428">
        <v>0</v>
      </c>
      <c r="P95" s="372">
        <f>O95/P$75</f>
        <v>0</v>
      </c>
      <c r="Q95" s="428">
        <v>0</v>
      </c>
      <c r="R95" s="372">
        <f>Q95/R$75</f>
        <v>0</v>
      </c>
      <c r="S95" s="428">
        <f>0</f>
        <v>0</v>
      </c>
      <c r="T95" s="372">
        <f>S95/T$75</f>
        <v>0</v>
      </c>
      <c r="U95" s="428">
        <v>0</v>
      </c>
      <c r="V95" s="372">
        <f>U95/V$75</f>
        <v>0</v>
      </c>
      <c r="W95" s="428">
        <v>0</v>
      </c>
      <c r="X95" s="372">
        <f>W95/X$75</f>
        <v>0</v>
      </c>
      <c r="Y95" s="428">
        <v>0</v>
      </c>
      <c r="Z95" s="1397">
        <f>Y95/Z$75</f>
        <v>0</v>
      </c>
      <c r="AA95" s="657"/>
      <c r="AB95" s="803">
        <f t="shared" si="27"/>
        <v>0</v>
      </c>
      <c r="AC95" s="685">
        <f t="shared" si="28"/>
        <v>0</v>
      </c>
    </row>
    <row r="96" spans="2:29" thickBot="1" x14ac:dyDescent="0.25">
      <c r="B96" s="682" t="s">
        <v>96</v>
      </c>
      <c r="C96" s="204">
        <v>0</v>
      </c>
      <c r="D96" s="205">
        <f t="shared" si="21"/>
        <v>0</v>
      </c>
      <c r="E96" s="167">
        <v>0</v>
      </c>
      <c r="F96" s="287">
        <f>E96/$F$75</f>
        <v>0</v>
      </c>
      <c r="G96" s="371">
        <v>0</v>
      </c>
      <c r="H96" s="453">
        <f>G96/$H$75</f>
        <v>0</v>
      </c>
      <c r="I96" s="430">
        <v>0</v>
      </c>
      <c r="J96" s="486">
        <f>I96/$J$75</f>
        <v>0</v>
      </c>
      <c r="K96" s="371">
        <v>0</v>
      </c>
      <c r="L96" s="486">
        <f>K96/$L$75</f>
        <v>0</v>
      </c>
      <c r="M96" s="371">
        <v>0</v>
      </c>
      <c r="N96" s="453">
        <f>M96/N$75</f>
        <v>0</v>
      </c>
      <c r="O96" s="430">
        <v>0</v>
      </c>
      <c r="P96" s="453">
        <f>O96/P$75</f>
        <v>0</v>
      </c>
      <c r="Q96" s="430">
        <v>0</v>
      </c>
      <c r="R96" s="453">
        <f>Q96/R$75</f>
        <v>0</v>
      </c>
      <c r="S96" s="430">
        <f>0</f>
        <v>0</v>
      </c>
      <c r="T96" s="453">
        <f>S96/T$75</f>
        <v>0</v>
      </c>
      <c r="U96" s="430">
        <v>0</v>
      </c>
      <c r="V96" s="453">
        <f>U96/V$75</f>
        <v>0</v>
      </c>
      <c r="W96" s="430">
        <v>0</v>
      </c>
      <c r="X96" s="453">
        <f>W96/X$75</f>
        <v>0</v>
      </c>
      <c r="Y96" s="430">
        <v>0</v>
      </c>
      <c r="Z96" s="1398">
        <f>Y96/Z$75</f>
        <v>0</v>
      </c>
      <c r="AA96" s="657"/>
      <c r="AB96" s="689">
        <f t="shared" si="27"/>
        <v>0</v>
      </c>
      <c r="AC96" s="685">
        <f t="shared" si="28"/>
        <v>0</v>
      </c>
    </row>
    <row r="97" spans="1:29" thickTop="1" x14ac:dyDescent="0.2">
      <c r="A97" s="652"/>
      <c r="B97" s="776" t="s">
        <v>131</v>
      </c>
      <c r="C97" s="52"/>
      <c r="D97" s="671"/>
      <c r="E97" s="672"/>
      <c r="F97" s="670"/>
      <c r="G97" s="672"/>
      <c r="H97" s="670"/>
      <c r="I97" s="672"/>
      <c r="J97" s="670"/>
      <c r="K97" s="672"/>
      <c r="L97" s="670"/>
      <c r="M97" s="705"/>
      <c r="N97" s="1025"/>
      <c r="O97" s="705"/>
      <c r="P97" s="1025"/>
      <c r="Q97" s="705"/>
      <c r="R97" s="1333"/>
      <c r="S97" s="705"/>
      <c r="T97" s="1333"/>
      <c r="U97" s="705"/>
      <c r="V97" s="1333"/>
      <c r="W97" s="705"/>
      <c r="X97" s="1333"/>
      <c r="Y97" s="705"/>
      <c r="Z97" s="1251"/>
      <c r="AA97" s="652"/>
      <c r="AC97" s="1035"/>
    </row>
    <row r="98" spans="1:29" ht="12" x14ac:dyDescent="0.2">
      <c r="A98" s="652"/>
      <c r="B98" s="777"/>
      <c r="C98" s="101" t="s">
        <v>97</v>
      </c>
      <c r="D98" s="677" t="s">
        <v>17</v>
      </c>
      <c r="E98" s="101" t="s">
        <v>97</v>
      </c>
      <c r="F98" s="677" t="s">
        <v>17</v>
      </c>
      <c r="G98" s="101" t="s">
        <v>97</v>
      </c>
      <c r="H98" s="677" t="s">
        <v>17</v>
      </c>
      <c r="I98" s="101" t="s">
        <v>97</v>
      </c>
      <c r="J98" s="677" t="s">
        <v>17</v>
      </c>
      <c r="K98" s="101" t="s">
        <v>97</v>
      </c>
      <c r="L98" s="677" t="s">
        <v>17</v>
      </c>
      <c r="M98" s="101" t="s">
        <v>97</v>
      </c>
      <c r="N98" s="677" t="s">
        <v>17</v>
      </c>
      <c r="O98" s="101" t="s">
        <v>97</v>
      </c>
      <c r="P98" s="677" t="s">
        <v>17</v>
      </c>
      <c r="Q98" s="253" t="s">
        <v>97</v>
      </c>
      <c r="R98" s="677" t="s">
        <v>17</v>
      </c>
      <c r="S98" s="253" t="s">
        <v>97</v>
      </c>
      <c r="T98" s="677" t="s">
        <v>17</v>
      </c>
      <c r="U98" s="253" t="s">
        <v>97</v>
      </c>
      <c r="V98" s="677" t="s">
        <v>17</v>
      </c>
      <c r="W98" s="253" t="s">
        <v>97</v>
      </c>
      <c r="X98" s="677" t="s">
        <v>17</v>
      </c>
      <c r="Y98" s="253" t="s">
        <v>97</v>
      </c>
      <c r="Z98" s="678" t="s">
        <v>17</v>
      </c>
      <c r="AA98" s="652"/>
      <c r="AB98" s="101" t="s">
        <v>97</v>
      </c>
      <c r="AC98" s="678" t="s">
        <v>17</v>
      </c>
    </row>
    <row r="99" spans="1:29" ht="12" x14ac:dyDescent="0.2">
      <c r="A99" s="652"/>
      <c r="B99" s="778" t="s">
        <v>132</v>
      </c>
      <c r="C99" s="101">
        <v>13</v>
      </c>
      <c r="D99" s="899">
        <v>6.5</v>
      </c>
      <c r="E99" s="253">
        <v>12</v>
      </c>
      <c r="F99" s="706">
        <v>6</v>
      </c>
      <c r="G99" s="253">
        <v>13</v>
      </c>
      <c r="H99" s="706">
        <v>6.3</v>
      </c>
      <c r="I99" s="253">
        <v>11</v>
      </c>
      <c r="J99" s="706">
        <v>5.5</v>
      </c>
      <c r="K99" s="101">
        <v>11</v>
      </c>
      <c r="L99" s="706">
        <v>5.5</v>
      </c>
      <c r="M99" s="840">
        <v>9</v>
      </c>
      <c r="N99" s="717">
        <v>4.25</v>
      </c>
      <c r="O99" s="840">
        <v>12</v>
      </c>
      <c r="P99" s="717">
        <v>5.65</v>
      </c>
      <c r="Q99" s="840">
        <v>12</v>
      </c>
      <c r="R99" s="440">
        <v>5.75</v>
      </c>
      <c r="S99" s="840">
        <v>22</v>
      </c>
      <c r="T99" s="440">
        <v>9.5</v>
      </c>
      <c r="U99" s="840">
        <v>22</v>
      </c>
      <c r="V99" s="440">
        <v>8.65</v>
      </c>
      <c r="W99" s="840">
        <v>20</v>
      </c>
      <c r="X99" s="440">
        <v>8.25</v>
      </c>
      <c r="Y99" s="840">
        <v>18</v>
      </c>
      <c r="Z99" s="240">
        <v>7.3</v>
      </c>
      <c r="AA99" s="900"/>
      <c r="AB99" s="877">
        <f t="shared" ref="AB99:AB101" si="29">AVERAGE(W99,U99,S99,Q99,Y99)</f>
        <v>18.8</v>
      </c>
      <c r="AC99" s="903">
        <f t="shared" ref="AC99:AC101" si="30">AVERAGE(X99,V99,T99,R99,Z99)</f>
        <v>7.8899999999999988</v>
      </c>
    </row>
    <row r="100" spans="1:29" ht="12" x14ac:dyDescent="0.2">
      <c r="A100" s="652"/>
      <c r="B100" s="778" t="s">
        <v>133</v>
      </c>
      <c r="C100" s="101">
        <v>0</v>
      </c>
      <c r="D100" s="899">
        <v>0</v>
      </c>
      <c r="E100" s="253">
        <v>1</v>
      </c>
      <c r="F100" s="706">
        <v>0.5</v>
      </c>
      <c r="G100" s="253">
        <v>2</v>
      </c>
      <c r="H100" s="706">
        <v>1</v>
      </c>
      <c r="I100" s="253">
        <v>2</v>
      </c>
      <c r="J100" s="706">
        <v>0.8</v>
      </c>
      <c r="K100" s="101">
        <v>2</v>
      </c>
      <c r="L100" s="706">
        <v>1</v>
      </c>
      <c r="M100" s="840">
        <v>3</v>
      </c>
      <c r="N100" s="717">
        <v>1.5</v>
      </c>
      <c r="O100" s="840">
        <v>2</v>
      </c>
      <c r="P100" s="717">
        <v>0.5</v>
      </c>
      <c r="Q100" s="840">
        <v>3</v>
      </c>
      <c r="R100" s="440">
        <v>1.5</v>
      </c>
      <c r="S100" s="840">
        <v>7</v>
      </c>
      <c r="T100" s="440">
        <v>2</v>
      </c>
      <c r="U100" s="840">
        <v>10</v>
      </c>
      <c r="V100" s="440">
        <v>2.75</v>
      </c>
      <c r="W100" s="840">
        <v>8</v>
      </c>
      <c r="X100" s="440">
        <v>2.16</v>
      </c>
      <c r="Y100" s="840">
        <v>8</v>
      </c>
      <c r="Z100" s="240">
        <v>2.2999999999999998</v>
      </c>
      <c r="AA100" s="900"/>
      <c r="AB100" s="877">
        <f t="shared" si="29"/>
        <v>7.2</v>
      </c>
      <c r="AC100" s="903">
        <f t="shared" si="30"/>
        <v>2.1420000000000003</v>
      </c>
    </row>
    <row r="101" spans="1:29" thickBot="1" x14ac:dyDescent="0.25">
      <c r="A101" s="652"/>
      <c r="B101" s="779" t="s">
        <v>158</v>
      </c>
      <c r="C101" s="683">
        <v>1</v>
      </c>
      <c r="D101" s="902">
        <v>0.4</v>
      </c>
      <c r="E101" s="878">
        <v>0</v>
      </c>
      <c r="F101" s="707">
        <v>0</v>
      </c>
      <c r="G101" s="878">
        <v>0</v>
      </c>
      <c r="H101" s="707">
        <v>0</v>
      </c>
      <c r="I101" s="878">
        <v>0</v>
      </c>
      <c r="J101" s="707">
        <v>0</v>
      </c>
      <c r="K101" s="683">
        <v>0</v>
      </c>
      <c r="L101" s="707">
        <v>0</v>
      </c>
      <c r="M101" s="843">
        <v>0</v>
      </c>
      <c r="N101" s="1036">
        <v>0</v>
      </c>
      <c r="O101" s="843">
        <v>1</v>
      </c>
      <c r="P101" s="1036">
        <v>0.4</v>
      </c>
      <c r="Q101" s="843">
        <v>2</v>
      </c>
      <c r="R101" s="1001">
        <v>1</v>
      </c>
      <c r="S101" s="843">
        <v>1</v>
      </c>
      <c r="T101" s="1001">
        <v>0.5</v>
      </c>
      <c r="U101" s="843">
        <v>1</v>
      </c>
      <c r="V101" s="1001">
        <v>0.5</v>
      </c>
      <c r="W101" s="843">
        <v>1</v>
      </c>
      <c r="X101" s="1001">
        <v>0.5</v>
      </c>
      <c r="Y101" s="843">
        <v>0</v>
      </c>
      <c r="Z101" s="1391">
        <v>0</v>
      </c>
      <c r="AA101" s="900"/>
      <c r="AB101" s="877">
        <f t="shared" si="29"/>
        <v>1</v>
      </c>
      <c r="AC101" s="904">
        <f t="shared" si="30"/>
        <v>0.5</v>
      </c>
    </row>
    <row r="102" spans="1:29" ht="14.25" thickTop="1" thickBot="1" x14ac:dyDescent="0.25">
      <c r="A102" s="652"/>
      <c r="B102" s="780"/>
      <c r="C102" s="1477" t="s">
        <v>35</v>
      </c>
      <c r="D102" s="1482"/>
      <c r="E102" s="1477" t="s">
        <v>36</v>
      </c>
      <c r="F102" s="1482"/>
      <c r="G102" s="1479" t="s">
        <v>122</v>
      </c>
      <c r="H102" s="1487"/>
      <c r="I102" s="1479" t="s">
        <v>123</v>
      </c>
      <c r="J102" s="1487"/>
      <c r="K102" s="1479" t="s">
        <v>148</v>
      </c>
      <c r="L102" s="1487"/>
      <c r="M102" s="1488" t="s">
        <v>149</v>
      </c>
      <c r="N102" s="1484"/>
      <c r="O102" s="1483" t="s">
        <v>175</v>
      </c>
      <c r="P102" s="1484"/>
      <c r="Q102" s="1483" t="s">
        <v>194</v>
      </c>
      <c r="R102" s="1484"/>
      <c r="S102" s="1483" t="s">
        <v>219</v>
      </c>
      <c r="T102" s="1484"/>
      <c r="U102" s="1483" t="s">
        <v>222</v>
      </c>
      <c r="V102" s="1484"/>
      <c r="W102" s="1483" t="s">
        <v>233</v>
      </c>
      <c r="X102" s="1484"/>
      <c r="Y102" s="1483" t="s">
        <v>242</v>
      </c>
      <c r="Z102" s="1489"/>
      <c r="AA102" s="24"/>
      <c r="AB102" s="1485"/>
      <c r="AC102" s="1486"/>
    </row>
    <row r="103" spans="1:29" x14ac:dyDescent="0.2">
      <c r="A103" s="652"/>
      <c r="B103" s="781" t="s">
        <v>157</v>
      </c>
      <c r="C103" s="1"/>
      <c r="D103" s="711"/>
      <c r="E103" s="712"/>
      <c r="F103" s="713"/>
      <c r="G103" s="714"/>
      <c r="H103" s="715"/>
      <c r="I103" s="716"/>
      <c r="J103" s="717"/>
      <c r="K103" s="655"/>
      <c r="L103" s="718"/>
      <c r="M103" s="655"/>
      <c r="N103" s="722"/>
      <c r="O103" s="222"/>
      <c r="P103" s="1187"/>
      <c r="Q103" s="655"/>
      <c r="R103" s="722"/>
      <c r="S103" s="655"/>
      <c r="T103" s="722"/>
      <c r="U103" s="222"/>
      <c r="V103" s="1425"/>
      <c r="W103" s="655"/>
      <c r="X103" s="722"/>
      <c r="Y103" s="655"/>
      <c r="Z103" s="1184"/>
      <c r="AA103" s="24"/>
      <c r="AB103" s="24"/>
      <c r="AC103" s="24"/>
    </row>
    <row r="104" spans="1:29" ht="12" x14ac:dyDescent="0.2">
      <c r="A104" s="652"/>
      <c r="B104" s="719" t="s">
        <v>138</v>
      </c>
      <c r="C104" s="1461">
        <v>10.66</v>
      </c>
      <c r="D104" s="1462"/>
      <c r="E104" s="720"/>
      <c r="F104" s="721"/>
      <c r="G104" s="655"/>
      <c r="H104" s="722"/>
      <c r="I104" s="1461">
        <v>11.26</v>
      </c>
      <c r="J104" s="1462"/>
      <c r="K104" s="723"/>
      <c r="L104" s="724"/>
      <c r="M104" s="723"/>
      <c r="N104" s="722"/>
      <c r="O104" s="235"/>
      <c r="P104" s="1233">
        <v>11.3</v>
      </c>
      <c r="Q104" s="723"/>
      <c r="R104" s="722"/>
      <c r="S104" s="723"/>
      <c r="T104" s="722"/>
      <c r="U104" s="235"/>
      <c r="V104" s="1233">
        <v>14.72</v>
      </c>
      <c r="W104" s="723"/>
      <c r="X104" s="722"/>
      <c r="Y104" s="723"/>
      <c r="Z104" s="1184"/>
      <c r="AA104" s="24"/>
      <c r="AB104" s="24"/>
      <c r="AC104" s="1215"/>
    </row>
    <row r="105" spans="1:29" ht="12" x14ac:dyDescent="0.2">
      <c r="A105" s="652"/>
      <c r="B105" s="725" t="s">
        <v>139</v>
      </c>
      <c r="C105" s="1461">
        <v>0</v>
      </c>
      <c r="D105" s="1462"/>
      <c r="E105" s="720"/>
      <c r="F105" s="721"/>
      <c r="G105" s="655"/>
      <c r="H105" s="722"/>
      <c r="I105" s="1461">
        <v>0</v>
      </c>
      <c r="J105" s="1462"/>
      <c r="K105" s="723"/>
      <c r="L105" s="724"/>
      <c r="M105" s="723"/>
      <c r="N105" s="722"/>
      <c r="O105" s="235"/>
      <c r="P105" s="1233"/>
      <c r="Q105" s="723"/>
      <c r="R105" s="722"/>
      <c r="S105" s="723"/>
      <c r="T105" s="722"/>
      <c r="U105" s="235"/>
      <c r="V105" s="1233"/>
      <c r="W105" s="723"/>
      <c r="X105" s="722"/>
      <c r="Y105" s="723"/>
      <c r="Z105" s="1184"/>
      <c r="AA105" s="24"/>
      <c r="AB105" s="24"/>
      <c r="AC105" s="1215"/>
    </row>
    <row r="106" spans="1:29" ht="12" x14ac:dyDescent="0.2">
      <c r="A106" s="652"/>
      <c r="B106" s="725" t="s">
        <v>140</v>
      </c>
      <c r="C106" s="1461"/>
      <c r="D106" s="1462"/>
      <c r="E106" s="720"/>
      <c r="F106" s="721"/>
      <c r="G106" s="655"/>
      <c r="H106" s="722"/>
      <c r="I106" s="1461"/>
      <c r="J106" s="1462"/>
      <c r="K106" s="723"/>
      <c r="L106" s="724"/>
      <c r="M106" s="723"/>
      <c r="N106" s="722"/>
      <c r="O106" s="235"/>
      <c r="P106" s="1233">
        <v>0</v>
      </c>
      <c r="Q106" s="723"/>
      <c r="R106" s="722"/>
      <c r="S106" s="723"/>
      <c r="T106" s="722"/>
      <c r="U106" s="235"/>
      <c r="V106" s="1233">
        <v>0</v>
      </c>
      <c r="W106" s="723"/>
      <c r="X106" s="722"/>
      <c r="Y106" s="723"/>
      <c r="Z106" s="1184"/>
      <c r="AA106" s="24"/>
      <c r="AB106" s="24"/>
      <c r="AC106" s="1215"/>
    </row>
    <row r="107" spans="1:29" ht="12" x14ac:dyDescent="0.2">
      <c r="A107" s="652"/>
      <c r="B107" s="719" t="s">
        <v>141</v>
      </c>
      <c r="C107" s="1461">
        <v>0</v>
      </c>
      <c r="D107" s="1462"/>
      <c r="E107" s="720"/>
      <c r="F107" s="721"/>
      <c r="G107" s="655"/>
      <c r="H107" s="722"/>
      <c r="I107" s="1461">
        <v>0.8</v>
      </c>
      <c r="J107" s="1462"/>
      <c r="K107" s="723"/>
      <c r="L107" s="724"/>
      <c r="M107" s="723"/>
      <c r="N107" s="722"/>
      <c r="O107" s="235"/>
      <c r="P107" s="1233">
        <v>0.5</v>
      </c>
      <c r="Q107" s="723"/>
      <c r="R107" s="722"/>
      <c r="S107" s="723"/>
      <c r="T107" s="722"/>
      <c r="U107" s="235"/>
      <c r="V107" s="1233">
        <v>2.75</v>
      </c>
      <c r="W107" s="723"/>
      <c r="X107" s="722"/>
      <c r="Y107" s="723"/>
      <c r="Z107" s="1184"/>
      <c r="AA107" s="24"/>
      <c r="AB107" s="24"/>
      <c r="AC107" s="1215"/>
    </row>
    <row r="108" spans="1:29" ht="12" x14ac:dyDescent="0.2">
      <c r="A108" s="652"/>
      <c r="B108" s="726" t="s">
        <v>142</v>
      </c>
      <c r="C108" s="1461">
        <v>1</v>
      </c>
      <c r="D108" s="1462"/>
      <c r="E108" s="720"/>
      <c r="F108" s="721"/>
      <c r="G108" s="655"/>
      <c r="H108" s="722"/>
      <c r="I108" s="1461">
        <v>0</v>
      </c>
      <c r="J108" s="1462"/>
      <c r="K108" s="723"/>
      <c r="L108" s="724"/>
      <c r="M108" s="723"/>
      <c r="N108" s="722"/>
      <c r="O108" s="235"/>
      <c r="P108" s="1233">
        <v>0.2</v>
      </c>
      <c r="Q108" s="723"/>
      <c r="R108" s="722"/>
      <c r="S108" s="723"/>
      <c r="T108" s="722"/>
      <c r="U108" s="235"/>
      <c r="V108" s="1233">
        <v>0</v>
      </c>
      <c r="W108" s="723"/>
      <c r="X108" s="722"/>
      <c r="Y108" s="723"/>
      <c r="Z108" s="1184"/>
      <c r="AA108" s="24"/>
      <c r="AB108" s="24"/>
      <c r="AC108" s="1215"/>
    </row>
    <row r="109" spans="1:29" ht="12" x14ac:dyDescent="0.2">
      <c r="A109" s="652"/>
      <c r="B109" s="726" t="s">
        <v>143</v>
      </c>
      <c r="C109" s="1461">
        <f>SUM(C104:D108)</f>
        <v>11.66</v>
      </c>
      <c r="D109" s="1462"/>
      <c r="E109" s="720"/>
      <c r="F109" s="721"/>
      <c r="G109" s="655"/>
      <c r="H109" s="722"/>
      <c r="I109" s="1461">
        <f>SUM(I104:J108)</f>
        <v>12.06</v>
      </c>
      <c r="J109" s="1462"/>
      <c r="K109" s="723"/>
      <c r="L109" s="724"/>
      <c r="M109" s="723"/>
      <c r="N109" s="722"/>
      <c r="O109" s="235"/>
      <c r="P109" s="1233">
        <f>SUM(P104:P108)</f>
        <v>12</v>
      </c>
      <c r="Q109" s="723"/>
      <c r="R109" s="722"/>
      <c r="S109" s="723"/>
      <c r="T109" s="722"/>
      <c r="U109" s="235"/>
      <c r="V109" s="1233">
        <f>SUM(V104:V108)</f>
        <v>17.47</v>
      </c>
      <c r="W109" s="723"/>
      <c r="X109" s="722"/>
      <c r="Y109" s="723"/>
      <c r="Z109" s="1184"/>
      <c r="AA109" s="24"/>
      <c r="AB109" s="24"/>
      <c r="AC109" s="1215"/>
    </row>
    <row r="110" spans="1:29" thickBot="1" x14ac:dyDescent="0.25">
      <c r="A110" s="652"/>
      <c r="B110" s="727" t="s">
        <v>151</v>
      </c>
      <c r="C110" s="1526"/>
      <c r="D110" s="1527"/>
      <c r="E110" s="720"/>
      <c r="F110" s="721"/>
      <c r="G110" s="655"/>
      <c r="H110" s="722"/>
      <c r="I110" s="1526"/>
      <c r="J110" s="1527"/>
      <c r="K110" s="723"/>
      <c r="L110" s="724"/>
      <c r="M110" s="723"/>
      <c r="N110" s="722"/>
      <c r="O110" s="235"/>
      <c r="P110" s="1187"/>
      <c r="Q110" s="723"/>
      <c r="R110" s="722"/>
      <c r="S110" s="723"/>
      <c r="T110" s="722"/>
      <c r="U110" s="235"/>
      <c r="V110" s="1187"/>
      <c r="W110" s="723"/>
      <c r="X110" s="722"/>
      <c r="Y110" s="723"/>
      <c r="Z110" s="1184"/>
      <c r="AA110" s="24"/>
      <c r="AB110" s="24"/>
      <c r="AC110" s="1215"/>
    </row>
    <row r="111" spans="1:29" ht="12" x14ac:dyDescent="0.2">
      <c r="A111" s="652"/>
      <c r="B111" s="719" t="s">
        <v>144</v>
      </c>
      <c r="C111" s="1524">
        <v>2992</v>
      </c>
      <c r="D111" s="1525"/>
      <c r="E111" s="720"/>
      <c r="F111" s="721"/>
      <c r="G111" s="655"/>
      <c r="H111" s="722"/>
      <c r="I111" s="1524">
        <v>2564</v>
      </c>
      <c r="J111" s="1525"/>
      <c r="K111" s="723"/>
      <c r="L111" s="724"/>
      <c r="M111" s="723"/>
      <c r="N111" s="722"/>
      <c r="O111" s="235"/>
      <c r="P111" s="1231">
        <v>2246</v>
      </c>
      <c r="Q111" s="723"/>
      <c r="R111" s="722"/>
      <c r="S111" s="723"/>
      <c r="T111" s="722"/>
      <c r="U111" s="235"/>
      <c r="V111" s="1231">
        <v>2198</v>
      </c>
      <c r="W111" s="723"/>
      <c r="X111" s="722"/>
      <c r="Y111" s="723"/>
      <c r="Z111" s="1184"/>
      <c r="AA111" s="24"/>
      <c r="AB111" s="24"/>
      <c r="AC111" s="550"/>
    </row>
    <row r="112" spans="1:29" ht="12" x14ac:dyDescent="0.2">
      <c r="A112" s="652"/>
      <c r="B112" s="726" t="s">
        <v>145</v>
      </c>
      <c r="C112" s="1524">
        <v>0</v>
      </c>
      <c r="D112" s="1525"/>
      <c r="E112" s="720"/>
      <c r="F112" s="721"/>
      <c r="G112" s="655"/>
      <c r="H112" s="722"/>
      <c r="I112" s="1524">
        <v>0</v>
      </c>
      <c r="J112" s="1525"/>
      <c r="K112" s="723"/>
      <c r="L112" s="724"/>
      <c r="M112" s="723"/>
      <c r="N112" s="722"/>
      <c r="O112" s="235"/>
      <c r="P112" s="1231">
        <v>0</v>
      </c>
      <c r="Q112" s="723"/>
      <c r="R112" s="722"/>
      <c r="S112" s="723"/>
      <c r="T112" s="722"/>
      <c r="U112" s="235"/>
      <c r="V112" s="1231">
        <v>0</v>
      </c>
      <c r="W112" s="723"/>
      <c r="X112" s="722"/>
      <c r="Y112" s="723"/>
      <c r="Z112" s="1184"/>
      <c r="AA112" s="24"/>
      <c r="AB112" s="24"/>
      <c r="AC112" s="550"/>
    </row>
    <row r="113" spans="1:29" ht="12" x14ac:dyDescent="0.2">
      <c r="A113" s="652"/>
      <c r="B113" s="726" t="s">
        <v>146</v>
      </c>
      <c r="C113" s="1524">
        <v>222</v>
      </c>
      <c r="D113" s="1525"/>
      <c r="E113" s="720"/>
      <c r="F113" s="721"/>
      <c r="G113" s="655"/>
      <c r="H113" s="722"/>
      <c r="I113" s="1524">
        <v>0</v>
      </c>
      <c r="J113" s="1525"/>
      <c r="K113" s="723"/>
      <c r="L113" s="724"/>
      <c r="M113" s="723"/>
      <c r="N113" s="722"/>
      <c r="O113" s="235"/>
      <c r="P113" s="1231">
        <v>22</v>
      </c>
      <c r="Q113" s="723"/>
      <c r="R113" s="722"/>
      <c r="S113" s="723"/>
      <c r="T113" s="722"/>
      <c r="U113" s="235"/>
      <c r="V113" s="1231">
        <v>33</v>
      </c>
      <c r="W113" s="723"/>
      <c r="X113" s="722"/>
      <c r="Y113" s="723"/>
      <c r="Z113" s="1184"/>
      <c r="AA113" s="24"/>
      <c r="AB113" s="24"/>
      <c r="AC113" s="550"/>
    </row>
    <row r="114" spans="1:29" ht="12" x14ac:dyDescent="0.2">
      <c r="A114" s="652"/>
      <c r="B114" s="726" t="s">
        <v>156</v>
      </c>
      <c r="C114" s="1524">
        <f>SUM(C111:D113)</f>
        <v>3214</v>
      </c>
      <c r="D114" s="1525"/>
      <c r="E114" s="720"/>
      <c r="F114" s="721"/>
      <c r="G114" s="655"/>
      <c r="H114" s="722"/>
      <c r="I114" s="1524">
        <f>SUM(I111:J113)</f>
        <v>2564</v>
      </c>
      <c r="J114" s="1525"/>
      <c r="K114" s="723"/>
      <c r="L114" s="724"/>
      <c r="M114" s="723"/>
      <c r="N114" s="722"/>
      <c r="O114" s="235"/>
      <c r="P114" s="1231">
        <f>SUM(P111:P113)</f>
        <v>2268</v>
      </c>
      <c r="Q114" s="723"/>
      <c r="R114" s="722"/>
      <c r="S114" s="723"/>
      <c r="T114" s="722"/>
      <c r="U114" s="235"/>
      <c r="V114" s="1231">
        <f>SUM(V111:V113)</f>
        <v>2231</v>
      </c>
      <c r="W114" s="723"/>
      <c r="X114" s="722"/>
      <c r="Y114" s="723"/>
      <c r="Z114" s="1184"/>
      <c r="AA114" s="24"/>
      <c r="AB114" s="24"/>
      <c r="AC114" s="550"/>
    </row>
    <row r="115" spans="1:29" thickBot="1" x14ac:dyDescent="0.25">
      <c r="A115" s="652"/>
      <c r="B115" s="727" t="s">
        <v>152</v>
      </c>
      <c r="C115" s="1461"/>
      <c r="D115" s="1462"/>
      <c r="E115" s="720"/>
      <c r="F115" s="721"/>
      <c r="G115" s="655"/>
      <c r="H115" s="722"/>
      <c r="I115" s="1461"/>
      <c r="J115" s="1462"/>
      <c r="K115" s="723"/>
      <c r="L115" s="724"/>
      <c r="M115" s="723"/>
      <c r="N115" s="722"/>
      <c r="O115" s="235"/>
      <c r="P115" s="1187"/>
      <c r="Q115" s="723"/>
      <c r="R115" s="722"/>
      <c r="S115" s="723"/>
      <c r="T115" s="722"/>
      <c r="U115" s="235"/>
      <c r="V115" s="1187"/>
      <c r="W115" s="723"/>
      <c r="X115" s="722"/>
      <c r="Y115" s="723"/>
      <c r="Z115" s="1184"/>
      <c r="AA115" s="24"/>
      <c r="AB115" s="24"/>
      <c r="AC115" s="550"/>
    </row>
    <row r="116" spans="1:29" ht="12" x14ac:dyDescent="0.2">
      <c r="A116" s="652"/>
      <c r="B116" s="719" t="s">
        <v>153</v>
      </c>
      <c r="C116" s="1461">
        <f>C111/C104</f>
        <v>280.67542213883678</v>
      </c>
      <c r="D116" s="1462"/>
      <c r="E116" s="728"/>
      <c r="F116" s="729"/>
      <c r="G116" s="730"/>
      <c r="H116" s="731"/>
      <c r="I116" s="1461">
        <f>I111/I104</f>
        <v>227.70870337477797</v>
      </c>
      <c r="J116" s="1462"/>
      <c r="K116" s="723"/>
      <c r="L116" s="732"/>
      <c r="M116" s="723"/>
      <c r="N116" s="722"/>
      <c r="O116" s="235"/>
      <c r="P116" s="1199">
        <f>P111/P104</f>
        <v>198.76106194690263</v>
      </c>
      <c r="Q116" s="723"/>
      <c r="R116" s="722"/>
      <c r="S116" s="723"/>
      <c r="T116" s="722"/>
      <c r="U116" s="235"/>
      <c r="V116" s="1199">
        <f>V111/V104</f>
        <v>149.32065217391303</v>
      </c>
      <c r="W116" s="723"/>
      <c r="X116" s="722"/>
      <c r="Y116" s="723"/>
      <c r="Z116" s="1184"/>
      <c r="AB116" s="24"/>
      <c r="AC116" s="550"/>
    </row>
    <row r="117" spans="1:29" ht="12" x14ac:dyDescent="0.2">
      <c r="A117" s="652"/>
      <c r="B117" s="726" t="s">
        <v>154</v>
      </c>
      <c r="C117" s="1461">
        <v>0</v>
      </c>
      <c r="D117" s="1462"/>
      <c r="E117" s="728"/>
      <c r="F117" s="729"/>
      <c r="G117" s="730"/>
      <c r="H117" s="731"/>
      <c r="I117" s="1461">
        <f>I112/SUM(I105:J107)</f>
        <v>0</v>
      </c>
      <c r="J117" s="1462"/>
      <c r="K117" s="723"/>
      <c r="L117" s="732"/>
      <c r="M117" s="723"/>
      <c r="N117" s="722"/>
      <c r="O117" s="235"/>
      <c r="P117" s="1199">
        <f>P112/SUM(P105:Q107)</f>
        <v>0</v>
      </c>
      <c r="Q117" s="723"/>
      <c r="R117" s="722"/>
      <c r="S117" s="723"/>
      <c r="T117" s="722"/>
      <c r="U117" s="235"/>
      <c r="V117" s="1199">
        <v>0</v>
      </c>
      <c r="W117" s="723"/>
      <c r="X117" s="722"/>
      <c r="Y117" s="723"/>
      <c r="Z117" s="1184"/>
      <c r="AB117" s="24"/>
      <c r="AC117" s="550"/>
    </row>
    <row r="118" spans="1:29" ht="12" x14ac:dyDescent="0.2">
      <c r="A118" s="652"/>
      <c r="B118" s="726" t="s">
        <v>155</v>
      </c>
      <c r="C118" s="1461">
        <f>C113/C108</f>
        <v>222</v>
      </c>
      <c r="D118" s="1462"/>
      <c r="E118" s="728"/>
      <c r="F118" s="729"/>
      <c r="G118" s="730"/>
      <c r="H118" s="731"/>
      <c r="I118" s="1461">
        <v>0</v>
      </c>
      <c r="J118" s="1462"/>
      <c r="K118" s="723"/>
      <c r="L118" s="732"/>
      <c r="M118" s="723"/>
      <c r="N118" s="722"/>
      <c r="O118" s="235"/>
      <c r="P118" s="1199">
        <f>P113/P108</f>
        <v>110</v>
      </c>
      <c r="Q118" s="723"/>
      <c r="R118" s="722"/>
      <c r="S118" s="723"/>
      <c r="T118" s="722"/>
      <c r="U118" s="235"/>
      <c r="V118" s="1199">
        <v>0</v>
      </c>
      <c r="W118" s="723"/>
      <c r="X118" s="722"/>
      <c r="Y118" s="723"/>
      <c r="Z118" s="1184"/>
      <c r="AB118" s="24"/>
      <c r="AC118" s="550"/>
    </row>
    <row r="119" spans="1:29" thickBot="1" x14ac:dyDescent="0.25">
      <c r="A119" s="652"/>
      <c r="B119" s="733" t="s">
        <v>147</v>
      </c>
      <c r="C119" s="1459">
        <f>C114/C109</f>
        <v>275.64322469982847</v>
      </c>
      <c r="D119" s="1460"/>
      <c r="E119" s="734"/>
      <c r="F119" s="735"/>
      <c r="G119" s="736"/>
      <c r="H119" s="737"/>
      <c r="I119" s="1459">
        <f>I114/I109</f>
        <v>212.60364842454393</v>
      </c>
      <c r="J119" s="1460"/>
      <c r="K119" s="738"/>
      <c r="L119" s="739"/>
      <c r="M119" s="738"/>
      <c r="N119" s="739"/>
      <c r="O119" s="252"/>
      <c r="P119" s="1200">
        <f>P114/P109</f>
        <v>189</v>
      </c>
      <c r="Q119" s="738"/>
      <c r="R119" s="739"/>
      <c r="S119" s="738"/>
      <c r="T119" s="739"/>
      <c r="U119" s="252"/>
      <c r="V119" s="1200">
        <f>V114/V109</f>
        <v>127.70463651974815</v>
      </c>
      <c r="W119" s="738"/>
      <c r="X119" s="739"/>
      <c r="Y119" s="738"/>
      <c r="Z119" s="1185"/>
      <c r="AB119" s="24"/>
      <c r="AC119" s="550"/>
    </row>
    <row r="120" spans="1:29" ht="13.5" thickTop="1" x14ac:dyDescent="0.2">
      <c r="B120" s="1" t="str">
        <f>'ag sum'!B126</f>
        <v>*Note: For the 2009 collection cycle and later, Instructional FTE was defined according to the national Delaware Study of Instructional Costs and Productivity</v>
      </c>
    </row>
  </sheetData>
  <mergeCells count="124">
    <mergeCell ref="Y26:Z26"/>
    <mergeCell ref="Y34:Z34"/>
    <mergeCell ref="Y37:Z37"/>
    <mergeCell ref="Y41:Z41"/>
    <mergeCell ref="Y67:Z67"/>
    <mergeCell ref="Y102:Z102"/>
    <mergeCell ref="AB37:AC37"/>
    <mergeCell ref="C26:D26"/>
    <mergeCell ref="E26:F26"/>
    <mergeCell ref="K41:L41"/>
    <mergeCell ref="K34:L34"/>
    <mergeCell ref="K37:L37"/>
    <mergeCell ref="C41:D41"/>
    <mergeCell ref="C34:D34"/>
    <mergeCell ref="U26:V26"/>
    <mergeCell ref="U34:V34"/>
    <mergeCell ref="U37:V37"/>
    <mergeCell ref="U41:V41"/>
    <mergeCell ref="I41:J41"/>
    <mergeCell ref="I37:J37"/>
    <mergeCell ref="E34:F34"/>
    <mergeCell ref="C35:D35"/>
    <mergeCell ref="E35:F35"/>
    <mergeCell ref="C36:D36"/>
    <mergeCell ref="E36:F36"/>
    <mergeCell ref="C37:D37"/>
    <mergeCell ref="G37:H37"/>
    <mergeCell ref="E37:F37"/>
    <mergeCell ref="K6:L6"/>
    <mergeCell ref="K26:L26"/>
    <mergeCell ref="G36:H36"/>
    <mergeCell ref="I36:J36"/>
    <mergeCell ref="I34:J34"/>
    <mergeCell ref="G35:H35"/>
    <mergeCell ref="I26:J26"/>
    <mergeCell ref="G26:H26"/>
    <mergeCell ref="G34:H34"/>
    <mergeCell ref="I35:J35"/>
    <mergeCell ref="AB6:AC6"/>
    <mergeCell ref="M37:N37"/>
    <mergeCell ref="M6:N6"/>
    <mergeCell ref="M26:N26"/>
    <mergeCell ref="O6:P6"/>
    <mergeCell ref="O26:P26"/>
    <mergeCell ref="M34:N34"/>
    <mergeCell ref="O34:P34"/>
    <mergeCell ref="O37:P37"/>
    <mergeCell ref="U6:V6"/>
    <mergeCell ref="AB26:AC26"/>
    <mergeCell ref="Q6:R6"/>
    <mergeCell ref="Q26:R26"/>
    <mergeCell ref="Q34:R34"/>
    <mergeCell ref="Q37:R37"/>
    <mergeCell ref="S6:T6"/>
    <mergeCell ref="S26:T26"/>
    <mergeCell ref="S34:T34"/>
    <mergeCell ref="S37:T37"/>
    <mergeCell ref="W6:X6"/>
    <mergeCell ref="W26:X26"/>
    <mergeCell ref="W34:X34"/>
    <mergeCell ref="W37:X37"/>
    <mergeCell ref="Y6:Z6"/>
    <mergeCell ref="AB41:AC41"/>
    <mergeCell ref="M41:N41"/>
    <mergeCell ref="O102:P102"/>
    <mergeCell ref="O41:P41"/>
    <mergeCell ref="O67:P67"/>
    <mergeCell ref="G67:H67"/>
    <mergeCell ref="C104:D104"/>
    <mergeCell ref="I104:J104"/>
    <mergeCell ref="C102:D102"/>
    <mergeCell ref="E102:F102"/>
    <mergeCell ref="G102:H102"/>
    <mergeCell ref="I102:J102"/>
    <mergeCell ref="C67:D67"/>
    <mergeCell ref="E67:F67"/>
    <mergeCell ref="Q41:R41"/>
    <mergeCell ref="S41:T41"/>
    <mergeCell ref="G41:H41"/>
    <mergeCell ref="E41:F41"/>
    <mergeCell ref="U67:V67"/>
    <mergeCell ref="U102:V102"/>
    <mergeCell ref="I67:J67"/>
    <mergeCell ref="K102:L102"/>
    <mergeCell ref="M102:N102"/>
    <mergeCell ref="M67:N67"/>
    <mergeCell ref="C119:D119"/>
    <mergeCell ref="I119:J119"/>
    <mergeCell ref="AB67:AC67"/>
    <mergeCell ref="AB102:AC102"/>
    <mergeCell ref="C117:D117"/>
    <mergeCell ref="I117:J117"/>
    <mergeCell ref="C118:D118"/>
    <mergeCell ref="I118:J118"/>
    <mergeCell ref="C115:D115"/>
    <mergeCell ref="I115:J115"/>
    <mergeCell ref="Q102:R102"/>
    <mergeCell ref="Q67:R67"/>
    <mergeCell ref="S102:T102"/>
    <mergeCell ref="S67:T67"/>
    <mergeCell ref="W102:X102"/>
    <mergeCell ref="I105:J106"/>
    <mergeCell ref="C107:D107"/>
    <mergeCell ref="I107:J107"/>
    <mergeCell ref="C108:D108"/>
    <mergeCell ref="I108:J108"/>
    <mergeCell ref="C105:D106"/>
    <mergeCell ref="I111:J111"/>
    <mergeCell ref="C112:D112"/>
    <mergeCell ref="I112:J112"/>
    <mergeCell ref="W41:X41"/>
    <mergeCell ref="W67:X67"/>
    <mergeCell ref="C116:D116"/>
    <mergeCell ref="I116:J116"/>
    <mergeCell ref="C113:D113"/>
    <mergeCell ref="I113:J113"/>
    <mergeCell ref="C114:D114"/>
    <mergeCell ref="I114:J114"/>
    <mergeCell ref="C111:D111"/>
    <mergeCell ref="C109:D109"/>
    <mergeCell ref="I109:J109"/>
    <mergeCell ref="C110:D110"/>
    <mergeCell ref="I110:J110"/>
    <mergeCell ref="K67:L67"/>
  </mergeCells>
  <phoneticPr fontId="0" type="noConversion"/>
  <printOptions horizontalCentered="1"/>
  <pageMargins left="0.5" right="0.5" top="0.25" bottom="0.25" header="0.5" footer="0.5"/>
  <pageSetup scale="69" orientation="landscape" horizontalDpi="4294967292" verticalDpi="4294967292" r:id="rId1"/>
  <headerFooter alignWithMargins="0">
    <oddFooter>&amp;R&amp;P of &amp;N
&amp;D</oddFooter>
  </headerFooter>
  <rowBreaks count="1" manualBreakCount="1">
    <brk id="64" max="17" man="1"/>
  </rowBreaks>
  <ignoredErrors>
    <ignoredError sqref="S77:S96 Q77:R9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6"/>
  <sheetViews>
    <sheetView view="pageBreakPreview" zoomScaleNormal="70" zoomScaleSheetLayoutView="100" workbookViewId="0">
      <pane xSplit="2" ySplit="1" topLeftCell="O2" activePane="bottomRight" state="frozen"/>
      <selection activeCell="AE82" sqref="AE82"/>
      <selection pane="topRight" activeCell="AE82" sqref="AE82"/>
      <selection pane="bottomLeft" activeCell="AE82" sqref="AE82"/>
      <selection pane="bottomRight" activeCell="AE82" sqref="AE82"/>
    </sheetView>
  </sheetViews>
  <sheetFormatPr defaultColWidth="10.28515625" defaultRowHeight="12.75" x14ac:dyDescent="0.2"/>
  <cols>
    <col min="1" max="1" width="3.7109375" style="1" customWidth="1"/>
    <col min="2" max="2" width="29.7109375" style="1" customWidth="1"/>
    <col min="3" max="3" width="7.7109375" hidden="1" customWidth="1"/>
    <col min="4" max="4" width="10.42578125" hidden="1" customWidth="1"/>
    <col min="5" max="5" width="7.7109375" hidden="1" customWidth="1"/>
    <col min="6" max="6" width="10.42578125" hidden="1" customWidth="1"/>
    <col min="7" max="7" width="7.7109375" style="223" hidden="1" customWidth="1"/>
    <col min="8" max="8" width="10.42578125" style="223" hidden="1" customWidth="1"/>
    <col min="9" max="9" width="7.7109375" style="223" hidden="1" customWidth="1"/>
    <col min="10" max="10" width="10.42578125" style="223" hidden="1" customWidth="1"/>
    <col min="11" max="11" width="7.7109375" style="1" hidden="1" customWidth="1"/>
    <col min="12" max="12" width="10.5703125" style="1" hidden="1" customWidth="1"/>
    <col min="13" max="13" width="7.7109375" style="1" hidden="1" customWidth="1"/>
    <col min="14" max="14" width="10.5703125" style="1" hidden="1" customWidth="1"/>
    <col min="15" max="15" width="7.7109375" style="1" customWidth="1"/>
    <col min="16" max="16" width="10.28515625" style="1" customWidth="1"/>
    <col min="17" max="17" width="7.7109375" style="1" customWidth="1"/>
    <col min="18" max="18" width="10.28515625" style="1" customWidth="1"/>
    <col min="19" max="19" width="7.7109375" style="1" customWidth="1"/>
    <col min="20" max="20" width="10.28515625" style="1" customWidth="1"/>
    <col min="21" max="21" width="7.7109375" style="1" customWidth="1"/>
    <col min="22" max="22" width="10.28515625" style="1" customWidth="1"/>
    <col min="23" max="23" width="7.7109375" style="1" customWidth="1"/>
    <col min="24" max="24" width="10.28515625" style="1" customWidth="1"/>
    <col min="25" max="25" width="7.7109375" style="1" customWidth="1"/>
    <col min="26" max="26" width="10.28515625" style="1" customWidth="1"/>
    <col min="27" max="27" width="4.5703125" style="1" customWidth="1"/>
    <col min="28" max="29" width="10.28515625" style="1" customWidth="1"/>
    <col min="30" max="30" width="3.5703125" style="1" customWidth="1"/>
    <col min="31" max="16384" width="10.28515625" style="1"/>
  </cols>
  <sheetData>
    <row r="1" spans="1:30" ht="18" x14ac:dyDescent="0.25">
      <c r="A1" s="1100" t="str">
        <f>Dean_Ag!A1</f>
        <v>Department Profile Report - FY 2015</v>
      </c>
      <c r="B1" s="1100"/>
      <c r="C1" s="1100"/>
      <c r="D1" s="1100"/>
      <c r="E1" s="1100"/>
      <c r="F1" s="1100"/>
      <c r="G1" s="1100"/>
      <c r="H1" s="1100"/>
      <c r="I1" s="1101"/>
      <c r="J1" s="1101"/>
      <c r="K1" s="1101"/>
      <c r="L1" s="1101"/>
      <c r="M1" s="1101"/>
      <c r="N1" s="1101"/>
      <c r="O1" s="1101"/>
      <c r="P1" s="1101"/>
      <c r="Q1" s="1101"/>
      <c r="R1" s="1101"/>
      <c r="S1" s="1101"/>
      <c r="T1" s="1101"/>
      <c r="U1" s="1101"/>
      <c r="V1" s="1101"/>
      <c r="W1" s="1101"/>
      <c r="X1" s="1101"/>
      <c r="Y1" s="1101"/>
      <c r="Z1" s="1101"/>
      <c r="AA1" s="1101"/>
      <c r="AB1" s="1101"/>
      <c r="AC1" s="1101"/>
    </row>
    <row r="2" spans="1:30" ht="4.5" customHeight="1" x14ac:dyDescent="0.2">
      <c r="C2" s="1"/>
      <c r="D2" s="1"/>
      <c r="E2" s="1"/>
      <c r="F2" s="1"/>
      <c r="G2" s="222"/>
      <c r="H2" s="222"/>
      <c r="I2" s="222"/>
      <c r="J2" s="222"/>
    </row>
    <row r="3" spans="1:30" x14ac:dyDescent="0.2">
      <c r="A3" s="3" t="s">
        <v>20</v>
      </c>
      <c r="C3" s="1"/>
      <c r="D3" s="1"/>
      <c r="E3" s="1"/>
      <c r="F3" s="1"/>
      <c r="G3" s="222"/>
      <c r="H3" s="222"/>
      <c r="I3" s="222"/>
      <c r="J3" s="222"/>
    </row>
    <row r="4" spans="1:30" ht="12" x14ac:dyDescent="0.2">
      <c r="C4" s="1"/>
      <c r="D4" s="1"/>
      <c r="E4" s="1"/>
      <c r="F4" s="1"/>
      <c r="G4" s="222"/>
      <c r="H4" s="222"/>
      <c r="I4" s="222"/>
      <c r="J4" s="222"/>
    </row>
    <row r="5" spans="1:30" x14ac:dyDescent="0.2">
      <c r="A5" s="3" t="s">
        <v>55</v>
      </c>
      <c r="C5" s="1"/>
      <c r="D5" s="1"/>
      <c r="E5" s="1"/>
      <c r="F5" s="1"/>
      <c r="G5" s="222"/>
      <c r="H5" s="222"/>
      <c r="I5" s="222"/>
      <c r="J5" s="222"/>
    </row>
    <row r="6" spans="1:30" ht="7.5" customHeight="1" thickBot="1" x14ac:dyDescent="0.25">
      <c r="A6" s="3"/>
      <c r="C6" s="1"/>
      <c r="D6" s="1"/>
      <c r="E6" s="1"/>
      <c r="F6" s="1"/>
      <c r="G6" s="222"/>
      <c r="H6" s="222"/>
      <c r="I6" s="222"/>
      <c r="J6" s="222"/>
      <c r="AB6" s="71"/>
      <c r="AC6" s="71"/>
    </row>
    <row r="7" spans="1:30" ht="13.5" customHeight="1" thickTop="1" x14ac:dyDescent="0.2">
      <c r="B7" s="38"/>
      <c r="C7" s="8" t="s">
        <v>33</v>
      </c>
      <c r="D7" s="29"/>
      <c r="E7" s="8" t="s">
        <v>34</v>
      </c>
      <c r="F7" s="5"/>
      <c r="G7" s="256" t="s">
        <v>106</v>
      </c>
      <c r="H7" s="418"/>
      <c r="I7" s="405" t="s">
        <v>118</v>
      </c>
      <c r="J7" s="418"/>
      <c r="K7" s="1509" t="s">
        <v>121</v>
      </c>
      <c r="L7" s="1509"/>
      <c r="M7" s="1512" t="s">
        <v>127</v>
      </c>
      <c r="N7" s="1513"/>
      <c r="O7" s="1509" t="s">
        <v>174</v>
      </c>
      <c r="P7" s="1513"/>
      <c r="Q7" s="1509" t="s">
        <v>193</v>
      </c>
      <c r="R7" s="1513"/>
      <c r="S7" s="1509" t="s">
        <v>218</v>
      </c>
      <c r="T7" s="1513"/>
      <c r="U7" s="1509" t="s">
        <v>221</v>
      </c>
      <c r="V7" s="1513"/>
      <c r="W7" s="1509" t="s">
        <v>232</v>
      </c>
      <c r="X7" s="1513"/>
      <c r="Y7" s="1509" t="s">
        <v>241</v>
      </c>
      <c r="Z7" s="1510"/>
      <c r="AB7" s="1517" t="s">
        <v>134</v>
      </c>
      <c r="AC7" s="1528"/>
    </row>
    <row r="8" spans="1:30" ht="12" x14ac:dyDescent="0.2">
      <c r="B8" s="39"/>
      <c r="C8" s="9" t="s">
        <v>1</v>
      </c>
      <c r="D8" s="31" t="s">
        <v>2</v>
      </c>
      <c r="E8" s="9" t="s">
        <v>1</v>
      </c>
      <c r="F8" s="6" t="s">
        <v>2</v>
      </c>
      <c r="G8" s="257" t="s">
        <v>1</v>
      </c>
      <c r="H8" s="415" t="s">
        <v>2</v>
      </c>
      <c r="I8" s="402" t="s">
        <v>1</v>
      </c>
      <c r="J8" s="415" t="s">
        <v>2</v>
      </c>
      <c r="K8" s="402" t="s">
        <v>1</v>
      </c>
      <c r="L8" s="470" t="s">
        <v>2</v>
      </c>
      <c r="M8" s="257" t="s">
        <v>1</v>
      </c>
      <c r="N8" s="415" t="s">
        <v>2</v>
      </c>
      <c r="O8" s="402" t="s">
        <v>1</v>
      </c>
      <c r="P8" s="415" t="s">
        <v>2</v>
      </c>
      <c r="Q8" s="402" t="s">
        <v>1</v>
      </c>
      <c r="R8" s="415" t="s">
        <v>2</v>
      </c>
      <c r="S8" s="402" t="s">
        <v>1</v>
      </c>
      <c r="T8" s="415" t="s">
        <v>2</v>
      </c>
      <c r="U8" s="402" t="s">
        <v>1</v>
      </c>
      <c r="V8" s="415" t="s">
        <v>2</v>
      </c>
      <c r="W8" s="402" t="s">
        <v>1</v>
      </c>
      <c r="X8" s="415" t="s">
        <v>2</v>
      </c>
      <c r="Y8" s="402" t="s">
        <v>1</v>
      </c>
      <c r="Z8" s="224" t="s">
        <v>2</v>
      </c>
      <c r="AB8" s="755" t="s">
        <v>1</v>
      </c>
      <c r="AC8" s="756" t="s">
        <v>2</v>
      </c>
    </row>
    <row r="9" spans="1:30" thickBot="1" x14ac:dyDescent="0.25">
      <c r="B9" s="40"/>
      <c r="C9" s="55" t="s">
        <v>3</v>
      </c>
      <c r="D9" s="56" t="s">
        <v>4</v>
      </c>
      <c r="E9" s="55" t="s">
        <v>3</v>
      </c>
      <c r="F9" s="282" t="s">
        <v>4</v>
      </c>
      <c r="G9" s="283" t="s">
        <v>3</v>
      </c>
      <c r="H9" s="431" t="s">
        <v>4</v>
      </c>
      <c r="I9" s="419" t="s">
        <v>3</v>
      </c>
      <c r="J9" s="431" t="s">
        <v>4</v>
      </c>
      <c r="K9" s="419" t="s">
        <v>3</v>
      </c>
      <c r="L9" s="471" t="s">
        <v>4</v>
      </c>
      <c r="M9" s="283" t="s">
        <v>3</v>
      </c>
      <c r="N9" s="431" t="s">
        <v>4</v>
      </c>
      <c r="O9" s="419" t="s">
        <v>3</v>
      </c>
      <c r="P9" s="431" t="s">
        <v>4</v>
      </c>
      <c r="Q9" s="419" t="s">
        <v>3</v>
      </c>
      <c r="R9" s="431" t="s">
        <v>4</v>
      </c>
      <c r="S9" s="419" t="s">
        <v>3</v>
      </c>
      <c r="T9" s="431" t="s">
        <v>4</v>
      </c>
      <c r="U9" s="419" t="s">
        <v>3</v>
      </c>
      <c r="V9" s="431" t="s">
        <v>4</v>
      </c>
      <c r="W9" s="419" t="s">
        <v>3</v>
      </c>
      <c r="X9" s="431" t="s">
        <v>4</v>
      </c>
      <c r="Y9" s="419" t="s">
        <v>3</v>
      </c>
      <c r="Z9" s="225" t="s">
        <v>4</v>
      </c>
      <c r="AB9" s="757" t="s">
        <v>3</v>
      </c>
      <c r="AC9" s="758" t="s">
        <v>4</v>
      </c>
    </row>
    <row r="10" spans="1:30" ht="12" x14ac:dyDescent="0.2">
      <c r="B10" s="41" t="s">
        <v>5</v>
      </c>
      <c r="C10" s="57"/>
      <c r="D10" s="58"/>
      <c r="E10" s="57"/>
      <c r="F10" s="27"/>
      <c r="G10" s="284"/>
      <c r="H10" s="393"/>
      <c r="I10" s="324"/>
      <c r="J10" s="393"/>
      <c r="K10" s="324"/>
      <c r="L10" s="472"/>
      <c r="M10" s="284"/>
      <c r="N10" s="393"/>
      <c r="O10" s="324"/>
      <c r="P10" s="393"/>
      <c r="Q10" s="324"/>
      <c r="R10" s="393"/>
      <c r="S10" s="324"/>
      <c r="T10" s="393"/>
      <c r="U10" s="324"/>
      <c r="V10" s="393"/>
      <c r="W10" s="324"/>
      <c r="X10" s="393"/>
      <c r="Y10" s="324"/>
      <c r="Z10" s="226"/>
      <c r="AB10" s="299"/>
      <c r="AC10" s="652"/>
    </row>
    <row r="11" spans="1:30" ht="12" x14ac:dyDescent="0.2">
      <c r="B11" s="593" t="s">
        <v>162</v>
      </c>
      <c r="C11" s="338"/>
      <c r="D11" s="339"/>
      <c r="E11" s="338"/>
      <c r="F11" s="340"/>
      <c r="G11" s="259"/>
      <c r="H11" s="339"/>
      <c r="I11" s="338"/>
      <c r="J11" s="339"/>
      <c r="K11" s="338"/>
      <c r="L11" s="340"/>
      <c r="M11" s="259"/>
      <c r="N11" s="339"/>
      <c r="O11" s="338"/>
      <c r="P11" s="339"/>
      <c r="Q11" s="338"/>
      <c r="R11" s="339"/>
      <c r="S11" s="338"/>
      <c r="T11" s="339"/>
      <c r="U11" s="338"/>
      <c r="V11" s="339"/>
      <c r="W11" s="338"/>
      <c r="X11" s="339"/>
      <c r="Y11" s="338"/>
      <c r="Z11" s="130"/>
      <c r="AB11" s="299"/>
      <c r="AC11" s="652"/>
    </row>
    <row r="12" spans="1:30" ht="12" x14ac:dyDescent="0.2">
      <c r="B12" s="594" t="s">
        <v>51</v>
      </c>
      <c r="C12" s="338">
        <v>2</v>
      </c>
      <c r="D12" s="339">
        <v>0</v>
      </c>
      <c r="E12" s="338">
        <v>4</v>
      </c>
      <c r="F12" s="340">
        <f>2</f>
        <v>2</v>
      </c>
      <c r="G12" s="259">
        <v>2</v>
      </c>
      <c r="H12" s="339">
        <v>1</v>
      </c>
      <c r="I12" s="338">
        <v>1</v>
      </c>
      <c r="J12" s="339">
        <v>0</v>
      </c>
      <c r="K12" s="338">
        <v>2</v>
      </c>
      <c r="L12" s="340">
        <v>2</v>
      </c>
      <c r="M12" s="259">
        <v>2</v>
      </c>
      <c r="N12" s="339">
        <v>0</v>
      </c>
      <c r="O12" s="338">
        <v>2</v>
      </c>
      <c r="P12" s="339">
        <v>0</v>
      </c>
      <c r="Q12" s="338">
        <v>2</v>
      </c>
      <c r="R12" s="339">
        <v>1</v>
      </c>
      <c r="S12" s="338">
        <v>3</v>
      </c>
      <c r="T12" s="339">
        <v>2</v>
      </c>
      <c r="U12" s="338">
        <v>7</v>
      </c>
      <c r="V12" s="339">
        <v>3</v>
      </c>
      <c r="W12" s="338">
        <v>3</v>
      </c>
      <c r="X12" s="339">
        <v>2</v>
      </c>
      <c r="Y12" s="338">
        <v>7</v>
      </c>
      <c r="Z12" s="1399"/>
      <c r="AB12" s="742">
        <f>AVERAGE(W12,U12,S12,Q12,Y12)</f>
        <v>4.4000000000000004</v>
      </c>
      <c r="AC12" s="759">
        <f t="shared" ref="AC12:AC13" si="0">AVERAGE(X12,V12,T12,R12,Z12)</f>
        <v>2</v>
      </c>
    </row>
    <row r="13" spans="1:30" ht="12" x14ac:dyDescent="0.2">
      <c r="B13" s="594" t="s">
        <v>167</v>
      </c>
      <c r="C13" s="338">
        <v>5</v>
      </c>
      <c r="D13" s="339">
        <v>1</v>
      </c>
      <c r="E13" s="338">
        <v>5</v>
      </c>
      <c r="F13" s="340">
        <v>4</v>
      </c>
      <c r="G13" s="259">
        <v>3</v>
      </c>
      <c r="H13" s="339">
        <v>1</v>
      </c>
      <c r="I13" s="338">
        <v>3</v>
      </c>
      <c r="J13" s="339">
        <v>0</v>
      </c>
      <c r="K13" s="338">
        <v>5</v>
      </c>
      <c r="L13" s="340">
        <v>2</v>
      </c>
      <c r="M13" s="259">
        <v>9</v>
      </c>
      <c r="N13" s="339">
        <v>1</v>
      </c>
      <c r="O13" s="338">
        <v>6</v>
      </c>
      <c r="P13" s="339">
        <v>3</v>
      </c>
      <c r="Q13" s="338">
        <v>5</v>
      </c>
      <c r="R13" s="339">
        <v>0</v>
      </c>
      <c r="S13" s="338">
        <v>7</v>
      </c>
      <c r="T13" s="339">
        <v>4</v>
      </c>
      <c r="U13" s="338">
        <v>4</v>
      </c>
      <c r="V13" s="339">
        <v>0</v>
      </c>
      <c r="W13" s="338">
        <v>7</v>
      </c>
      <c r="X13" s="339">
        <v>4</v>
      </c>
      <c r="Y13" s="338">
        <v>6</v>
      </c>
      <c r="Z13" s="1399"/>
      <c r="AB13" s="742">
        <f t="shared" ref="AB13:AB14" si="1">AVERAGE(W13,U13,S13,Q13,Y13)</f>
        <v>5.8</v>
      </c>
      <c r="AC13" s="759">
        <f t="shared" si="0"/>
        <v>2</v>
      </c>
    </row>
    <row r="14" spans="1:30" thickBot="1" x14ac:dyDescent="0.25">
      <c r="B14" s="595" t="s">
        <v>6</v>
      </c>
      <c r="C14" s="247">
        <v>31</v>
      </c>
      <c r="D14" s="362">
        <v>4</v>
      </c>
      <c r="E14" s="247">
        <v>25</v>
      </c>
      <c r="F14" s="363">
        <v>5</v>
      </c>
      <c r="G14" s="356">
        <v>19</v>
      </c>
      <c r="H14" s="362">
        <v>4</v>
      </c>
      <c r="I14" s="247">
        <v>16</v>
      </c>
      <c r="J14" s="362">
        <v>4</v>
      </c>
      <c r="K14" s="247">
        <v>14</v>
      </c>
      <c r="L14" s="363">
        <v>4</v>
      </c>
      <c r="M14" s="356">
        <v>13</v>
      </c>
      <c r="N14" s="362">
        <v>0</v>
      </c>
      <c r="O14" s="247">
        <v>19</v>
      </c>
      <c r="P14" s="362">
        <v>2</v>
      </c>
      <c r="Q14" s="247">
        <v>15</v>
      </c>
      <c r="R14" s="362">
        <v>3</v>
      </c>
      <c r="S14" s="247">
        <v>15</v>
      </c>
      <c r="T14" s="362">
        <v>1</v>
      </c>
      <c r="U14" s="247">
        <v>16</v>
      </c>
      <c r="V14" s="362">
        <v>1</v>
      </c>
      <c r="W14" s="247">
        <v>15</v>
      </c>
      <c r="X14" s="362">
        <v>2</v>
      </c>
      <c r="Y14" s="247">
        <v>15</v>
      </c>
      <c r="Z14" s="1409"/>
      <c r="AB14" s="688">
        <f t="shared" si="1"/>
        <v>15.2</v>
      </c>
      <c r="AC14" s="653">
        <f>AVERAGE(X14,V14,T14,R14,Z14)</f>
        <v>1.75</v>
      </c>
    </row>
    <row r="15" spans="1:30" thickTop="1" x14ac:dyDescent="0.2">
      <c r="B15" s="50" t="s">
        <v>163</v>
      </c>
      <c r="C15" s="51"/>
      <c r="D15" s="26"/>
      <c r="E15" s="51"/>
      <c r="F15" s="26"/>
      <c r="G15" s="228"/>
      <c r="H15" s="229"/>
      <c r="I15" s="228"/>
      <c r="J15" s="229"/>
      <c r="K15" s="228"/>
      <c r="L15" s="229"/>
      <c r="M15" s="627"/>
      <c r="N15" s="229"/>
      <c r="O15" s="627"/>
      <c r="P15" s="229"/>
      <c r="Q15" s="627"/>
      <c r="R15" s="229"/>
      <c r="S15" s="627"/>
      <c r="T15" s="229"/>
      <c r="U15" s="627"/>
      <c r="V15" s="229"/>
      <c r="W15" s="627"/>
      <c r="X15" s="229"/>
      <c r="Y15" s="627"/>
      <c r="Z15" s="229"/>
      <c r="AB15" s="1195"/>
      <c r="AC15" s="1195"/>
      <c r="AD15" s="24"/>
    </row>
    <row r="16" spans="1:30" ht="12" x14ac:dyDescent="0.2">
      <c r="B16" s="119" t="s">
        <v>170</v>
      </c>
      <c r="C16" s="51"/>
      <c r="D16" s="26"/>
      <c r="E16" s="51"/>
      <c r="F16" s="26"/>
      <c r="G16" s="228"/>
      <c r="H16" s="229"/>
      <c r="I16" s="228"/>
      <c r="J16" s="229"/>
      <c r="K16" s="228"/>
      <c r="L16" s="229"/>
      <c r="M16" s="228"/>
      <c r="N16" s="229"/>
      <c r="O16" s="228"/>
      <c r="P16" s="229"/>
      <c r="Q16" s="228"/>
      <c r="R16" s="229"/>
      <c r="S16" s="228"/>
      <c r="T16" s="229"/>
      <c r="U16" s="228"/>
      <c r="V16" s="229"/>
      <c r="W16" s="228"/>
      <c r="X16" s="229"/>
      <c r="Y16" s="228"/>
      <c r="Z16" s="229"/>
    </row>
    <row r="17" spans="1:31" thickBot="1" x14ac:dyDescent="0.25">
      <c r="C17" s="51"/>
      <c r="D17" s="26"/>
      <c r="E17" s="51"/>
      <c r="F17" s="26"/>
      <c r="G17" s="228"/>
      <c r="H17" s="229"/>
      <c r="I17" s="228"/>
      <c r="J17" s="229"/>
      <c r="K17" s="228"/>
      <c r="L17" s="229"/>
      <c r="M17" s="228"/>
      <c r="N17" s="229"/>
      <c r="O17" s="228"/>
      <c r="P17" s="229"/>
      <c r="Q17" s="228"/>
      <c r="R17" s="229"/>
      <c r="S17" s="228"/>
      <c r="T17" s="229"/>
      <c r="U17" s="228"/>
      <c r="V17" s="229"/>
      <c r="W17" s="228"/>
      <c r="X17" s="229"/>
      <c r="Y17" s="228"/>
      <c r="Z17" s="229"/>
      <c r="AA17" s="24"/>
      <c r="AB17" s="71"/>
      <c r="AC17" s="71"/>
    </row>
    <row r="18" spans="1:31" ht="13.5" thickTop="1" thickBot="1" x14ac:dyDescent="0.25">
      <c r="B18" s="1055"/>
      <c r="C18" s="1498" t="s">
        <v>33</v>
      </c>
      <c r="D18" s="1499"/>
      <c r="E18" s="1501" t="s">
        <v>34</v>
      </c>
      <c r="F18" s="1501"/>
      <c r="G18" s="1500" t="s">
        <v>106</v>
      </c>
      <c r="H18" s="1495"/>
      <c r="I18" s="1500" t="s">
        <v>118</v>
      </c>
      <c r="J18" s="1495"/>
      <c r="K18" s="1494" t="s">
        <v>121</v>
      </c>
      <c r="L18" s="1494"/>
      <c r="M18" s="1500" t="s">
        <v>127</v>
      </c>
      <c r="N18" s="1495"/>
      <c r="O18" s="1494" t="s">
        <v>174</v>
      </c>
      <c r="P18" s="1495"/>
      <c r="Q18" s="1494" t="s">
        <v>193</v>
      </c>
      <c r="R18" s="1495"/>
      <c r="S18" s="1494" t="s">
        <v>218</v>
      </c>
      <c r="T18" s="1495"/>
      <c r="U18" s="1494" t="s">
        <v>221</v>
      </c>
      <c r="V18" s="1495"/>
      <c r="W18" s="1494" t="s">
        <v>232</v>
      </c>
      <c r="X18" s="1495"/>
      <c r="Y18" s="1494" t="s">
        <v>241</v>
      </c>
      <c r="Z18" s="1508"/>
      <c r="AA18" s="652"/>
      <c r="AB18" s="1529" t="s">
        <v>134</v>
      </c>
      <c r="AC18" s="1530"/>
    </row>
    <row r="19" spans="1:31" ht="12" x14ac:dyDescent="0.2">
      <c r="B19" s="41" t="s">
        <v>7</v>
      </c>
      <c r="C19" s="132"/>
      <c r="D19" s="133"/>
      <c r="E19" s="16"/>
      <c r="F19" s="16"/>
      <c r="G19" s="260"/>
      <c r="H19" s="407"/>
      <c r="I19" s="260"/>
      <c r="J19" s="407"/>
      <c r="K19" s="387"/>
      <c r="L19" s="387"/>
      <c r="M19" s="260"/>
      <c r="N19" s="407"/>
      <c r="O19" s="387"/>
      <c r="P19" s="407"/>
      <c r="Q19" s="387"/>
      <c r="R19" s="407"/>
      <c r="S19" s="387"/>
      <c r="T19" s="407"/>
      <c r="U19" s="387"/>
      <c r="V19" s="407"/>
      <c r="W19" s="387"/>
      <c r="X19" s="407"/>
      <c r="Y19" s="387"/>
      <c r="Z19" s="230"/>
      <c r="AA19" s="652"/>
      <c r="AB19" s="660"/>
      <c r="AC19" s="656"/>
    </row>
    <row r="20" spans="1:31" ht="12" x14ac:dyDescent="0.2">
      <c r="B20" s="45" t="s">
        <v>8</v>
      </c>
      <c r="C20" s="134"/>
      <c r="D20" s="135"/>
      <c r="E20" s="7"/>
      <c r="F20" s="7"/>
      <c r="G20" s="261"/>
      <c r="H20" s="389"/>
      <c r="I20" s="261"/>
      <c r="J20" s="389"/>
      <c r="K20" s="231"/>
      <c r="L20" s="231"/>
      <c r="M20" s="261"/>
      <c r="N20" s="389"/>
      <c r="O20" s="231"/>
      <c r="P20" s="389"/>
      <c r="Q20" s="231"/>
      <c r="R20" s="389"/>
      <c r="S20" s="231"/>
      <c r="T20" s="389"/>
      <c r="U20" s="231"/>
      <c r="V20" s="389"/>
      <c r="W20" s="231"/>
      <c r="X20" s="389"/>
      <c r="Y20" s="231"/>
      <c r="Z20" s="104"/>
      <c r="AA20" s="652"/>
      <c r="AC20" s="652"/>
      <c r="AE20" s="1" t="s">
        <v>23</v>
      </c>
    </row>
    <row r="21" spans="1:31" ht="14.25" customHeight="1" x14ac:dyDescent="0.2">
      <c r="B21" s="45" t="s">
        <v>9</v>
      </c>
      <c r="C21" s="134"/>
      <c r="D21" s="168"/>
      <c r="E21" s="7"/>
      <c r="F21" s="99"/>
      <c r="G21" s="261"/>
      <c r="H21" s="408"/>
      <c r="I21" s="261"/>
      <c r="J21" s="408"/>
      <c r="K21" s="231"/>
      <c r="L21" s="244"/>
      <c r="M21" s="261"/>
      <c r="N21" s="408"/>
      <c r="O21" s="231"/>
      <c r="P21" s="408"/>
      <c r="Q21" s="231"/>
      <c r="R21" s="408"/>
      <c r="S21" s="231"/>
      <c r="T21" s="408"/>
      <c r="U21" s="231"/>
      <c r="V21" s="408"/>
      <c r="W21" s="231"/>
      <c r="X21" s="408"/>
      <c r="Y21" s="231"/>
      <c r="Z21" s="221"/>
      <c r="AA21" s="652"/>
      <c r="AB21" s="16"/>
      <c r="AC21" s="752"/>
    </row>
    <row r="22" spans="1:31" ht="12" x14ac:dyDescent="0.2">
      <c r="B22" s="45" t="s">
        <v>10</v>
      </c>
      <c r="C22" s="134"/>
      <c r="D22" s="168">
        <v>408</v>
      </c>
      <c r="E22" s="7"/>
      <c r="F22" s="99">
        <v>413</v>
      </c>
      <c r="G22" s="261"/>
      <c r="H22" s="408">
        <v>325</v>
      </c>
      <c r="I22" s="261"/>
      <c r="J22" s="408">
        <v>350</v>
      </c>
      <c r="K22" s="231"/>
      <c r="L22" s="244">
        <v>322</v>
      </c>
      <c r="M22" s="261"/>
      <c r="N22" s="408">
        <v>282</v>
      </c>
      <c r="O22" s="231"/>
      <c r="P22" s="408">
        <v>329</v>
      </c>
      <c r="Q22" s="231"/>
      <c r="R22" s="408">
        <v>405</v>
      </c>
      <c r="S22" s="231"/>
      <c r="T22" s="408">
        <v>378</v>
      </c>
      <c r="U22" s="231"/>
      <c r="V22" s="408">
        <v>431</v>
      </c>
      <c r="W22" s="231"/>
      <c r="X22" s="408">
        <v>512</v>
      </c>
      <c r="Y22" s="231"/>
      <c r="Z22" s="1432"/>
      <c r="AA22" s="652"/>
      <c r="AB22" s="7"/>
      <c r="AC22" s="752">
        <f t="shared" ref="AC22:AC25" si="2">AVERAGE(X22,V22,T22,R22,Z22)</f>
        <v>431.5</v>
      </c>
    </row>
    <row r="23" spans="1:31" ht="12" x14ac:dyDescent="0.2">
      <c r="B23" s="45" t="s">
        <v>11</v>
      </c>
      <c r="C23" s="134"/>
      <c r="D23" s="168">
        <v>98</v>
      </c>
      <c r="E23" s="7"/>
      <c r="F23" s="99">
        <v>263</v>
      </c>
      <c r="G23" s="261"/>
      <c r="H23" s="408">
        <v>67</v>
      </c>
      <c r="I23" s="261"/>
      <c r="J23" s="408">
        <v>117</v>
      </c>
      <c r="K23" s="231"/>
      <c r="L23" s="244">
        <v>74</v>
      </c>
      <c r="M23" s="261"/>
      <c r="N23" s="408">
        <v>171</v>
      </c>
      <c r="O23" s="231"/>
      <c r="P23" s="408">
        <v>98</v>
      </c>
      <c r="Q23" s="231"/>
      <c r="R23" s="408">
        <v>202</v>
      </c>
      <c r="S23" s="231"/>
      <c r="T23" s="408">
        <v>135</v>
      </c>
      <c r="U23" s="231"/>
      <c r="V23" s="408">
        <v>192</v>
      </c>
      <c r="W23" s="231"/>
      <c r="X23" s="408">
        <v>121</v>
      </c>
      <c r="Y23" s="231"/>
      <c r="Z23" s="1432"/>
      <c r="AA23" s="652"/>
      <c r="AB23" s="748"/>
      <c r="AC23" s="752">
        <f t="shared" si="2"/>
        <v>162.5</v>
      </c>
    </row>
    <row r="24" spans="1:31" ht="12" x14ac:dyDescent="0.2">
      <c r="B24" s="45" t="s">
        <v>12</v>
      </c>
      <c r="C24" s="134"/>
      <c r="D24" s="136">
        <v>646</v>
      </c>
      <c r="E24" s="7"/>
      <c r="F24" s="12">
        <v>431</v>
      </c>
      <c r="G24" s="261"/>
      <c r="H24" s="217">
        <v>292</v>
      </c>
      <c r="I24" s="261"/>
      <c r="J24" s="217">
        <v>248</v>
      </c>
      <c r="K24" s="231"/>
      <c r="L24" s="105">
        <v>167</v>
      </c>
      <c r="M24" s="261"/>
      <c r="N24" s="217">
        <v>148</v>
      </c>
      <c r="O24" s="231"/>
      <c r="P24" s="217">
        <v>198</v>
      </c>
      <c r="Q24" s="231"/>
      <c r="R24" s="217">
        <v>179</v>
      </c>
      <c r="S24" s="231"/>
      <c r="T24" s="217">
        <v>246</v>
      </c>
      <c r="U24" s="231"/>
      <c r="V24" s="217">
        <v>211</v>
      </c>
      <c r="W24" s="231"/>
      <c r="X24" s="217">
        <v>287</v>
      </c>
      <c r="Y24" s="231"/>
      <c r="Z24" s="1433"/>
      <c r="AA24" s="652"/>
      <c r="AB24" s="748"/>
      <c r="AC24" s="752">
        <f t="shared" si="2"/>
        <v>230.75</v>
      </c>
    </row>
    <row r="25" spans="1:31" thickBot="1" x14ac:dyDescent="0.25">
      <c r="B25" s="46" t="s">
        <v>13</v>
      </c>
      <c r="C25" s="137"/>
      <c r="D25" s="178">
        <f>SUM(D22:D24)</f>
        <v>1152</v>
      </c>
      <c r="E25" s="137"/>
      <c r="F25" s="178">
        <f>SUM(F21:F24)</f>
        <v>1107</v>
      </c>
      <c r="G25" s="262"/>
      <c r="H25" s="432">
        <f>SUM(H21:H24)</f>
        <v>684</v>
      </c>
      <c r="I25" s="262"/>
      <c r="J25" s="432">
        <f>SUM(J21:J24)</f>
        <v>715</v>
      </c>
      <c r="K25" s="404"/>
      <c r="L25" s="473">
        <f>SUM(L22:L24)</f>
        <v>563</v>
      </c>
      <c r="M25" s="262"/>
      <c r="N25" s="432">
        <v>601</v>
      </c>
      <c r="O25" s="404"/>
      <c r="P25" s="432">
        <f>SUM(P21:P24)</f>
        <v>625</v>
      </c>
      <c r="Q25" s="404"/>
      <c r="R25" s="432">
        <f>SUM(R21:R24)</f>
        <v>786</v>
      </c>
      <c r="S25" s="404"/>
      <c r="T25" s="432">
        <f>SUM(T21:T24)</f>
        <v>759</v>
      </c>
      <c r="U25" s="404"/>
      <c r="V25" s="432">
        <f>SUM(V21:V24)</f>
        <v>834</v>
      </c>
      <c r="W25" s="404"/>
      <c r="X25" s="432">
        <f>SUM(X21:X24)</f>
        <v>920</v>
      </c>
      <c r="Y25" s="404"/>
      <c r="Z25" s="1434">
        <f>SUM(Z21:Z24)</f>
        <v>0</v>
      </c>
      <c r="AB25" s="659"/>
      <c r="AC25" s="859">
        <f t="shared" si="2"/>
        <v>659.8</v>
      </c>
    </row>
    <row r="26" spans="1:31" ht="14.25" thickTop="1" thickBot="1" x14ac:dyDescent="0.25">
      <c r="A26" s="652"/>
      <c r="B26" s="1062" t="s">
        <v>150</v>
      </c>
      <c r="C26" s="1477" t="s">
        <v>35</v>
      </c>
      <c r="D26" s="1478"/>
      <c r="E26" s="1477" t="s">
        <v>36</v>
      </c>
      <c r="F26" s="1478"/>
      <c r="G26" s="1479" t="s">
        <v>122</v>
      </c>
      <c r="H26" s="1480"/>
      <c r="I26" s="1479" t="s">
        <v>123</v>
      </c>
      <c r="J26" s="1481"/>
      <c r="K26" s="1479" t="s">
        <v>148</v>
      </c>
      <c r="L26" s="1481"/>
      <c r="M26" s="1488" t="s">
        <v>149</v>
      </c>
      <c r="N26" s="1480"/>
      <c r="O26" s="1483" t="s">
        <v>175</v>
      </c>
      <c r="P26" s="1480"/>
      <c r="Q26" s="1483" t="s">
        <v>194</v>
      </c>
      <c r="R26" s="1480"/>
      <c r="S26" s="1483" t="s">
        <v>219</v>
      </c>
      <c r="T26" s="1549"/>
      <c r="U26" s="1483" t="s">
        <v>222</v>
      </c>
      <c r="V26" s="1549"/>
      <c r="W26" s="1483" t="s">
        <v>233</v>
      </c>
      <c r="X26" s="1549"/>
      <c r="Y26" s="1483" t="s">
        <v>242</v>
      </c>
      <c r="Z26" s="1550"/>
      <c r="AA26" s="652"/>
      <c r="AB26" s="693"/>
      <c r="AC26" s="694"/>
    </row>
    <row r="27" spans="1:31" x14ac:dyDescent="0.2">
      <c r="A27" s="652"/>
      <c r="B27" s="719" t="s">
        <v>135</v>
      </c>
      <c r="C27" s="1463">
        <v>0</v>
      </c>
      <c r="D27" s="1464"/>
      <c r="E27" s="1465">
        <v>0</v>
      </c>
      <c r="F27" s="1466"/>
      <c r="G27" s="1465">
        <v>0</v>
      </c>
      <c r="H27" s="1466"/>
      <c r="I27" s="1465">
        <v>0</v>
      </c>
      <c r="J27" s="1467"/>
      <c r="K27" s="696"/>
      <c r="L27" s="697">
        <v>0</v>
      </c>
      <c r="M27" s="698"/>
      <c r="N27" s="997">
        <v>0</v>
      </c>
      <c r="O27" s="995"/>
      <c r="P27" s="997">
        <v>0</v>
      </c>
      <c r="Q27" s="1019"/>
      <c r="R27" s="997">
        <v>0</v>
      </c>
      <c r="S27" s="1019"/>
      <c r="T27" s="997">
        <v>0</v>
      </c>
      <c r="U27" s="1019"/>
      <c r="V27" s="997">
        <v>0</v>
      </c>
      <c r="W27" s="1019"/>
      <c r="X27" s="997">
        <v>0</v>
      </c>
      <c r="Y27" s="1019"/>
      <c r="Z27" s="1241">
        <v>0</v>
      </c>
      <c r="AA27" s="699"/>
      <c r="AB27" s="848"/>
      <c r="AC27" s="743">
        <f t="shared" ref="AC27:AC28" si="3">AVERAGE(X27,V27,T27,R27,Z27)</f>
        <v>0</v>
      </c>
    </row>
    <row r="28" spans="1:31" x14ac:dyDescent="0.2">
      <c r="A28" s="652"/>
      <c r="B28" s="726" t="s">
        <v>136</v>
      </c>
      <c r="C28" s="1470">
        <v>0.72799999999999998</v>
      </c>
      <c r="D28" s="1471"/>
      <c r="E28" s="1472">
        <v>0.69799999999999995</v>
      </c>
      <c r="F28" s="1473"/>
      <c r="G28" s="1472">
        <v>0.61299999999999999</v>
      </c>
      <c r="H28" s="1473"/>
      <c r="I28" s="1472">
        <v>0.54500000000000004</v>
      </c>
      <c r="J28" s="1474"/>
      <c r="K28" s="701"/>
      <c r="L28" s="702">
        <v>0.69099999999999995</v>
      </c>
      <c r="M28" s="701"/>
      <c r="N28" s="998">
        <v>0.54500000000000004</v>
      </c>
      <c r="O28" s="996"/>
      <c r="P28" s="998">
        <v>0.54</v>
      </c>
      <c r="Q28" s="1020"/>
      <c r="R28" s="998">
        <v>0.51900000000000002</v>
      </c>
      <c r="S28" s="1020"/>
      <c r="T28" s="998">
        <v>0.43</v>
      </c>
      <c r="U28" s="1020"/>
      <c r="V28" s="998">
        <v>0.38500000000000001</v>
      </c>
      <c r="W28" s="1020"/>
      <c r="X28" s="998">
        <v>0.34699999999999998</v>
      </c>
      <c r="Y28" s="1020"/>
      <c r="Z28" s="1242">
        <v>0.35799999999999998</v>
      </c>
      <c r="AA28" s="699"/>
      <c r="AB28" s="848"/>
      <c r="AC28" s="743">
        <f t="shared" si="3"/>
        <v>0.40780000000000005</v>
      </c>
    </row>
    <row r="29" spans="1:31" ht="13.5" customHeight="1" thickBot="1" x14ac:dyDescent="0.25">
      <c r="B29" s="703" t="s">
        <v>137</v>
      </c>
      <c r="C29" s="1468">
        <f>1-SUM(C27:D28)</f>
        <v>0.27200000000000002</v>
      </c>
      <c r="D29" s="1469"/>
      <c r="E29" s="1468">
        <f>1-SUM(E27:F28)</f>
        <v>0.30200000000000005</v>
      </c>
      <c r="F29" s="1469"/>
      <c r="G29" s="1468">
        <f>1-SUM(G27:H28)</f>
        <v>0.38700000000000001</v>
      </c>
      <c r="H29" s="1469"/>
      <c r="I29" s="1468">
        <f>1-SUM(I27:J28)</f>
        <v>0.45499999999999996</v>
      </c>
      <c r="J29" s="1469"/>
      <c r="K29" s="1468">
        <f>1-SUM(K27:L28)</f>
        <v>0.30900000000000005</v>
      </c>
      <c r="L29" s="1469"/>
      <c r="M29" s="1468">
        <f>1-SUM(M27:N28)</f>
        <v>0.45499999999999996</v>
      </c>
      <c r="N29" s="1469"/>
      <c r="O29" s="1468">
        <f>1-P27-P28</f>
        <v>0.45999999999999996</v>
      </c>
      <c r="P29" s="1469"/>
      <c r="Q29" s="1490">
        <f>1-R27-R28</f>
        <v>0.48099999999999998</v>
      </c>
      <c r="R29" s="1491"/>
      <c r="S29" s="1490">
        <f>1-T27-T28</f>
        <v>0.57000000000000006</v>
      </c>
      <c r="T29" s="1491"/>
      <c r="U29" s="1490">
        <f>1-V27-V28</f>
        <v>0.61499999999999999</v>
      </c>
      <c r="V29" s="1491"/>
      <c r="W29" s="1490">
        <f>1-X27-X28</f>
        <v>0.65300000000000002</v>
      </c>
      <c r="X29" s="1491"/>
      <c r="Y29" s="1490">
        <f>1-Z27-Z28</f>
        <v>0.64200000000000002</v>
      </c>
      <c r="Z29" s="1491"/>
      <c r="AA29" s="699"/>
      <c r="AB29" s="1515">
        <f t="shared" ref="AB29" si="4">AVERAGE(W29,U29,S29,Q29,Y29)</f>
        <v>0.59219999999999995</v>
      </c>
      <c r="AC29" s="1516" t="e">
        <f t="shared" ref="AC29" si="5">AVERAGE(X29,V29,T29,R29,Z29)</f>
        <v>#DIV/0!</v>
      </c>
    </row>
    <row r="30" spans="1:31" thickTop="1" x14ac:dyDescent="0.2">
      <c r="B30" s="65"/>
      <c r="C30" s="68"/>
      <c r="D30" s="67"/>
      <c r="E30" s="68"/>
      <c r="F30" s="67"/>
      <c r="G30" s="233"/>
      <c r="H30" s="234"/>
      <c r="I30" s="233"/>
      <c r="J30" s="234"/>
      <c r="K30" s="233"/>
      <c r="L30" s="234"/>
      <c r="M30" s="233"/>
      <c r="N30" s="234"/>
      <c r="O30" s="233"/>
      <c r="P30" s="234"/>
      <c r="Q30" s="233"/>
      <c r="R30" s="234"/>
      <c r="S30" s="233"/>
      <c r="T30" s="234"/>
      <c r="U30" s="233"/>
      <c r="V30" s="234"/>
      <c r="W30" s="233"/>
      <c r="X30" s="234"/>
      <c r="Y30" s="233"/>
      <c r="Z30" s="234"/>
    </row>
    <row r="31" spans="1:31" x14ac:dyDescent="0.2">
      <c r="A31" s="3" t="s">
        <v>56</v>
      </c>
      <c r="B31" s="61"/>
      <c r="C31" s="24"/>
      <c r="D31" s="24"/>
      <c r="E31" s="24"/>
      <c r="F31" s="24"/>
      <c r="G31" s="235"/>
      <c r="H31" s="235"/>
      <c r="I31" s="235"/>
      <c r="J31" s="235"/>
      <c r="K31" s="235"/>
      <c r="L31" s="235"/>
      <c r="M31" s="235"/>
      <c r="N31" s="235"/>
      <c r="O31" s="235"/>
      <c r="P31" s="235"/>
      <c r="Q31" s="235"/>
      <c r="R31" s="235"/>
      <c r="S31" s="235"/>
      <c r="T31" s="235"/>
      <c r="U31" s="235"/>
      <c r="V31" s="235"/>
      <c r="W31" s="235"/>
      <c r="X31" s="235"/>
      <c r="Y31" s="235"/>
      <c r="Z31" s="235"/>
    </row>
    <row r="32" spans="1:31" thickBot="1" x14ac:dyDescent="0.25">
      <c r="B32" s="70"/>
      <c r="C32" s="71"/>
      <c r="D32" s="71"/>
      <c r="E32" s="71"/>
      <c r="F32" s="71"/>
      <c r="G32" s="252"/>
      <c r="H32" s="252"/>
      <c r="I32" s="252"/>
      <c r="J32" s="252"/>
      <c r="K32" s="252"/>
      <c r="L32" s="252"/>
      <c r="M32" s="252"/>
      <c r="N32" s="252"/>
      <c r="O32" s="252"/>
      <c r="P32" s="252"/>
      <c r="Q32" s="252"/>
      <c r="R32" s="252"/>
      <c r="S32" s="252"/>
      <c r="T32" s="252"/>
      <c r="U32" s="252"/>
      <c r="V32" s="252"/>
      <c r="W32" s="252"/>
      <c r="X32" s="252"/>
      <c r="Y32" s="252"/>
      <c r="Z32" s="252"/>
      <c r="AB32" s="71"/>
      <c r="AC32" s="71"/>
    </row>
    <row r="33" spans="1:29" ht="13.5" thickTop="1" thickBot="1" x14ac:dyDescent="0.25">
      <c r="B33" s="1127" t="s">
        <v>57</v>
      </c>
      <c r="C33" s="1498" t="s">
        <v>33</v>
      </c>
      <c r="D33" s="1499"/>
      <c r="E33" s="1501" t="s">
        <v>34</v>
      </c>
      <c r="F33" s="1501"/>
      <c r="G33" s="1500" t="s">
        <v>106</v>
      </c>
      <c r="H33" s="1495"/>
      <c r="I33" s="1500" t="s">
        <v>118</v>
      </c>
      <c r="J33" s="1495"/>
      <c r="K33" s="1494" t="s">
        <v>121</v>
      </c>
      <c r="L33" s="1494"/>
      <c r="M33" s="1500" t="s">
        <v>127</v>
      </c>
      <c r="N33" s="1495"/>
      <c r="O33" s="1494" t="s">
        <v>174</v>
      </c>
      <c r="P33" s="1495"/>
      <c r="Q33" s="1494" t="s">
        <v>193</v>
      </c>
      <c r="R33" s="1495"/>
      <c r="S33" s="1494" t="s">
        <v>218</v>
      </c>
      <c r="T33" s="1495"/>
      <c r="U33" s="1494" t="s">
        <v>221</v>
      </c>
      <c r="V33" s="1495"/>
      <c r="W33" s="1494" t="s">
        <v>232</v>
      </c>
      <c r="X33" s="1495"/>
      <c r="Y33" s="1494" t="s">
        <v>241</v>
      </c>
      <c r="Z33" s="1508"/>
      <c r="AA33" s="657"/>
      <c r="AB33" s="1529" t="s">
        <v>134</v>
      </c>
      <c r="AC33" s="1530"/>
    </row>
    <row r="34" spans="1:29" ht="12" x14ac:dyDescent="0.2">
      <c r="B34" s="1128" t="s">
        <v>58</v>
      </c>
      <c r="C34" s="134"/>
      <c r="D34" s="135"/>
      <c r="E34" s="7"/>
      <c r="F34" s="7"/>
      <c r="G34" s="261"/>
      <c r="H34" s="389"/>
      <c r="I34" s="261"/>
      <c r="J34" s="389"/>
      <c r="K34" s="231"/>
      <c r="L34" s="231"/>
      <c r="M34" s="261"/>
      <c r="N34" s="389"/>
      <c r="O34" s="231"/>
      <c r="P34" s="389"/>
      <c r="Q34" s="231"/>
      <c r="R34" s="389"/>
      <c r="S34" s="231"/>
      <c r="T34" s="389"/>
      <c r="U34" s="231"/>
      <c r="V34" s="389"/>
      <c r="W34" s="231"/>
      <c r="X34" s="389"/>
      <c r="Y34" s="231"/>
      <c r="Z34" s="104"/>
      <c r="AA34" s="657"/>
      <c r="AB34" s="744"/>
      <c r="AC34" s="745"/>
    </row>
    <row r="35" spans="1:29" x14ac:dyDescent="0.2">
      <c r="A35" s="3"/>
      <c r="B35" s="1044" t="s">
        <v>59</v>
      </c>
      <c r="C35" s="132"/>
      <c r="D35" s="139">
        <v>202064</v>
      </c>
      <c r="E35" s="16"/>
      <c r="F35" s="153">
        <v>225573</v>
      </c>
      <c r="G35" s="260"/>
      <c r="H35" s="219">
        <v>204397</v>
      </c>
      <c r="I35" s="260"/>
      <c r="J35" s="219">
        <v>203633</v>
      </c>
      <c r="K35" s="387"/>
      <c r="L35" s="488">
        <v>232556</v>
      </c>
      <c r="M35" s="260"/>
      <c r="N35" s="219">
        <v>251551</v>
      </c>
      <c r="O35" s="387"/>
      <c r="P35" s="219">
        <v>249621</v>
      </c>
      <c r="Q35" s="387"/>
      <c r="R35" s="219">
        <v>254377</v>
      </c>
      <c r="S35" s="387"/>
      <c r="T35" s="219">
        <v>2099532</v>
      </c>
      <c r="U35" s="387"/>
      <c r="V35" s="219">
        <v>2849951</v>
      </c>
      <c r="W35" s="387"/>
      <c r="X35" s="219">
        <v>2902530</v>
      </c>
      <c r="Y35" s="387"/>
      <c r="Z35" s="1353">
        <v>3026589</v>
      </c>
      <c r="AA35" s="657"/>
      <c r="AB35" s="7"/>
      <c r="AC35" s="746">
        <f>AVERAGE(X35,V35,T35,R35,Z35)</f>
        <v>2226595.7999999998</v>
      </c>
    </row>
    <row r="36" spans="1:29" x14ac:dyDescent="0.2">
      <c r="A36" s="3"/>
      <c r="B36" s="1044" t="s">
        <v>196</v>
      </c>
      <c r="C36" s="132"/>
      <c r="D36" s="139"/>
      <c r="E36" s="16"/>
      <c r="F36" s="153"/>
      <c r="G36" s="260"/>
      <c r="H36" s="219"/>
      <c r="I36" s="260"/>
      <c r="J36" s="219"/>
      <c r="K36" s="387"/>
      <c r="L36" s="488"/>
      <c r="M36" s="260"/>
      <c r="N36" s="219"/>
      <c r="O36" s="387"/>
      <c r="P36" s="219"/>
      <c r="Q36" s="387"/>
      <c r="R36" s="219"/>
      <c r="S36" s="387"/>
      <c r="T36" s="219"/>
      <c r="U36" s="387"/>
      <c r="V36" s="219"/>
      <c r="W36" s="387"/>
      <c r="X36" s="219"/>
      <c r="Y36" s="387"/>
      <c r="Z36" s="1353"/>
      <c r="AA36" s="657"/>
      <c r="AB36" s="7"/>
      <c r="AC36" s="746"/>
    </row>
    <row r="37" spans="1:29" ht="36" x14ac:dyDescent="0.2">
      <c r="A37" s="3"/>
      <c r="B37" s="1045" t="s">
        <v>197</v>
      </c>
      <c r="C37" s="134"/>
      <c r="D37" s="180"/>
      <c r="E37" s="7"/>
      <c r="F37" s="187"/>
      <c r="G37" s="261"/>
      <c r="H37" s="433"/>
      <c r="I37" s="261"/>
      <c r="J37" s="433"/>
      <c r="K37" s="231"/>
      <c r="L37" s="313"/>
      <c r="M37" s="261"/>
      <c r="N37" s="433"/>
      <c r="O37" s="231"/>
      <c r="P37" s="433"/>
      <c r="Q37" s="231"/>
      <c r="R37" s="433">
        <v>40912</v>
      </c>
      <c r="S37" s="231"/>
      <c r="T37" s="433">
        <v>41913</v>
      </c>
      <c r="U37" s="231"/>
      <c r="V37" s="433">
        <v>42560</v>
      </c>
      <c r="W37" s="231"/>
      <c r="X37" s="433">
        <v>53495</v>
      </c>
      <c r="Y37" s="231"/>
      <c r="Z37" s="1347">
        <v>163559</v>
      </c>
      <c r="AA37" s="657"/>
      <c r="AB37" s="748"/>
      <c r="AC37" s="746">
        <f t="shared" ref="AC37:AC38" si="6">AVERAGE(X37,V37,T37,R37,Z37)</f>
        <v>68487.8</v>
      </c>
    </row>
    <row r="38" spans="1:29" x14ac:dyDescent="0.2">
      <c r="A38" s="3"/>
      <c r="B38" s="1046" t="s">
        <v>60</v>
      </c>
      <c r="C38" s="141"/>
      <c r="D38" s="181">
        <f>SUM(D35:D37)</f>
        <v>202064</v>
      </c>
      <c r="E38" s="59"/>
      <c r="F38" s="188">
        <f>SUM(F35:F37)</f>
        <v>225573</v>
      </c>
      <c r="G38" s="264"/>
      <c r="H38" s="434">
        <f>SUM(H35:H37)</f>
        <v>204397</v>
      </c>
      <c r="I38" s="264"/>
      <c r="J38" s="434">
        <f>SUM(J35:J37)</f>
        <v>203633</v>
      </c>
      <c r="K38" s="388"/>
      <c r="L38" s="474">
        <f>SUM(L35:L37)</f>
        <v>232556</v>
      </c>
      <c r="M38" s="264"/>
      <c r="N38" s="434">
        <f>SUM(N35:N37)</f>
        <v>251551</v>
      </c>
      <c r="O38" s="388"/>
      <c r="P38" s="434">
        <f>SUM(P35:P37)</f>
        <v>249621</v>
      </c>
      <c r="Q38" s="388"/>
      <c r="R38" s="434">
        <f>SUM(R35:R37)</f>
        <v>295289</v>
      </c>
      <c r="S38" s="388"/>
      <c r="T38" s="434">
        <f>SUM(T35:T37)</f>
        <v>2141445</v>
      </c>
      <c r="U38" s="388"/>
      <c r="V38" s="434">
        <f>SUM(V35:V37)</f>
        <v>2892511</v>
      </c>
      <c r="W38" s="388"/>
      <c r="X38" s="434">
        <f>SUM(X35:X37)</f>
        <v>2956025</v>
      </c>
      <c r="Y38" s="388"/>
      <c r="Z38" s="1348">
        <f>SUM(Z35:Z37)</f>
        <v>3190148</v>
      </c>
      <c r="AA38" s="657"/>
      <c r="AB38" s="16"/>
      <c r="AC38" s="804">
        <f t="shared" si="6"/>
        <v>2295083.6</v>
      </c>
    </row>
    <row r="39" spans="1:29" x14ac:dyDescent="0.2">
      <c r="A39" s="3"/>
      <c r="B39" s="1043" t="s">
        <v>61</v>
      </c>
      <c r="C39" s="134"/>
      <c r="D39" s="180"/>
      <c r="E39" s="7"/>
      <c r="F39" s="187"/>
      <c r="G39" s="261"/>
      <c r="H39" s="433"/>
      <c r="I39" s="261"/>
      <c r="J39" s="433"/>
      <c r="K39" s="231"/>
      <c r="L39" s="313"/>
      <c r="M39" s="261"/>
      <c r="N39" s="433"/>
      <c r="O39" s="231"/>
      <c r="P39" s="433"/>
      <c r="Q39" s="231"/>
      <c r="R39" s="433"/>
      <c r="S39" s="231"/>
      <c r="T39" s="433"/>
      <c r="U39" s="231"/>
      <c r="V39" s="433"/>
      <c r="W39" s="231"/>
      <c r="X39" s="433"/>
      <c r="Y39" s="231"/>
      <c r="Z39" s="1347"/>
      <c r="AA39" s="657"/>
      <c r="AB39" s="7"/>
      <c r="AC39" s="746"/>
    </row>
    <row r="40" spans="1:29" x14ac:dyDescent="0.2">
      <c r="A40" s="3"/>
      <c r="B40" s="1044" t="s">
        <v>59</v>
      </c>
      <c r="C40" s="134"/>
      <c r="D40" s="180">
        <v>2339343</v>
      </c>
      <c r="E40" s="7"/>
      <c r="F40" s="187">
        <v>2481457</v>
      </c>
      <c r="G40" s="261"/>
      <c r="H40" s="433">
        <v>2336248</v>
      </c>
      <c r="I40" s="261"/>
      <c r="J40" s="433">
        <v>2395390</v>
      </c>
      <c r="K40" s="231"/>
      <c r="L40" s="313">
        <v>2466616</v>
      </c>
      <c r="M40" s="261"/>
      <c r="N40" s="433">
        <v>2784583</v>
      </c>
      <c r="O40" s="231"/>
      <c r="P40" s="433">
        <v>2550792</v>
      </c>
      <c r="Q40" s="231"/>
      <c r="R40" s="433">
        <v>2599468</v>
      </c>
      <c r="S40" s="231"/>
      <c r="T40" s="433">
        <v>903313</v>
      </c>
      <c r="U40" s="231"/>
      <c r="V40" s="433">
        <v>391691</v>
      </c>
      <c r="W40" s="231"/>
      <c r="X40" s="433">
        <v>458534</v>
      </c>
      <c r="Y40" s="231"/>
      <c r="Z40" s="1347">
        <v>707620</v>
      </c>
      <c r="AA40" s="657"/>
      <c r="AB40" s="748"/>
      <c r="AC40" s="746">
        <f t="shared" ref="AC40:AC44" si="7">AVERAGE(X40,V40,T40,R40,Z40)</f>
        <v>1012125.2</v>
      </c>
    </row>
    <row r="41" spans="1:29" x14ac:dyDescent="0.2">
      <c r="A41" s="3"/>
      <c r="B41" s="1044" t="s">
        <v>196</v>
      </c>
      <c r="C41" s="134"/>
      <c r="D41" s="180"/>
      <c r="E41" s="7"/>
      <c r="F41" s="187"/>
      <c r="G41" s="261"/>
      <c r="H41" s="1180"/>
      <c r="I41" s="261"/>
      <c r="J41" s="433">
        <v>24540</v>
      </c>
      <c r="K41" s="231"/>
      <c r="L41" s="313">
        <v>24539</v>
      </c>
      <c r="M41" s="261"/>
      <c r="N41" s="433">
        <v>24535</v>
      </c>
      <c r="O41" s="231"/>
      <c r="P41" s="433">
        <v>24539</v>
      </c>
      <c r="Q41" s="231"/>
      <c r="R41" s="433">
        <v>24532</v>
      </c>
      <c r="S41" s="231"/>
      <c r="T41" s="433">
        <v>24533</v>
      </c>
      <c r="U41" s="231"/>
      <c r="V41" s="433">
        <v>24532</v>
      </c>
      <c r="W41" s="231"/>
      <c r="X41" s="433">
        <v>24525</v>
      </c>
      <c r="Y41" s="231"/>
      <c r="Z41" s="1347">
        <v>24524</v>
      </c>
      <c r="AA41" s="657"/>
      <c r="AC41" s="746">
        <f t="shared" si="7"/>
        <v>24529.200000000001</v>
      </c>
    </row>
    <row r="42" spans="1:29" ht="36" x14ac:dyDescent="0.2">
      <c r="A42" s="3"/>
      <c r="B42" s="1045" t="s">
        <v>198</v>
      </c>
      <c r="C42" s="134"/>
      <c r="D42" s="605">
        <v>1503906</v>
      </c>
      <c r="E42" s="528"/>
      <c r="F42" s="606">
        <v>588397</v>
      </c>
      <c r="G42" s="199"/>
      <c r="H42" s="607">
        <v>563446</v>
      </c>
      <c r="I42" s="199"/>
      <c r="J42" s="605">
        <v>666915</v>
      </c>
      <c r="K42" s="231"/>
      <c r="L42" s="187">
        <v>685794</v>
      </c>
      <c r="M42" s="261"/>
      <c r="N42" s="180">
        <v>522810</v>
      </c>
      <c r="O42" s="231"/>
      <c r="P42" s="180">
        <v>564196</v>
      </c>
      <c r="Q42" s="231"/>
      <c r="R42" s="180">
        <v>571975</v>
      </c>
      <c r="S42" s="231"/>
      <c r="T42" s="433">
        <v>584202</v>
      </c>
      <c r="U42" s="231"/>
      <c r="V42" s="433">
        <v>592688</v>
      </c>
      <c r="W42" s="231"/>
      <c r="X42" s="433">
        <v>708078</v>
      </c>
      <c r="Y42" s="231"/>
      <c r="Z42" s="1347">
        <v>691795</v>
      </c>
      <c r="AA42" s="657"/>
      <c r="AB42" s="1076"/>
      <c r="AC42" s="746">
        <f t="shared" si="7"/>
        <v>629747.6</v>
      </c>
    </row>
    <row r="43" spans="1:29" x14ac:dyDescent="0.2">
      <c r="A43" s="3"/>
      <c r="B43" s="1046" t="s">
        <v>62</v>
      </c>
      <c r="C43" s="141"/>
      <c r="D43" s="608">
        <f>SUM(D40:D42)</f>
        <v>3843249</v>
      </c>
      <c r="E43" s="609"/>
      <c r="F43" s="610">
        <f>SUM(F40:F42)</f>
        <v>3069854</v>
      </c>
      <c r="G43" s="491"/>
      <c r="H43" s="611">
        <f>SUM(H40:H42)</f>
        <v>2899694</v>
      </c>
      <c r="I43" s="491"/>
      <c r="J43" s="611">
        <f>SUM(J40:J42)</f>
        <v>3086845</v>
      </c>
      <c r="K43" s="388"/>
      <c r="L43" s="474">
        <f>SUM(L40:L42)</f>
        <v>3176949</v>
      </c>
      <c r="M43" s="264"/>
      <c r="N43" s="434">
        <f>SUM(N40:N42)</f>
        <v>3331928</v>
      </c>
      <c r="O43" s="388"/>
      <c r="P43" s="434">
        <f>SUM(P40:P42)</f>
        <v>3139527</v>
      </c>
      <c r="Q43" s="388"/>
      <c r="R43" s="434">
        <f>SUM(R40:R42)</f>
        <v>3195975</v>
      </c>
      <c r="S43" s="388"/>
      <c r="T43" s="434">
        <f>SUM(T40:T42)</f>
        <v>1512048</v>
      </c>
      <c r="U43" s="388"/>
      <c r="V43" s="434">
        <f>SUM(V40:V42)</f>
        <v>1008911</v>
      </c>
      <c r="W43" s="388"/>
      <c r="X43" s="434">
        <f>SUM(X40:X42)</f>
        <v>1191137</v>
      </c>
      <c r="Y43" s="388"/>
      <c r="Z43" s="1348">
        <f>SUM(Z40:Z42)</f>
        <v>1423939</v>
      </c>
      <c r="AA43" s="657"/>
      <c r="AB43" s="748"/>
      <c r="AC43" s="804">
        <f t="shared" si="7"/>
        <v>1666402</v>
      </c>
    </row>
    <row r="44" spans="1:29" ht="13.5" thickBot="1" x14ac:dyDescent="0.25">
      <c r="A44" s="3"/>
      <c r="B44" s="1070" t="s">
        <v>63</v>
      </c>
      <c r="C44" s="134"/>
      <c r="D44" s="608">
        <f>SUM(D38,D43)</f>
        <v>4045313</v>
      </c>
      <c r="E44" s="528"/>
      <c r="F44" s="610">
        <f>SUM(F38,F43)</f>
        <v>3295427</v>
      </c>
      <c r="G44" s="199"/>
      <c r="H44" s="611">
        <f>SUM(H38,H43)</f>
        <v>3104091</v>
      </c>
      <c r="I44" s="199"/>
      <c r="J44" s="611">
        <f>SUM(J38,J43)</f>
        <v>3290478</v>
      </c>
      <c r="K44" s="231"/>
      <c r="L44" s="474">
        <f>SUM(L38,L43)</f>
        <v>3409505</v>
      </c>
      <c r="M44" s="261"/>
      <c r="N44" s="434">
        <f>SUM(N38,N43)</f>
        <v>3583479</v>
      </c>
      <c r="O44" s="231"/>
      <c r="P44" s="434">
        <f>SUM(P38,P43)</f>
        <v>3389148</v>
      </c>
      <c r="Q44" s="231"/>
      <c r="R44" s="434">
        <f>SUM(R38,R43)</f>
        <v>3491264</v>
      </c>
      <c r="S44" s="231"/>
      <c r="T44" s="434">
        <f>SUM(T38,T43)</f>
        <v>3653493</v>
      </c>
      <c r="U44" s="231"/>
      <c r="V44" s="434">
        <f>SUM(V38,V43)</f>
        <v>3901422</v>
      </c>
      <c r="W44" s="231"/>
      <c r="X44" s="434">
        <f>SUM(X38,X43)</f>
        <v>4147162</v>
      </c>
      <c r="Y44" s="231"/>
      <c r="Z44" s="1348">
        <f>SUM(Z38,Z43)</f>
        <v>4614087</v>
      </c>
      <c r="AA44" s="657"/>
      <c r="AB44" s="665"/>
      <c r="AC44" s="853">
        <f t="shared" si="7"/>
        <v>3961485.6</v>
      </c>
    </row>
    <row r="45" spans="1:29" ht="35.25" customHeight="1" x14ac:dyDescent="0.2">
      <c r="A45" s="3"/>
      <c r="B45" s="1048" t="s">
        <v>205</v>
      </c>
      <c r="C45" s="142"/>
      <c r="D45" s="612"/>
      <c r="E45" s="1154"/>
      <c r="F45" s="586"/>
      <c r="G45" s="613"/>
      <c r="H45" s="588"/>
      <c r="I45" s="613"/>
      <c r="J45" s="588"/>
      <c r="K45" s="138"/>
      <c r="L45" s="138"/>
      <c r="M45" s="265"/>
      <c r="N45" s="435"/>
      <c r="O45" s="138"/>
      <c r="P45" s="435"/>
      <c r="Q45" s="138"/>
      <c r="R45" s="435"/>
      <c r="S45" s="138"/>
      <c r="T45" s="435"/>
      <c r="U45" s="138"/>
      <c r="V45" s="435"/>
      <c r="W45" s="138"/>
      <c r="X45" s="435"/>
      <c r="Y45" s="138"/>
      <c r="Z45" s="236"/>
      <c r="AA45" s="657"/>
      <c r="AB45" s="744"/>
      <c r="AC45" s="747"/>
    </row>
    <row r="46" spans="1:29" x14ac:dyDescent="0.2">
      <c r="A46" s="3"/>
      <c r="B46" s="45" t="s">
        <v>14</v>
      </c>
      <c r="C46" s="149"/>
      <c r="D46" s="182">
        <f>5999+205012</f>
        <v>211011</v>
      </c>
      <c r="E46" s="1155"/>
      <c r="F46" s="462">
        <v>273411</v>
      </c>
      <c r="G46" s="199"/>
      <c r="H46" s="503">
        <v>247527.07</v>
      </c>
      <c r="I46" s="199"/>
      <c r="J46" s="503">
        <v>222610.56</v>
      </c>
      <c r="K46" s="231"/>
      <c r="L46" s="327">
        <v>241409</v>
      </c>
      <c r="M46" s="261"/>
      <c r="N46" s="1010">
        <v>214830</v>
      </c>
      <c r="O46" s="231"/>
      <c r="P46" s="454">
        <v>289997</v>
      </c>
      <c r="Q46" s="327"/>
      <c r="R46" s="454">
        <v>236890</v>
      </c>
      <c r="S46" s="327"/>
      <c r="T46" s="454">
        <v>115687</v>
      </c>
      <c r="U46" s="327"/>
      <c r="V46" s="454">
        <v>483477</v>
      </c>
      <c r="W46" s="327"/>
      <c r="X46" s="454">
        <v>478417.62</v>
      </c>
      <c r="Y46" s="327"/>
      <c r="Z46" s="1323"/>
      <c r="AA46" s="657"/>
      <c r="AB46" s="748"/>
      <c r="AC46" s="854">
        <f>AVERAGE(X46,V46,T46,R46,P46)</f>
        <v>320893.72400000005</v>
      </c>
    </row>
    <row r="47" spans="1:29" x14ac:dyDescent="0.2">
      <c r="A47" s="3"/>
      <c r="B47" s="1129" t="s">
        <v>15</v>
      </c>
      <c r="C47" s="147"/>
      <c r="D47" s="183">
        <f>2154290+95648+279753+313549</f>
        <v>2843240</v>
      </c>
      <c r="E47" s="1156"/>
      <c r="F47" s="462">
        <f>2488893+319426</f>
        <v>2808319</v>
      </c>
      <c r="G47" s="556"/>
      <c r="H47" s="503">
        <v>2436096</v>
      </c>
      <c r="I47" s="556"/>
      <c r="J47" s="503">
        <f>398714+2098740</f>
        <v>2497454</v>
      </c>
      <c r="K47" s="421"/>
      <c r="L47" s="330">
        <f>2105+45396+85719+132231+2091828+411935+32975+148442+914544</f>
        <v>3865175</v>
      </c>
      <c r="M47" s="296"/>
      <c r="N47" s="1117">
        <f>0+3707782+459842</f>
        <v>4167624</v>
      </c>
      <c r="O47" s="421"/>
      <c r="P47" s="1268">
        <f>2088492+665837+522361+20145+107779</f>
        <v>3404614</v>
      </c>
      <c r="Q47" s="327"/>
      <c r="R47" s="1268">
        <f>540360.53-745+390189.78+2224588.14+6537+71983.3</f>
        <v>3232913.75</v>
      </c>
      <c r="S47" s="327"/>
      <c r="T47" s="1268">
        <f>1362704.67+900256.78+470561.61+79206.23+64042.72</f>
        <v>2876772.0100000002</v>
      </c>
      <c r="U47" s="327"/>
      <c r="V47" s="1268">
        <v>3280198</v>
      </c>
      <c r="W47" s="327"/>
      <c r="X47" s="1268">
        <v>4448311.88</v>
      </c>
      <c r="Y47" s="327"/>
      <c r="Z47" s="1324"/>
      <c r="AA47" s="657"/>
      <c r="AB47" s="318"/>
      <c r="AC47" s="854">
        <f>AVERAGE(X47,V47,T47,R47,P47)</f>
        <v>3448561.9280000003</v>
      </c>
    </row>
    <row r="48" spans="1:29" thickBot="1" x14ac:dyDescent="0.25">
      <c r="B48" s="1130" t="s">
        <v>32</v>
      </c>
      <c r="C48" s="144"/>
      <c r="D48" s="157"/>
      <c r="E48" s="144"/>
      <c r="F48" s="306"/>
      <c r="G48" s="266"/>
      <c r="H48" s="436"/>
      <c r="I48" s="266"/>
      <c r="J48" s="436"/>
      <c r="K48" s="422"/>
      <c r="L48" s="332"/>
      <c r="M48" s="266"/>
      <c r="N48" s="436"/>
      <c r="O48" s="422"/>
      <c r="P48" s="436"/>
      <c r="Q48" s="422"/>
      <c r="R48" s="436"/>
      <c r="S48" s="422"/>
      <c r="T48" s="436"/>
      <c r="U48" s="422"/>
      <c r="V48" s="436"/>
      <c r="W48" s="422"/>
      <c r="X48" s="436"/>
      <c r="Y48" s="422"/>
      <c r="Z48" s="237"/>
      <c r="AA48" s="657"/>
      <c r="AB48" s="849"/>
      <c r="AC48" s="850"/>
    </row>
    <row r="49" spans="1:29" ht="12" x14ac:dyDescent="0.2">
      <c r="B49" s="1131"/>
      <c r="C49" s="145" t="s">
        <v>97</v>
      </c>
      <c r="D49" s="146" t="s">
        <v>104</v>
      </c>
      <c r="E49" s="145" t="s">
        <v>97</v>
      </c>
      <c r="F49" s="155" t="s">
        <v>104</v>
      </c>
      <c r="G49" s="267" t="s">
        <v>97</v>
      </c>
      <c r="H49" s="437" t="s">
        <v>104</v>
      </c>
      <c r="I49" s="267" t="s">
        <v>97</v>
      </c>
      <c r="J49" s="437" t="s">
        <v>104</v>
      </c>
      <c r="K49" s="423" t="s">
        <v>97</v>
      </c>
      <c r="L49" s="475" t="s">
        <v>104</v>
      </c>
      <c r="M49" s="267" t="s">
        <v>97</v>
      </c>
      <c r="N49" s="437" t="s">
        <v>104</v>
      </c>
      <c r="O49" s="423" t="s">
        <v>97</v>
      </c>
      <c r="P49" s="437" t="s">
        <v>104</v>
      </c>
      <c r="Q49" s="423" t="s">
        <v>97</v>
      </c>
      <c r="R49" s="437" t="s">
        <v>104</v>
      </c>
      <c r="S49" s="423" t="s">
        <v>97</v>
      </c>
      <c r="T49" s="437" t="s">
        <v>104</v>
      </c>
      <c r="U49" s="423" t="s">
        <v>97</v>
      </c>
      <c r="V49" s="437" t="s">
        <v>104</v>
      </c>
      <c r="W49" s="423" t="s">
        <v>97</v>
      </c>
      <c r="X49" s="437" t="s">
        <v>104</v>
      </c>
      <c r="Y49" s="423" t="s">
        <v>97</v>
      </c>
      <c r="Z49" s="250" t="s">
        <v>104</v>
      </c>
      <c r="AA49" s="657"/>
      <c r="AB49" s="749" t="s">
        <v>97</v>
      </c>
      <c r="AC49" s="250" t="s">
        <v>104</v>
      </c>
    </row>
    <row r="50" spans="1:29" ht="12" x14ac:dyDescent="0.2">
      <c r="B50" s="1072" t="s">
        <v>50</v>
      </c>
      <c r="C50" s="764">
        <v>69</v>
      </c>
      <c r="D50" s="645">
        <v>9084334.1799999997</v>
      </c>
      <c r="E50" s="790">
        <v>64</v>
      </c>
      <c r="F50" s="602">
        <v>5878955.25</v>
      </c>
      <c r="G50" s="768">
        <v>57</v>
      </c>
      <c r="H50" s="503">
        <v>9765642</v>
      </c>
      <c r="I50" s="768">
        <v>45</v>
      </c>
      <c r="J50" s="603">
        <v>4015989.96</v>
      </c>
      <c r="K50" s="768">
        <v>61</v>
      </c>
      <c r="L50" s="603">
        <v>6196897</v>
      </c>
      <c r="M50" s="1093">
        <v>75</v>
      </c>
      <c r="N50" s="503">
        <v>10695345</v>
      </c>
      <c r="O50" s="1093">
        <v>64</v>
      </c>
      <c r="P50" s="503">
        <v>9500241</v>
      </c>
      <c r="Q50" s="1093">
        <v>79</v>
      </c>
      <c r="R50" s="503">
        <v>9639122</v>
      </c>
      <c r="S50" s="1093">
        <v>60</v>
      </c>
      <c r="T50" s="503">
        <v>6567946</v>
      </c>
      <c r="U50" s="1093">
        <v>65</v>
      </c>
      <c r="V50" s="503">
        <v>7446170</v>
      </c>
      <c r="W50" s="1093">
        <v>84</v>
      </c>
      <c r="X50" s="503">
        <v>8814297</v>
      </c>
      <c r="Y50" s="992"/>
      <c r="Z50" s="385"/>
      <c r="AA50" s="657"/>
      <c r="AB50" s="855">
        <f t="shared" ref="AB50:AC50" si="8">AVERAGE(W50,U50,S50,Q50,Y50)</f>
        <v>72</v>
      </c>
      <c r="AC50" s="854">
        <f t="shared" si="8"/>
        <v>8116883.75</v>
      </c>
    </row>
    <row r="51" spans="1:29" ht="12" x14ac:dyDescent="0.2">
      <c r="B51" s="1072"/>
      <c r="C51" s="765"/>
      <c r="D51" s="148"/>
      <c r="E51" s="1049"/>
      <c r="F51" s="156"/>
      <c r="G51" s="769"/>
      <c r="H51" s="644"/>
      <c r="I51" s="769"/>
      <c r="J51" s="564"/>
      <c r="K51" s="769"/>
      <c r="L51" s="564"/>
      <c r="M51" s="1095"/>
      <c r="N51" s="644"/>
      <c r="O51" s="1095"/>
      <c r="P51" s="644"/>
      <c r="Q51" s="1095"/>
      <c r="R51" s="644"/>
      <c r="S51" s="1095"/>
      <c r="T51" s="644"/>
      <c r="U51" s="1095"/>
      <c r="V51" s="644"/>
      <c r="W51" s="1095"/>
      <c r="X51" s="644"/>
      <c r="Y51" s="1029"/>
      <c r="Z51" s="251"/>
      <c r="AA51" s="657"/>
      <c r="AB51" s="855"/>
      <c r="AC51" s="854"/>
    </row>
    <row r="52" spans="1:29" thickBot="1" x14ac:dyDescent="0.25">
      <c r="B52" s="1073" t="s">
        <v>16</v>
      </c>
      <c r="C52" s="766">
        <v>54</v>
      </c>
      <c r="D52" s="157">
        <v>5322627</v>
      </c>
      <c r="E52" s="1050">
        <v>52</v>
      </c>
      <c r="F52" s="537">
        <v>4105331.72</v>
      </c>
      <c r="G52" s="770">
        <v>58</v>
      </c>
      <c r="H52" s="632">
        <v>4214156</v>
      </c>
      <c r="I52" s="770">
        <v>62</v>
      </c>
      <c r="J52" s="604">
        <v>5343061</v>
      </c>
      <c r="K52" s="770">
        <v>52</v>
      </c>
      <c r="L52" s="604">
        <v>3714770</v>
      </c>
      <c r="M52" s="770">
        <v>60</v>
      </c>
      <c r="N52" s="632">
        <v>7607972</v>
      </c>
      <c r="O52" s="770">
        <v>60</v>
      </c>
      <c r="P52" s="632">
        <v>6754886</v>
      </c>
      <c r="Q52" s="770">
        <v>56</v>
      </c>
      <c r="R52" s="632">
        <v>5451762</v>
      </c>
      <c r="S52" s="770">
        <v>61</v>
      </c>
      <c r="T52" s="632">
        <v>7375691</v>
      </c>
      <c r="U52" s="770">
        <v>63</v>
      </c>
      <c r="V52" s="632">
        <v>9373376</v>
      </c>
      <c r="W52" s="770">
        <v>71</v>
      </c>
      <c r="X52" s="632">
        <v>8563872</v>
      </c>
      <c r="Y52" s="993"/>
      <c r="Z52" s="368"/>
      <c r="AA52" s="657"/>
      <c r="AB52" s="856">
        <f t="shared" ref="AB52" si="9">AVERAGE(W52,U52,S52,Q52,Y52)</f>
        <v>62.75</v>
      </c>
      <c r="AC52" s="854">
        <f t="shared" ref="AC52" si="10">AVERAGE(X52,V52,T52,R52,Z52)</f>
        <v>7691175.25</v>
      </c>
    </row>
    <row r="53" spans="1:29" ht="11.45" customHeight="1" x14ac:dyDescent="0.2">
      <c r="B53" s="1048" t="s">
        <v>68</v>
      </c>
      <c r="C53" s="185"/>
      <c r="D53" s="193"/>
      <c r="E53" s="185"/>
      <c r="F53" s="293"/>
      <c r="G53" s="297"/>
      <c r="H53" s="439"/>
      <c r="I53" s="297"/>
      <c r="J53" s="439"/>
      <c r="K53" s="424"/>
      <c r="L53" s="476"/>
      <c r="M53" s="297"/>
      <c r="N53" s="439"/>
      <c r="O53" s="424"/>
      <c r="P53" s="439"/>
      <c r="Q53" s="424"/>
      <c r="R53" s="439"/>
      <c r="S53" s="424"/>
      <c r="T53" s="439"/>
      <c r="U53" s="424"/>
      <c r="V53" s="439"/>
      <c r="W53" s="424"/>
      <c r="X53" s="439"/>
      <c r="Y53" s="424"/>
      <c r="Z53" s="238"/>
      <c r="AA53" s="657"/>
      <c r="AB53" s="851"/>
      <c r="AC53" s="852"/>
    </row>
    <row r="54" spans="1:29" ht="9.75" customHeight="1" x14ac:dyDescent="0.2">
      <c r="B54" s="1132" t="s">
        <v>69</v>
      </c>
      <c r="C54" s="186"/>
      <c r="D54" s="194"/>
      <c r="E54" s="186"/>
      <c r="F54" s="26"/>
      <c r="G54" s="269"/>
      <c r="H54" s="440"/>
      <c r="I54" s="269"/>
      <c r="J54" s="440"/>
      <c r="K54" s="239"/>
      <c r="L54" s="229"/>
      <c r="M54" s="269"/>
      <c r="N54" s="440"/>
      <c r="O54" s="239"/>
      <c r="P54" s="440"/>
      <c r="Q54" s="239"/>
      <c r="R54" s="440"/>
      <c r="S54" s="239"/>
      <c r="T54" s="440"/>
      <c r="U54" s="239"/>
      <c r="V54" s="440"/>
      <c r="W54" s="239"/>
      <c r="X54" s="440"/>
      <c r="Y54" s="239"/>
      <c r="Z54" s="240"/>
      <c r="AA54" s="657"/>
      <c r="AC54" s="652"/>
    </row>
    <row r="55" spans="1:29" ht="12" x14ac:dyDescent="0.2">
      <c r="B55" s="1074" t="s">
        <v>70</v>
      </c>
      <c r="C55" s="149"/>
      <c r="D55" s="158">
        <v>500</v>
      </c>
      <c r="E55" s="149"/>
      <c r="F55" s="294">
        <v>3379</v>
      </c>
      <c r="G55" s="268"/>
      <c r="H55" s="220">
        <v>80</v>
      </c>
      <c r="I55" s="268"/>
      <c r="J55" s="599">
        <v>14904</v>
      </c>
      <c r="K55" s="538"/>
      <c r="L55" s="535">
        <v>10595</v>
      </c>
      <c r="M55" s="631"/>
      <c r="N55" s="1024">
        <v>515</v>
      </c>
      <c r="O55" s="538"/>
      <c r="P55" s="1024">
        <v>53039</v>
      </c>
      <c r="Q55" s="538"/>
      <c r="R55" s="1024">
        <v>37441.1</v>
      </c>
      <c r="S55" s="538"/>
      <c r="T55" s="1024">
        <v>11650</v>
      </c>
      <c r="U55" s="538"/>
      <c r="V55" s="1024">
        <v>61460</v>
      </c>
      <c r="W55" s="538"/>
      <c r="X55" s="1024">
        <v>428100</v>
      </c>
      <c r="Y55" s="538"/>
      <c r="Z55" s="1332"/>
      <c r="AA55" s="657"/>
      <c r="AB55" s="318"/>
      <c r="AC55" s="750">
        <f t="shared" ref="AC55:AC56" si="11">AVERAGE(X55,V55,T55,R55,P55)</f>
        <v>118338.01999999999</v>
      </c>
    </row>
    <row r="56" spans="1:29" thickBot="1" x14ac:dyDescent="0.25">
      <c r="B56" s="1075" t="s">
        <v>71</v>
      </c>
      <c r="C56" s="151"/>
      <c r="D56" s="159">
        <v>0</v>
      </c>
      <c r="E56" s="151"/>
      <c r="F56" s="307">
        <v>0</v>
      </c>
      <c r="G56" s="270"/>
      <c r="H56" s="307">
        <v>0</v>
      </c>
      <c r="I56" s="270"/>
      <c r="J56" s="451">
        <v>0</v>
      </c>
      <c r="K56" s="270"/>
      <c r="L56" s="451">
        <v>0</v>
      </c>
      <c r="M56" s="270"/>
      <c r="N56" s="455">
        <v>0</v>
      </c>
      <c r="O56" s="426"/>
      <c r="P56" s="455">
        <v>0</v>
      </c>
      <c r="Q56" s="426"/>
      <c r="R56" s="455">
        <v>0</v>
      </c>
      <c r="S56" s="426"/>
      <c r="T56" s="455">
        <v>0</v>
      </c>
      <c r="U56" s="426"/>
      <c r="V56" s="455">
        <v>0</v>
      </c>
      <c r="W56" s="426"/>
      <c r="X56" s="455">
        <v>405702.62</v>
      </c>
      <c r="Y56" s="426"/>
      <c r="Z56" s="1326"/>
      <c r="AB56" s="659"/>
      <c r="AC56" s="854">
        <f t="shared" si="11"/>
        <v>81140.524000000005</v>
      </c>
    </row>
    <row r="57" spans="1:29" ht="10.5" customHeight="1" thickTop="1" x14ac:dyDescent="0.2">
      <c r="B57" s="61"/>
      <c r="C57" s="25"/>
      <c r="D57" s="62"/>
      <c r="E57" s="25"/>
      <c r="F57" s="26"/>
      <c r="G57" s="239"/>
      <c r="H57" s="229"/>
      <c r="I57" s="239"/>
      <c r="J57" s="229"/>
      <c r="K57" s="239"/>
      <c r="L57" s="229"/>
      <c r="M57" s="623"/>
      <c r="N57" s="229"/>
      <c r="O57" s="623"/>
      <c r="P57" s="229"/>
      <c r="Q57" s="623"/>
      <c r="R57" s="229"/>
      <c r="S57" s="623"/>
      <c r="T57" s="229"/>
      <c r="U57" s="623"/>
      <c r="V57" s="229"/>
      <c r="W57" s="623"/>
      <c r="X57" s="229"/>
      <c r="Y57" s="623"/>
      <c r="Z57" s="229"/>
      <c r="AB57" s="66"/>
      <c r="AC57" s="664"/>
    </row>
    <row r="58" spans="1:29" x14ac:dyDescent="0.2">
      <c r="A58" s="3" t="s">
        <v>66</v>
      </c>
      <c r="B58" s="61"/>
      <c r="C58" s="25"/>
      <c r="D58" s="62"/>
      <c r="E58" s="25"/>
      <c r="F58" s="26"/>
      <c r="G58" s="239"/>
      <c r="H58" s="229"/>
      <c r="I58" s="239"/>
      <c r="J58" s="229"/>
      <c r="K58" s="239"/>
      <c r="L58" s="229"/>
      <c r="M58" s="239"/>
      <c r="N58" s="229"/>
      <c r="O58" s="239"/>
      <c r="P58" s="229"/>
      <c r="Q58" s="239"/>
      <c r="R58" s="229"/>
      <c r="S58" s="239"/>
      <c r="T58" s="229"/>
      <c r="U58" s="239"/>
      <c r="V58" s="229"/>
      <c r="W58" s="239"/>
      <c r="X58" s="229"/>
      <c r="Y58" s="239"/>
      <c r="Z58" s="229"/>
    </row>
    <row r="59" spans="1:29" thickBot="1" x14ac:dyDescent="0.25">
      <c r="B59" s="61"/>
      <c r="C59" s="25"/>
      <c r="D59" s="62"/>
      <c r="E59" s="25"/>
      <c r="F59" s="26"/>
      <c r="G59" s="239"/>
      <c r="H59" s="229"/>
      <c r="I59" s="239"/>
      <c r="J59" s="229"/>
      <c r="K59" s="239"/>
      <c r="L59" s="229"/>
      <c r="M59" s="239"/>
      <c r="N59" s="229"/>
      <c r="O59" s="239"/>
      <c r="P59" s="229"/>
      <c r="Q59" s="239"/>
      <c r="R59" s="229"/>
      <c r="S59" s="239"/>
      <c r="T59" s="229"/>
      <c r="U59" s="239"/>
      <c r="V59" s="229"/>
      <c r="W59" s="239"/>
      <c r="X59" s="229"/>
      <c r="Y59" s="239"/>
      <c r="Z59" s="229"/>
      <c r="AB59" s="71"/>
    </row>
    <row r="60" spans="1:29" ht="13.5" thickTop="1" thickBot="1" x14ac:dyDescent="0.25">
      <c r="B60" s="1055"/>
      <c r="C60" s="1498" t="s">
        <v>33</v>
      </c>
      <c r="D60" s="1499"/>
      <c r="E60" s="1501" t="s">
        <v>34</v>
      </c>
      <c r="F60" s="1501"/>
      <c r="G60" s="1500" t="s">
        <v>106</v>
      </c>
      <c r="H60" s="1495"/>
      <c r="I60" s="1500" t="s">
        <v>118</v>
      </c>
      <c r="J60" s="1495"/>
      <c r="K60" s="1494" t="s">
        <v>121</v>
      </c>
      <c r="L60" s="1494"/>
      <c r="M60" s="1500" t="s">
        <v>127</v>
      </c>
      <c r="N60" s="1495"/>
      <c r="O60" s="1494" t="s">
        <v>174</v>
      </c>
      <c r="P60" s="1494"/>
      <c r="Q60" s="1500" t="s">
        <v>193</v>
      </c>
      <c r="R60" s="1495"/>
      <c r="S60" s="1494" t="s">
        <v>218</v>
      </c>
      <c r="T60" s="1495"/>
      <c r="U60" s="1494" t="s">
        <v>221</v>
      </c>
      <c r="V60" s="1495"/>
      <c r="W60" s="1494" t="s">
        <v>232</v>
      </c>
      <c r="X60" s="1495"/>
      <c r="Y60" s="1494" t="s">
        <v>241</v>
      </c>
      <c r="Z60" s="1508"/>
      <c r="AB60" s="1521" t="s">
        <v>134</v>
      </c>
      <c r="AC60" s="1531"/>
    </row>
    <row r="61" spans="1:29" ht="12" x14ac:dyDescent="0.2">
      <c r="B61" s="41" t="s">
        <v>37</v>
      </c>
      <c r="C61" s="132"/>
      <c r="D61" s="133"/>
      <c r="E61" s="16"/>
      <c r="F61" s="16"/>
      <c r="G61" s="260"/>
      <c r="H61" s="407"/>
      <c r="I61" s="260"/>
      <c r="J61" s="407"/>
      <c r="K61" s="387"/>
      <c r="L61" s="387"/>
      <c r="M61" s="260"/>
      <c r="N61" s="407"/>
      <c r="O61" s="387"/>
      <c r="P61" s="435"/>
      <c r="Q61" s="387"/>
      <c r="R61" s="407"/>
      <c r="S61" s="387"/>
      <c r="T61" s="407"/>
      <c r="U61" s="387"/>
      <c r="V61" s="407"/>
      <c r="W61" s="387"/>
      <c r="X61" s="407"/>
      <c r="Y61" s="387"/>
      <c r="Z61" s="230"/>
      <c r="AA61" s="657"/>
      <c r="AC61" s="652"/>
    </row>
    <row r="62" spans="1:29" ht="12" x14ac:dyDescent="0.2">
      <c r="B62" s="98" t="s">
        <v>38</v>
      </c>
      <c r="C62" s="134"/>
      <c r="D62" s="168"/>
      <c r="E62" s="7"/>
      <c r="F62" s="99"/>
      <c r="G62" s="261"/>
      <c r="H62" s="408"/>
      <c r="I62" s="261"/>
      <c r="J62" s="408"/>
      <c r="K62" s="231"/>
      <c r="L62" s="244"/>
      <c r="M62" s="261"/>
      <c r="N62" s="408"/>
      <c r="O62" s="231"/>
      <c r="P62" s="408"/>
      <c r="Q62" s="231"/>
      <c r="R62" s="408"/>
      <c r="S62" s="231"/>
      <c r="T62" s="408"/>
      <c r="U62" s="231"/>
      <c r="V62" s="408"/>
      <c r="W62" s="231"/>
      <c r="X62" s="408"/>
      <c r="Y62" s="231"/>
      <c r="Z62" s="221"/>
      <c r="AA62" s="657"/>
      <c r="AC62" s="652"/>
    </row>
    <row r="63" spans="1:29" ht="14.25" customHeight="1" x14ac:dyDescent="0.2">
      <c r="B63" s="42" t="s">
        <v>39</v>
      </c>
      <c r="C63" s="134"/>
      <c r="D63" s="168">
        <v>2</v>
      </c>
      <c r="E63" s="7"/>
      <c r="F63" s="99">
        <v>2</v>
      </c>
      <c r="G63" s="261"/>
      <c r="H63" s="408">
        <v>0</v>
      </c>
      <c r="I63" s="261"/>
      <c r="J63" s="408">
        <v>0</v>
      </c>
      <c r="K63" s="231"/>
      <c r="L63" s="244">
        <v>0</v>
      </c>
      <c r="M63" s="261"/>
      <c r="N63" s="408">
        <v>0</v>
      </c>
      <c r="O63" s="231"/>
      <c r="P63" s="408">
        <v>0</v>
      </c>
      <c r="Q63" s="231"/>
      <c r="R63" s="408">
        <v>0</v>
      </c>
      <c r="S63" s="231"/>
      <c r="T63" s="408">
        <v>1</v>
      </c>
      <c r="U63" s="231"/>
      <c r="V63" s="408">
        <v>1</v>
      </c>
      <c r="W63" s="231"/>
      <c r="X63" s="408">
        <v>12</v>
      </c>
      <c r="Y63" s="231"/>
      <c r="Z63" s="221">
        <v>1</v>
      </c>
      <c r="AA63" s="657"/>
      <c r="AC63" s="658">
        <f>AVERAGE(X63,V63,T63,R63,Z63)</f>
        <v>3</v>
      </c>
    </row>
    <row r="64" spans="1:29" ht="12" x14ac:dyDescent="0.2">
      <c r="B64" s="42" t="s">
        <v>161</v>
      </c>
      <c r="C64" s="134"/>
      <c r="D64" s="168">
        <v>1</v>
      </c>
      <c r="E64" s="7"/>
      <c r="F64" s="99">
        <v>0</v>
      </c>
      <c r="G64" s="261"/>
      <c r="H64" s="408">
        <v>0</v>
      </c>
      <c r="I64" s="261"/>
      <c r="J64" s="408">
        <v>0</v>
      </c>
      <c r="K64" s="231"/>
      <c r="L64" s="244">
        <v>0</v>
      </c>
      <c r="M64" s="261"/>
      <c r="N64" s="408">
        <v>0</v>
      </c>
      <c r="O64" s="231"/>
      <c r="P64" s="408">
        <v>0</v>
      </c>
      <c r="Q64" s="231"/>
      <c r="R64" s="408">
        <v>0</v>
      </c>
      <c r="S64" s="231"/>
      <c r="T64" s="408">
        <v>0</v>
      </c>
      <c r="U64" s="231"/>
      <c r="V64" s="408">
        <v>0</v>
      </c>
      <c r="W64" s="231"/>
      <c r="X64" s="408">
        <v>1</v>
      </c>
      <c r="Y64" s="231"/>
      <c r="Z64" s="221">
        <v>0</v>
      </c>
      <c r="AA64" s="657"/>
      <c r="AB64" s="318"/>
      <c r="AC64" s="658">
        <f>AVERAGE(X64,V64,T64,R64,Z64)</f>
        <v>0.2</v>
      </c>
    </row>
    <row r="65" spans="2:29" ht="12" x14ac:dyDescent="0.2">
      <c r="B65" s="98" t="s">
        <v>40</v>
      </c>
      <c r="C65" s="134"/>
      <c r="D65" s="136"/>
      <c r="E65" s="7"/>
      <c r="F65" s="12"/>
      <c r="G65" s="261"/>
      <c r="H65" s="217"/>
      <c r="I65" s="261"/>
      <c r="J65" s="217"/>
      <c r="K65" s="231"/>
      <c r="L65" s="105"/>
      <c r="M65" s="261"/>
      <c r="N65" s="217"/>
      <c r="O65" s="231"/>
      <c r="P65" s="217"/>
      <c r="Q65" s="231"/>
      <c r="R65" s="217"/>
      <c r="S65" s="231"/>
      <c r="T65" s="217"/>
      <c r="U65" s="231"/>
      <c r="V65" s="217"/>
      <c r="W65" s="231"/>
      <c r="X65" s="217"/>
      <c r="Y65" s="231"/>
      <c r="Z65" s="232"/>
      <c r="AA65" s="657"/>
      <c r="AB65" s="748"/>
      <c r="AC65" s="1008"/>
    </row>
    <row r="66" spans="2:29" ht="12" x14ac:dyDescent="0.2">
      <c r="B66" s="42" t="s">
        <v>39</v>
      </c>
      <c r="C66" s="134"/>
      <c r="D66" s="136">
        <v>20</v>
      </c>
      <c r="E66" s="7"/>
      <c r="F66" s="12">
        <v>19</v>
      </c>
      <c r="G66" s="261"/>
      <c r="H66" s="217">
        <v>20</v>
      </c>
      <c r="I66" s="261"/>
      <c r="J66" s="217">
        <v>20</v>
      </c>
      <c r="K66" s="231"/>
      <c r="L66" s="105">
        <v>21</v>
      </c>
      <c r="M66" s="261"/>
      <c r="N66" s="217">
        <v>24</v>
      </c>
      <c r="O66" s="231"/>
      <c r="P66" s="217">
        <v>22</v>
      </c>
      <c r="Q66" s="231"/>
      <c r="R66" s="217">
        <v>22</v>
      </c>
      <c r="S66" s="231"/>
      <c r="T66" s="217">
        <v>21</v>
      </c>
      <c r="U66" s="231"/>
      <c r="V66" s="217">
        <v>20</v>
      </c>
      <c r="W66" s="231"/>
      <c r="X66" s="217">
        <v>8</v>
      </c>
      <c r="Y66" s="231"/>
      <c r="Z66" s="232">
        <v>21</v>
      </c>
      <c r="AA66" s="657"/>
      <c r="AC66" s="1008">
        <f>AVERAGE(X66,V66,T66,R66,Z66)</f>
        <v>18.399999999999999</v>
      </c>
    </row>
    <row r="67" spans="2:29" ht="12" x14ac:dyDescent="0.2">
      <c r="B67" s="1057" t="s">
        <v>161</v>
      </c>
      <c r="C67" s="134"/>
      <c r="D67" s="136">
        <v>0</v>
      </c>
      <c r="E67" s="7"/>
      <c r="F67" s="12">
        <v>0</v>
      </c>
      <c r="G67" s="261"/>
      <c r="H67" s="217">
        <v>0</v>
      </c>
      <c r="I67" s="261"/>
      <c r="J67" s="217">
        <v>0</v>
      </c>
      <c r="K67" s="231"/>
      <c r="L67" s="105">
        <v>1</v>
      </c>
      <c r="M67" s="261"/>
      <c r="N67" s="217">
        <v>3</v>
      </c>
      <c r="O67" s="231"/>
      <c r="P67" s="217">
        <v>3</v>
      </c>
      <c r="Q67" s="231"/>
      <c r="R67" s="217">
        <v>3</v>
      </c>
      <c r="S67" s="231"/>
      <c r="T67" s="217">
        <v>1</v>
      </c>
      <c r="U67" s="231"/>
      <c r="V67" s="217">
        <v>1</v>
      </c>
      <c r="W67" s="231"/>
      <c r="X67" s="217">
        <v>0</v>
      </c>
      <c r="Y67" s="231"/>
      <c r="Z67" s="232">
        <v>2</v>
      </c>
      <c r="AA67" s="657"/>
      <c r="AB67" s="318"/>
      <c r="AC67" s="658">
        <f>AVERAGE(X67,V67,T67,R67,Z67)</f>
        <v>1.4</v>
      </c>
    </row>
    <row r="68" spans="2:29" thickBot="1" x14ac:dyDescent="0.25">
      <c r="B68" s="1056" t="s">
        <v>13</v>
      </c>
      <c r="C68" s="196"/>
      <c r="D68" s="208">
        <f>SUM(D63:D67)</f>
        <v>23</v>
      </c>
      <c r="E68" s="120"/>
      <c r="F68" s="47">
        <f>SUM(F63:F67)</f>
        <v>21</v>
      </c>
      <c r="G68" s="288"/>
      <c r="H68" s="409">
        <v>20</v>
      </c>
      <c r="I68" s="288"/>
      <c r="J68" s="409">
        <f>SUM(J63:J67)</f>
        <v>20</v>
      </c>
      <c r="K68" s="288"/>
      <c r="L68" s="315">
        <f>SUM(L63:L67)</f>
        <v>22</v>
      </c>
      <c r="M68" s="288"/>
      <c r="N68" s="409">
        <f>SUM(N63:N67)</f>
        <v>27</v>
      </c>
      <c r="O68" s="396"/>
      <c r="P68" s="409">
        <f>SUM(P63:P67)</f>
        <v>25</v>
      </c>
      <c r="Q68" s="396"/>
      <c r="R68" s="409">
        <f>SUM(R63:R67)</f>
        <v>25</v>
      </c>
      <c r="S68" s="396"/>
      <c r="T68" s="409">
        <f>SUM(T63:T67)</f>
        <v>23</v>
      </c>
      <c r="U68" s="396"/>
      <c r="V68" s="409">
        <f>SUM(V63:V67)</f>
        <v>22</v>
      </c>
      <c r="W68" s="396"/>
      <c r="X68" s="409">
        <f>SUM(X63:X67)</f>
        <v>21</v>
      </c>
      <c r="Y68" s="396"/>
      <c r="Z68" s="1359">
        <f>SUM(Z63:Z67)</f>
        <v>24</v>
      </c>
      <c r="AB68" s="659"/>
      <c r="AC68" s="1028">
        <f>AVERAGE(X68,V68,T68,R68,Z68)</f>
        <v>23</v>
      </c>
    </row>
    <row r="69" spans="2:29" thickTop="1" x14ac:dyDescent="0.2">
      <c r="B69" s="710" t="s">
        <v>100</v>
      </c>
      <c r="C69" s="600" t="s">
        <v>97</v>
      </c>
      <c r="D69" s="601" t="s">
        <v>98</v>
      </c>
      <c r="E69" s="128" t="s">
        <v>97</v>
      </c>
      <c r="F69" s="195" t="s">
        <v>98</v>
      </c>
      <c r="G69" s="289" t="s">
        <v>97</v>
      </c>
      <c r="H69" s="441" t="s">
        <v>98</v>
      </c>
      <c r="I69" s="289" t="s">
        <v>97</v>
      </c>
      <c r="J69" s="441" t="s">
        <v>98</v>
      </c>
      <c r="K69" s="289" t="s">
        <v>97</v>
      </c>
      <c r="L69" s="477" t="s">
        <v>98</v>
      </c>
      <c r="M69" s="289" t="s">
        <v>97</v>
      </c>
      <c r="N69" s="441" t="s">
        <v>98</v>
      </c>
      <c r="O69" s="427" t="s">
        <v>97</v>
      </c>
      <c r="P69" s="441" t="s">
        <v>98</v>
      </c>
      <c r="Q69" s="427" t="s">
        <v>97</v>
      </c>
      <c r="R69" s="441" t="s">
        <v>98</v>
      </c>
      <c r="S69" s="427" t="s">
        <v>97</v>
      </c>
      <c r="T69" s="441" t="s">
        <v>98</v>
      </c>
      <c r="U69" s="427" t="s">
        <v>97</v>
      </c>
      <c r="V69" s="441" t="s">
        <v>98</v>
      </c>
      <c r="W69" s="427" t="s">
        <v>97</v>
      </c>
      <c r="X69" s="441" t="s">
        <v>98</v>
      </c>
      <c r="Y69" s="427" t="s">
        <v>97</v>
      </c>
      <c r="Z69" s="243" t="s">
        <v>98</v>
      </c>
      <c r="AB69" s="741" t="s">
        <v>97</v>
      </c>
      <c r="AC69" s="648" t="s">
        <v>98</v>
      </c>
    </row>
    <row r="70" spans="2:29" ht="12" x14ac:dyDescent="0.2">
      <c r="B70" s="42" t="s">
        <v>81</v>
      </c>
      <c r="C70" s="359">
        <v>18</v>
      </c>
      <c r="D70" s="372">
        <f>C70/$D$68</f>
        <v>0.78260869565217395</v>
      </c>
      <c r="E70" s="125">
        <v>14</v>
      </c>
      <c r="F70" s="206">
        <f t="shared" ref="F70:F77" si="12">E70/$F$68</f>
        <v>0.66666666666666663</v>
      </c>
      <c r="G70" s="199">
        <v>14</v>
      </c>
      <c r="H70" s="372">
        <f>G70/$H$68</f>
        <v>0.7</v>
      </c>
      <c r="I70" s="359">
        <v>14</v>
      </c>
      <c r="J70" s="372">
        <f t="shared" ref="J70:J77" si="13">I70/$J$68</f>
        <v>0.7</v>
      </c>
      <c r="K70" s="359">
        <v>16</v>
      </c>
      <c r="L70" s="206">
        <f t="shared" ref="L70:L77" si="14">K70/$L$68</f>
        <v>0.72727272727272729</v>
      </c>
      <c r="M70" s="359">
        <v>19</v>
      </c>
      <c r="N70" s="372">
        <f t="shared" ref="N70:N75" si="15">M70/N$68</f>
        <v>0.70370370370370372</v>
      </c>
      <c r="O70" s="353">
        <v>19</v>
      </c>
      <c r="P70" s="372">
        <f t="shared" ref="P70:P75" si="16">O70/P$68</f>
        <v>0.76</v>
      </c>
      <c r="Q70" s="353">
        <v>19</v>
      </c>
      <c r="R70" s="372">
        <f t="shared" ref="R70:T77" si="17">Q70/R$68</f>
        <v>0.76</v>
      </c>
      <c r="S70" s="353">
        <f>19</f>
        <v>19</v>
      </c>
      <c r="T70" s="372">
        <f t="shared" si="17"/>
        <v>0.82608695652173914</v>
      </c>
      <c r="U70" s="353">
        <v>18</v>
      </c>
      <c r="V70" s="372">
        <f t="shared" ref="V70:V77" si="18">U70/V$68</f>
        <v>0.81818181818181823</v>
      </c>
      <c r="W70" s="353">
        <v>18</v>
      </c>
      <c r="X70" s="372">
        <f t="shared" ref="X70:X77" si="19">W70/X$68</f>
        <v>0.8571428571428571</v>
      </c>
      <c r="Y70" s="353">
        <v>21</v>
      </c>
      <c r="Z70" s="1397">
        <f t="shared" ref="Z70:Z77" si="20">Y70/Z$68</f>
        <v>0.875</v>
      </c>
      <c r="AB70" s="687">
        <f t="shared" ref="AB70:AB77" si="21">AVERAGE(W70,U70,S70,Q70,Y70)</f>
        <v>19</v>
      </c>
      <c r="AC70" s="685">
        <f t="shared" ref="AC70:AC77" si="22">AVERAGE(X70,V70,T70,R70,Z70)</f>
        <v>0.82728232636928278</v>
      </c>
    </row>
    <row r="71" spans="2:29" ht="12" x14ac:dyDescent="0.2">
      <c r="B71" s="1057" t="s">
        <v>82</v>
      </c>
      <c r="C71" s="359">
        <v>0</v>
      </c>
      <c r="D71" s="372">
        <f t="shared" ref="D71:D89" si="23">C71/$D$68</f>
        <v>0</v>
      </c>
      <c r="E71" s="125">
        <v>0</v>
      </c>
      <c r="F71" s="206">
        <f t="shared" si="12"/>
        <v>0</v>
      </c>
      <c r="G71" s="199">
        <v>0</v>
      </c>
      <c r="H71" s="372">
        <f t="shared" ref="H71:H77" si="24">G71/$H$68</f>
        <v>0</v>
      </c>
      <c r="I71" s="359">
        <v>0</v>
      </c>
      <c r="J71" s="372">
        <f t="shared" si="13"/>
        <v>0</v>
      </c>
      <c r="K71" s="359">
        <v>0</v>
      </c>
      <c r="L71" s="206">
        <f t="shared" si="14"/>
        <v>0</v>
      </c>
      <c r="M71" s="359">
        <v>0</v>
      </c>
      <c r="N71" s="372">
        <f t="shared" si="15"/>
        <v>0</v>
      </c>
      <c r="O71" s="353">
        <v>0</v>
      </c>
      <c r="P71" s="372">
        <f t="shared" si="16"/>
        <v>0</v>
      </c>
      <c r="Q71" s="353">
        <v>0</v>
      </c>
      <c r="R71" s="372">
        <f t="shared" si="17"/>
        <v>0</v>
      </c>
      <c r="S71" s="353">
        <f>0</f>
        <v>0</v>
      </c>
      <c r="T71" s="372">
        <f t="shared" si="17"/>
        <v>0</v>
      </c>
      <c r="U71" s="353">
        <v>0</v>
      </c>
      <c r="V71" s="372">
        <f t="shared" si="18"/>
        <v>0</v>
      </c>
      <c r="W71" s="353">
        <v>0</v>
      </c>
      <c r="X71" s="372">
        <f t="shared" si="19"/>
        <v>0</v>
      </c>
      <c r="Y71" s="353">
        <v>0</v>
      </c>
      <c r="Z71" s="1397">
        <f t="shared" si="20"/>
        <v>0</v>
      </c>
      <c r="AA71" s="657"/>
      <c r="AB71" s="803">
        <f t="shared" si="21"/>
        <v>0</v>
      </c>
      <c r="AC71" s="685">
        <f t="shared" si="22"/>
        <v>0</v>
      </c>
    </row>
    <row r="72" spans="2:29" ht="12" x14ac:dyDescent="0.2">
      <c r="B72" s="1057" t="s">
        <v>83</v>
      </c>
      <c r="C72" s="359">
        <v>0</v>
      </c>
      <c r="D72" s="372">
        <f t="shared" si="23"/>
        <v>0</v>
      </c>
      <c r="E72" s="125">
        <v>0</v>
      </c>
      <c r="F72" s="206">
        <f t="shared" si="12"/>
        <v>0</v>
      </c>
      <c r="G72" s="199">
        <v>0</v>
      </c>
      <c r="H72" s="372">
        <f t="shared" si="24"/>
        <v>0</v>
      </c>
      <c r="I72" s="359">
        <v>0</v>
      </c>
      <c r="J72" s="372">
        <f t="shared" si="13"/>
        <v>0</v>
      </c>
      <c r="K72" s="359">
        <v>0</v>
      </c>
      <c r="L72" s="206">
        <f t="shared" si="14"/>
        <v>0</v>
      </c>
      <c r="M72" s="359">
        <v>0</v>
      </c>
      <c r="N72" s="372">
        <f t="shared" si="15"/>
        <v>0</v>
      </c>
      <c r="O72" s="353">
        <v>0</v>
      </c>
      <c r="P72" s="372">
        <f t="shared" si="16"/>
        <v>0</v>
      </c>
      <c r="Q72" s="353">
        <v>0</v>
      </c>
      <c r="R72" s="372">
        <f t="shared" si="17"/>
        <v>0</v>
      </c>
      <c r="S72" s="353">
        <f>0</f>
        <v>0</v>
      </c>
      <c r="T72" s="372">
        <f t="shared" si="17"/>
        <v>0</v>
      </c>
      <c r="U72" s="353">
        <v>0</v>
      </c>
      <c r="V72" s="372">
        <f t="shared" si="18"/>
        <v>0</v>
      </c>
      <c r="W72" s="353">
        <v>0</v>
      </c>
      <c r="X72" s="372">
        <f t="shared" si="19"/>
        <v>0</v>
      </c>
      <c r="Y72" s="353">
        <v>0</v>
      </c>
      <c r="Z72" s="1397">
        <f t="shared" si="20"/>
        <v>0</v>
      </c>
      <c r="AA72" s="657"/>
      <c r="AB72" s="803">
        <f t="shared" si="21"/>
        <v>0</v>
      </c>
      <c r="AC72" s="685">
        <f t="shared" si="22"/>
        <v>0</v>
      </c>
    </row>
    <row r="73" spans="2:29" ht="12" x14ac:dyDescent="0.2">
      <c r="B73" s="1057" t="s">
        <v>84</v>
      </c>
      <c r="C73" s="359">
        <v>0</v>
      </c>
      <c r="D73" s="372">
        <f t="shared" si="23"/>
        <v>0</v>
      </c>
      <c r="E73" s="125">
        <v>0</v>
      </c>
      <c r="F73" s="206">
        <f t="shared" si="12"/>
        <v>0</v>
      </c>
      <c r="G73" s="199">
        <v>0</v>
      </c>
      <c r="H73" s="372">
        <f t="shared" si="24"/>
        <v>0</v>
      </c>
      <c r="I73" s="359">
        <v>0</v>
      </c>
      <c r="J73" s="372">
        <f t="shared" si="13"/>
        <v>0</v>
      </c>
      <c r="K73" s="359">
        <v>0</v>
      </c>
      <c r="L73" s="206">
        <f t="shared" si="14"/>
        <v>0</v>
      </c>
      <c r="M73" s="359">
        <v>0</v>
      </c>
      <c r="N73" s="372">
        <f t="shared" si="15"/>
        <v>0</v>
      </c>
      <c r="O73" s="353">
        <v>0</v>
      </c>
      <c r="P73" s="372">
        <f t="shared" si="16"/>
        <v>0</v>
      </c>
      <c r="Q73" s="353">
        <v>0</v>
      </c>
      <c r="R73" s="372">
        <f t="shared" si="17"/>
        <v>0</v>
      </c>
      <c r="S73" s="353">
        <f>0</f>
        <v>0</v>
      </c>
      <c r="T73" s="372">
        <f t="shared" si="17"/>
        <v>0</v>
      </c>
      <c r="U73" s="353">
        <v>0</v>
      </c>
      <c r="V73" s="372">
        <f t="shared" si="18"/>
        <v>0</v>
      </c>
      <c r="W73" s="353">
        <v>0</v>
      </c>
      <c r="X73" s="372">
        <f t="shared" si="19"/>
        <v>0</v>
      </c>
      <c r="Y73" s="353">
        <v>0</v>
      </c>
      <c r="Z73" s="1397">
        <f t="shared" si="20"/>
        <v>0</v>
      </c>
      <c r="AA73" s="657"/>
      <c r="AB73" s="803">
        <f t="shared" si="21"/>
        <v>0</v>
      </c>
      <c r="AC73" s="685">
        <f t="shared" si="22"/>
        <v>0</v>
      </c>
    </row>
    <row r="74" spans="2:29" ht="12" x14ac:dyDescent="0.2">
      <c r="B74" s="1057" t="s">
        <v>85</v>
      </c>
      <c r="C74" s="359">
        <v>3</v>
      </c>
      <c r="D74" s="372">
        <f t="shared" si="23"/>
        <v>0.13043478260869565</v>
      </c>
      <c r="E74" s="125">
        <v>3</v>
      </c>
      <c r="F74" s="206">
        <f t="shared" si="12"/>
        <v>0.14285714285714285</v>
      </c>
      <c r="G74" s="199">
        <v>4</v>
      </c>
      <c r="H74" s="372">
        <f t="shared" si="24"/>
        <v>0.2</v>
      </c>
      <c r="I74" s="359">
        <v>6</v>
      </c>
      <c r="J74" s="372">
        <f t="shared" si="13"/>
        <v>0.3</v>
      </c>
      <c r="K74" s="359">
        <v>4</v>
      </c>
      <c r="L74" s="206">
        <f t="shared" si="14"/>
        <v>0.18181818181818182</v>
      </c>
      <c r="M74" s="359">
        <v>4</v>
      </c>
      <c r="N74" s="372">
        <f t="shared" si="15"/>
        <v>0.14814814814814814</v>
      </c>
      <c r="O74" s="353">
        <v>2</v>
      </c>
      <c r="P74" s="372">
        <f t="shared" si="16"/>
        <v>0.08</v>
      </c>
      <c r="Q74" s="353">
        <v>1</v>
      </c>
      <c r="R74" s="372">
        <f t="shared" si="17"/>
        <v>0.04</v>
      </c>
      <c r="S74" s="353">
        <f>1</f>
        <v>1</v>
      </c>
      <c r="T74" s="372">
        <f t="shared" si="17"/>
        <v>4.3478260869565216E-2</v>
      </c>
      <c r="U74" s="353">
        <v>1</v>
      </c>
      <c r="V74" s="372">
        <f t="shared" si="18"/>
        <v>4.5454545454545456E-2</v>
      </c>
      <c r="W74" s="353">
        <v>1</v>
      </c>
      <c r="X74" s="372">
        <f t="shared" si="19"/>
        <v>4.7619047619047616E-2</v>
      </c>
      <c r="Y74" s="353">
        <v>2</v>
      </c>
      <c r="Z74" s="1397">
        <f t="shared" si="20"/>
        <v>8.3333333333333329E-2</v>
      </c>
      <c r="AA74" s="657"/>
      <c r="AB74" s="803">
        <f t="shared" si="21"/>
        <v>1.2</v>
      </c>
      <c r="AC74" s="685">
        <f t="shared" si="22"/>
        <v>5.1977037455298324E-2</v>
      </c>
    </row>
    <row r="75" spans="2:29" ht="12" x14ac:dyDescent="0.2">
      <c r="B75" s="1057" t="s">
        <v>86</v>
      </c>
      <c r="C75" s="359">
        <v>2</v>
      </c>
      <c r="D75" s="372">
        <f t="shared" si="23"/>
        <v>8.6956521739130432E-2</v>
      </c>
      <c r="E75" s="125">
        <v>4</v>
      </c>
      <c r="F75" s="206">
        <f t="shared" si="12"/>
        <v>0.19047619047619047</v>
      </c>
      <c r="G75" s="199">
        <v>2</v>
      </c>
      <c r="H75" s="372">
        <f t="shared" si="24"/>
        <v>0.1</v>
      </c>
      <c r="I75" s="359">
        <v>0</v>
      </c>
      <c r="J75" s="372">
        <f t="shared" si="13"/>
        <v>0</v>
      </c>
      <c r="K75" s="359">
        <v>2</v>
      </c>
      <c r="L75" s="206">
        <f t="shared" si="14"/>
        <v>9.0909090909090912E-2</v>
      </c>
      <c r="M75" s="359">
        <f>3+1</f>
        <v>4</v>
      </c>
      <c r="N75" s="372">
        <f t="shared" si="15"/>
        <v>0.14814814814814814</v>
      </c>
      <c r="O75" s="353">
        <v>1</v>
      </c>
      <c r="P75" s="372">
        <f t="shared" si="16"/>
        <v>0.04</v>
      </c>
      <c r="Q75" s="353">
        <v>5</v>
      </c>
      <c r="R75" s="372">
        <f t="shared" si="17"/>
        <v>0.2</v>
      </c>
      <c r="S75" s="353">
        <f>1+2</f>
        <v>3</v>
      </c>
      <c r="T75" s="372">
        <f t="shared" si="17"/>
        <v>0.13043478260869565</v>
      </c>
      <c r="U75" s="353">
        <v>3</v>
      </c>
      <c r="V75" s="372">
        <f t="shared" si="18"/>
        <v>0.13636363636363635</v>
      </c>
      <c r="W75" s="353">
        <v>2</v>
      </c>
      <c r="X75" s="372">
        <f t="shared" si="19"/>
        <v>9.5238095238095233E-2</v>
      </c>
      <c r="Y75" s="353">
        <v>1</v>
      </c>
      <c r="Z75" s="1397">
        <f t="shared" si="20"/>
        <v>4.1666666666666664E-2</v>
      </c>
      <c r="AA75" s="657"/>
      <c r="AB75" s="803">
        <f t="shared" si="21"/>
        <v>2.8</v>
      </c>
      <c r="AC75" s="685">
        <f t="shared" si="22"/>
        <v>0.12074063617541879</v>
      </c>
    </row>
    <row r="76" spans="2:29" ht="12" x14ac:dyDescent="0.2">
      <c r="B76" s="1057" t="s">
        <v>201</v>
      </c>
      <c r="C76" s="361"/>
      <c r="D76" s="372"/>
      <c r="E76" s="126"/>
      <c r="F76" s="206"/>
      <c r="G76" s="1252"/>
      <c r="H76" s="1253"/>
      <c r="I76" s="1258"/>
      <c r="J76" s="1253"/>
      <c r="K76" s="1258"/>
      <c r="L76" s="1255"/>
      <c r="M76" s="1258"/>
      <c r="N76" s="1253"/>
      <c r="O76" s="1260"/>
      <c r="P76" s="1253"/>
      <c r="Q76" s="360">
        <v>0</v>
      </c>
      <c r="R76" s="372">
        <f t="shared" si="17"/>
        <v>0</v>
      </c>
      <c r="S76" s="360">
        <f>0</f>
        <v>0</v>
      </c>
      <c r="T76" s="372">
        <f t="shared" si="17"/>
        <v>0</v>
      </c>
      <c r="U76" s="360">
        <v>0</v>
      </c>
      <c r="V76" s="372">
        <f t="shared" si="18"/>
        <v>0</v>
      </c>
      <c r="W76" s="360">
        <v>0</v>
      </c>
      <c r="X76" s="372">
        <f t="shared" si="19"/>
        <v>0</v>
      </c>
      <c r="Y76" s="360">
        <v>0</v>
      </c>
      <c r="Z76" s="1397">
        <f t="shared" si="20"/>
        <v>0</v>
      </c>
      <c r="AA76" s="657"/>
      <c r="AB76" s="803">
        <f t="shared" si="21"/>
        <v>0</v>
      </c>
      <c r="AC76" s="685">
        <f t="shared" si="22"/>
        <v>0</v>
      </c>
    </row>
    <row r="77" spans="2:29" ht="12" x14ac:dyDescent="0.2">
      <c r="B77" s="1057" t="s">
        <v>87</v>
      </c>
      <c r="C77" s="361">
        <v>0</v>
      </c>
      <c r="D77" s="372">
        <f t="shared" si="23"/>
        <v>0</v>
      </c>
      <c r="E77" s="126">
        <v>0</v>
      </c>
      <c r="F77" s="206">
        <f t="shared" si="12"/>
        <v>0</v>
      </c>
      <c r="G77" s="201">
        <v>0</v>
      </c>
      <c r="H77" s="372">
        <f t="shared" si="24"/>
        <v>0</v>
      </c>
      <c r="I77" s="361">
        <v>0</v>
      </c>
      <c r="J77" s="372">
        <f t="shared" si="13"/>
        <v>0</v>
      </c>
      <c r="K77" s="361">
        <v>0</v>
      </c>
      <c r="L77" s="206">
        <f t="shared" si="14"/>
        <v>0</v>
      </c>
      <c r="M77" s="361">
        <v>0</v>
      </c>
      <c r="N77" s="372">
        <f>M77/N$68</f>
        <v>0</v>
      </c>
      <c r="O77" s="360">
        <v>3</v>
      </c>
      <c r="P77" s="372">
        <f>O77/P$68</f>
        <v>0.12</v>
      </c>
      <c r="Q77" s="360">
        <v>0</v>
      </c>
      <c r="R77" s="372">
        <f t="shared" si="17"/>
        <v>0</v>
      </c>
      <c r="S77" s="360">
        <f>0</f>
        <v>0</v>
      </c>
      <c r="T77" s="372">
        <f t="shared" si="17"/>
        <v>0</v>
      </c>
      <c r="U77" s="360">
        <v>0</v>
      </c>
      <c r="V77" s="372">
        <f t="shared" si="18"/>
        <v>0</v>
      </c>
      <c r="W77" s="360">
        <v>0</v>
      </c>
      <c r="X77" s="372">
        <f t="shared" si="19"/>
        <v>0</v>
      </c>
      <c r="Y77" s="360">
        <v>0</v>
      </c>
      <c r="Z77" s="1397">
        <f t="shared" si="20"/>
        <v>0</v>
      </c>
      <c r="AA77" s="657"/>
      <c r="AB77" s="803">
        <f t="shared" si="21"/>
        <v>0</v>
      </c>
      <c r="AC77" s="685">
        <f t="shared" si="22"/>
        <v>0</v>
      </c>
    </row>
    <row r="78" spans="2:29" ht="12" x14ac:dyDescent="0.2">
      <c r="B78" s="1058" t="s">
        <v>101</v>
      </c>
      <c r="C78" s="569"/>
      <c r="D78" s="372"/>
      <c r="E78" s="164"/>
      <c r="F78" s="285"/>
      <c r="G78" s="290"/>
      <c r="H78" s="452"/>
      <c r="I78" s="290"/>
      <c r="J78" s="372"/>
      <c r="K78" s="290"/>
      <c r="L78" s="206"/>
      <c r="M78" s="290"/>
      <c r="N78" s="372"/>
      <c r="O78" s="164"/>
      <c r="P78" s="372"/>
      <c r="Q78" s="164"/>
      <c r="R78" s="372"/>
      <c r="S78" s="164"/>
      <c r="T78" s="372"/>
      <c r="U78" s="164"/>
      <c r="V78" s="372"/>
      <c r="W78" s="164"/>
      <c r="X78" s="372"/>
      <c r="Y78" s="164"/>
      <c r="Z78" s="1397"/>
      <c r="AA78" s="657"/>
      <c r="AB78" s="803"/>
      <c r="AC78" s="685"/>
    </row>
    <row r="79" spans="2:29" ht="12" x14ac:dyDescent="0.2">
      <c r="B79" s="42" t="s">
        <v>88</v>
      </c>
      <c r="C79" s="370">
        <v>18</v>
      </c>
      <c r="D79" s="372">
        <f t="shared" si="23"/>
        <v>0.78260869565217395</v>
      </c>
      <c r="E79" s="99">
        <v>17</v>
      </c>
      <c r="F79" s="286">
        <f>E79/$F$68</f>
        <v>0.80952380952380953</v>
      </c>
      <c r="G79" s="210">
        <v>16</v>
      </c>
      <c r="H79" s="372">
        <f>G79/$H$68</f>
        <v>0.8</v>
      </c>
      <c r="I79" s="370">
        <v>13</v>
      </c>
      <c r="J79" s="372">
        <f>I79/$J$68</f>
        <v>0.65</v>
      </c>
      <c r="K79" s="370">
        <v>14</v>
      </c>
      <c r="L79" s="206">
        <f>K79/$L$68</f>
        <v>0.63636363636363635</v>
      </c>
      <c r="M79" s="370">
        <f>2+17</f>
        <v>19</v>
      </c>
      <c r="N79" s="372">
        <f>M79/N$68</f>
        <v>0.70370370370370372</v>
      </c>
      <c r="O79" s="428">
        <v>17</v>
      </c>
      <c r="P79" s="372">
        <f>O79/P$68</f>
        <v>0.68</v>
      </c>
      <c r="Q79" s="428">
        <v>18</v>
      </c>
      <c r="R79" s="372">
        <f>Q79/R$68</f>
        <v>0.72</v>
      </c>
      <c r="S79" s="428">
        <f>16</f>
        <v>16</v>
      </c>
      <c r="T79" s="372">
        <f>S79/T$68</f>
        <v>0.69565217391304346</v>
      </c>
      <c r="U79" s="428">
        <v>15</v>
      </c>
      <c r="V79" s="372">
        <f>U79/V$68</f>
        <v>0.68181818181818177</v>
      </c>
      <c r="W79" s="428">
        <f>1+14</f>
        <v>15</v>
      </c>
      <c r="X79" s="372">
        <f>W79/X$68</f>
        <v>0.7142857142857143</v>
      </c>
      <c r="Y79" s="428">
        <v>18</v>
      </c>
      <c r="Z79" s="1397">
        <f>Y79/Z$68</f>
        <v>0.75</v>
      </c>
      <c r="AA79" s="657"/>
      <c r="AB79" s="803">
        <f t="shared" ref="AB79:AB80" si="25">AVERAGE(W79,U79,S79,Q79,Y79)</f>
        <v>16.399999999999999</v>
      </c>
      <c r="AC79" s="685">
        <f t="shared" ref="AC79:AC80" si="26">AVERAGE(X79,V79,T79,R79,Z79)</f>
        <v>0.71235121400338797</v>
      </c>
    </row>
    <row r="80" spans="2:29" ht="12" x14ac:dyDescent="0.2">
      <c r="B80" s="42" t="s">
        <v>89</v>
      </c>
      <c r="C80" s="370">
        <v>5</v>
      </c>
      <c r="D80" s="372">
        <f t="shared" si="23"/>
        <v>0.21739130434782608</v>
      </c>
      <c r="E80" s="165">
        <v>4</v>
      </c>
      <c r="F80" s="286">
        <f>E80/$F$68</f>
        <v>0.19047619047619047</v>
      </c>
      <c r="G80" s="370">
        <v>4</v>
      </c>
      <c r="H80" s="372">
        <f>G80/$H$68</f>
        <v>0.2</v>
      </c>
      <c r="I80" s="370">
        <v>7</v>
      </c>
      <c r="J80" s="372">
        <f>I80/$J$68</f>
        <v>0.35</v>
      </c>
      <c r="K80" s="370">
        <v>8</v>
      </c>
      <c r="L80" s="206">
        <f>K80/$L$68</f>
        <v>0.36363636363636365</v>
      </c>
      <c r="M80" s="370">
        <f>1+7</f>
        <v>8</v>
      </c>
      <c r="N80" s="372">
        <f>M80/N$68</f>
        <v>0.29629629629629628</v>
      </c>
      <c r="O80" s="428">
        <v>8</v>
      </c>
      <c r="P80" s="372">
        <f>O80/P$68</f>
        <v>0.32</v>
      </c>
      <c r="Q80" s="428">
        <v>7</v>
      </c>
      <c r="R80" s="372">
        <f>Q80/R$68</f>
        <v>0.28000000000000003</v>
      </c>
      <c r="S80" s="428">
        <f>1+6</f>
        <v>7</v>
      </c>
      <c r="T80" s="372">
        <f>S80/T$68</f>
        <v>0.30434782608695654</v>
      </c>
      <c r="U80" s="428">
        <v>7</v>
      </c>
      <c r="V80" s="372">
        <f>U80/V$68</f>
        <v>0.31818181818181818</v>
      </c>
      <c r="W80" s="428">
        <v>6</v>
      </c>
      <c r="X80" s="372">
        <f>W80/X$68</f>
        <v>0.2857142857142857</v>
      </c>
      <c r="Y80" s="428">
        <v>6</v>
      </c>
      <c r="Z80" s="1397">
        <f>Y80/Z$68</f>
        <v>0.25</v>
      </c>
      <c r="AA80" s="657"/>
      <c r="AB80" s="803">
        <f t="shared" si="25"/>
        <v>6.6</v>
      </c>
      <c r="AC80" s="685">
        <f t="shared" si="26"/>
        <v>0.28764878599661209</v>
      </c>
    </row>
    <row r="81" spans="1:29" ht="12" x14ac:dyDescent="0.2">
      <c r="B81" s="1058" t="s">
        <v>102</v>
      </c>
      <c r="C81" s="570"/>
      <c r="D81" s="372"/>
      <c r="E81" s="166"/>
      <c r="F81" s="286"/>
      <c r="G81" s="291"/>
      <c r="H81" s="372"/>
      <c r="I81" s="291"/>
      <c r="J81" s="372"/>
      <c r="K81" s="291"/>
      <c r="L81" s="206"/>
      <c r="M81" s="291"/>
      <c r="N81" s="372"/>
      <c r="O81" s="429"/>
      <c r="P81" s="372"/>
      <c r="Q81" s="429"/>
      <c r="R81" s="372"/>
      <c r="S81" s="429"/>
      <c r="T81" s="372"/>
      <c r="U81" s="429"/>
      <c r="V81" s="372"/>
      <c r="W81" s="429"/>
      <c r="X81" s="372"/>
      <c r="Y81" s="429"/>
      <c r="Z81" s="1397"/>
      <c r="AA81" s="657"/>
      <c r="AB81" s="803"/>
      <c r="AC81" s="685"/>
    </row>
    <row r="82" spans="1:29" ht="12" x14ac:dyDescent="0.2">
      <c r="B82" s="42" t="s">
        <v>90</v>
      </c>
      <c r="C82" s="571">
        <v>14</v>
      </c>
      <c r="D82" s="372">
        <f t="shared" si="23"/>
        <v>0.60869565217391308</v>
      </c>
      <c r="E82" s="165">
        <v>12</v>
      </c>
      <c r="F82" s="286">
        <f>E82/$F$68</f>
        <v>0.5714285714285714</v>
      </c>
      <c r="G82" s="370">
        <v>12</v>
      </c>
      <c r="H82" s="372">
        <f>G82/$H$68</f>
        <v>0.6</v>
      </c>
      <c r="I82" s="370">
        <v>10</v>
      </c>
      <c r="J82" s="372">
        <f>I82/$J$68</f>
        <v>0.5</v>
      </c>
      <c r="K82" s="370">
        <v>10</v>
      </c>
      <c r="L82" s="206">
        <f>K82/$L$68</f>
        <v>0.45454545454545453</v>
      </c>
      <c r="M82" s="370">
        <v>12</v>
      </c>
      <c r="N82" s="372">
        <f>M82/N$68</f>
        <v>0.44444444444444442</v>
      </c>
      <c r="O82" s="428">
        <v>12</v>
      </c>
      <c r="P82" s="372">
        <f>O82/P$68</f>
        <v>0.48</v>
      </c>
      <c r="Q82" s="428">
        <v>11</v>
      </c>
      <c r="R82" s="372">
        <f>Q82/R$68</f>
        <v>0.44</v>
      </c>
      <c r="S82" s="428">
        <f>13</f>
        <v>13</v>
      </c>
      <c r="T82" s="372">
        <f>S82/T$68</f>
        <v>0.56521739130434778</v>
      </c>
      <c r="U82" s="428">
        <v>13</v>
      </c>
      <c r="V82" s="372">
        <f>U82/V$68</f>
        <v>0.59090909090909094</v>
      </c>
      <c r="W82" s="428">
        <f>1+13</f>
        <v>14</v>
      </c>
      <c r="X82" s="372">
        <f>W82/X$68</f>
        <v>0.66666666666666663</v>
      </c>
      <c r="Y82" s="428">
        <v>14</v>
      </c>
      <c r="Z82" s="1397">
        <f>Y82/Z$68</f>
        <v>0.58333333333333337</v>
      </c>
      <c r="AA82" s="657"/>
      <c r="AB82" s="803">
        <f t="shared" ref="AB82:AB89" si="27">AVERAGE(W82,U82,S82,Q82,Y82)</f>
        <v>13</v>
      </c>
      <c r="AC82" s="685">
        <f t="shared" ref="AC82:AC89" si="28">AVERAGE(X82,V82,T82,R82,Z82)</f>
        <v>0.56922529644268782</v>
      </c>
    </row>
    <row r="83" spans="1:29" ht="12" x14ac:dyDescent="0.2">
      <c r="B83" s="42" t="s">
        <v>91</v>
      </c>
      <c r="C83" s="571">
        <v>3</v>
      </c>
      <c r="D83" s="372">
        <f t="shared" si="23"/>
        <v>0.13043478260869565</v>
      </c>
      <c r="E83" s="165">
        <v>3</v>
      </c>
      <c r="F83" s="286">
        <f>E83/$F$68</f>
        <v>0.14285714285714285</v>
      </c>
      <c r="G83" s="370">
        <v>2</v>
      </c>
      <c r="H83" s="372">
        <f>G83/$H$68</f>
        <v>0.1</v>
      </c>
      <c r="I83" s="370">
        <v>3</v>
      </c>
      <c r="J83" s="372">
        <f>I83/$J$68</f>
        <v>0.15</v>
      </c>
      <c r="K83" s="370">
        <v>6</v>
      </c>
      <c r="L83" s="206">
        <f>K83/$L$68</f>
        <v>0.27272727272727271</v>
      </c>
      <c r="M83" s="370">
        <v>7</v>
      </c>
      <c r="N83" s="372">
        <f>M83/N$68</f>
        <v>0.25925925925925924</v>
      </c>
      <c r="O83" s="428">
        <v>6</v>
      </c>
      <c r="P83" s="372">
        <f>O83/P$68</f>
        <v>0.24</v>
      </c>
      <c r="Q83" s="428">
        <v>6</v>
      </c>
      <c r="R83" s="372">
        <f>Q83/R$68</f>
        <v>0.24</v>
      </c>
      <c r="S83" s="428">
        <f>4</f>
        <v>4</v>
      </c>
      <c r="T83" s="372">
        <f>S83/T$68</f>
        <v>0.17391304347826086</v>
      </c>
      <c r="U83" s="428">
        <v>3</v>
      </c>
      <c r="V83" s="372">
        <f>U83/V$68</f>
        <v>0.13636363636363635</v>
      </c>
      <c r="W83" s="428">
        <v>3</v>
      </c>
      <c r="X83" s="372">
        <f>W83/X$68</f>
        <v>0.14285714285714285</v>
      </c>
      <c r="Y83" s="428">
        <v>4</v>
      </c>
      <c r="Z83" s="1397">
        <f>Y83/Z$68</f>
        <v>0.16666666666666666</v>
      </c>
      <c r="AA83" s="657"/>
      <c r="AB83" s="803">
        <f t="shared" si="27"/>
        <v>4</v>
      </c>
      <c r="AC83" s="685">
        <f t="shared" si="28"/>
        <v>0.17196009787314132</v>
      </c>
    </row>
    <row r="84" spans="1:29" ht="12" x14ac:dyDescent="0.2">
      <c r="B84" s="42" t="s">
        <v>92</v>
      </c>
      <c r="C84" s="571">
        <v>6</v>
      </c>
      <c r="D84" s="372">
        <f t="shared" si="23"/>
        <v>0.2608695652173913</v>
      </c>
      <c r="E84" s="165">
        <v>6</v>
      </c>
      <c r="F84" s="286">
        <f>E84/$F$68</f>
        <v>0.2857142857142857</v>
      </c>
      <c r="G84" s="370">
        <v>6</v>
      </c>
      <c r="H84" s="372">
        <f>G84/$H$68</f>
        <v>0.3</v>
      </c>
      <c r="I84" s="370">
        <v>7</v>
      </c>
      <c r="J84" s="372">
        <f>I84/$J$68</f>
        <v>0.35</v>
      </c>
      <c r="K84" s="370">
        <v>6</v>
      </c>
      <c r="L84" s="206">
        <f>K84/$L$68</f>
        <v>0.27272727272727271</v>
      </c>
      <c r="M84" s="370">
        <f>3+5</f>
        <v>8</v>
      </c>
      <c r="N84" s="372">
        <f>M84/N$68</f>
        <v>0.29629629629629628</v>
      </c>
      <c r="O84" s="428">
        <v>7</v>
      </c>
      <c r="P84" s="372">
        <f>O84/P$68</f>
        <v>0.28000000000000003</v>
      </c>
      <c r="Q84" s="428">
        <v>8</v>
      </c>
      <c r="R84" s="372">
        <f>Q84/R$68</f>
        <v>0.32</v>
      </c>
      <c r="S84" s="428">
        <f>1+5</f>
        <v>6</v>
      </c>
      <c r="T84" s="372">
        <f>S84/T$68</f>
        <v>0.2608695652173913</v>
      </c>
      <c r="U84" s="428">
        <v>6</v>
      </c>
      <c r="V84" s="372">
        <f>U84/V$68</f>
        <v>0.27272727272727271</v>
      </c>
      <c r="W84" s="428">
        <v>4</v>
      </c>
      <c r="X84" s="372">
        <f>W84/X$68</f>
        <v>0.19047619047619047</v>
      </c>
      <c r="Y84" s="428">
        <v>6</v>
      </c>
      <c r="Z84" s="1397">
        <f>Y84/Z$68</f>
        <v>0.25</v>
      </c>
      <c r="AA84" s="657"/>
      <c r="AB84" s="803">
        <f t="shared" si="27"/>
        <v>6</v>
      </c>
      <c r="AC84" s="685">
        <f t="shared" si="28"/>
        <v>0.25881460568417092</v>
      </c>
    </row>
    <row r="85" spans="1:29" ht="12" x14ac:dyDescent="0.2">
      <c r="B85" s="1058" t="s">
        <v>103</v>
      </c>
      <c r="C85" s="570"/>
      <c r="D85" s="372"/>
      <c r="E85" s="166"/>
      <c r="F85" s="286"/>
      <c r="G85" s="291"/>
      <c r="H85" s="372"/>
      <c r="I85" s="291"/>
      <c r="J85" s="372"/>
      <c r="K85" s="291"/>
      <c r="L85" s="206"/>
      <c r="M85" s="291"/>
      <c r="N85" s="372"/>
      <c r="O85" s="429"/>
      <c r="P85" s="372"/>
      <c r="Q85" s="429"/>
      <c r="R85" s="372"/>
      <c r="S85" s="429"/>
      <c r="T85" s="372"/>
      <c r="U85" s="429"/>
      <c r="V85" s="372"/>
      <c r="W85" s="429"/>
      <c r="X85" s="372"/>
      <c r="Y85" s="429"/>
      <c r="Z85" s="1397"/>
      <c r="AA85" s="657"/>
      <c r="AB85" s="803"/>
      <c r="AC85" s="685"/>
    </row>
    <row r="86" spans="1:29" ht="12" x14ac:dyDescent="0.2">
      <c r="B86" s="42" t="s">
        <v>93</v>
      </c>
      <c r="C86" s="571">
        <v>20</v>
      </c>
      <c r="D86" s="372">
        <f t="shared" si="23"/>
        <v>0.86956521739130432</v>
      </c>
      <c r="E86" s="165">
        <v>19</v>
      </c>
      <c r="F86" s="286">
        <f>E86/$F$68</f>
        <v>0.90476190476190477</v>
      </c>
      <c r="G86" s="370">
        <v>18</v>
      </c>
      <c r="H86" s="372">
        <f>G86/$H$68</f>
        <v>0.9</v>
      </c>
      <c r="I86" s="370">
        <v>18</v>
      </c>
      <c r="J86" s="372">
        <f>I86/$J$68</f>
        <v>0.9</v>
      </c>
      <c r="K86" s="370">
        <v>20</v>
      </c>
      <c r="L86" s="206">
        <f>K86/$L$68</f>
        <v>0.90909090909090906</v>
      </c>
      <c r="M86" s="370">
        <f>2+22</f>
        <v>24</v>
      </c>
      <c r="N86" s="372">
        <f>M86/N$68</f>
        <v>0.88888888888888884</v>
      </c>
      <c r="O86" s="428">
        <v>22</v>
      </c>
      <c r="P86" s="372">
        <f>O86/P$68</f>
        <v>0.88</v>
      </c>
      <c r="Q86" s="428">
        <v>21</v>
      </c>
      <c r="R86" s="372">
        <f>Q86/R$68</f>
        <v>0.84</v>
      </c>
      <c r="S86" s="428">
        <f>22</f>
        <v>22</v>
      </c>
      <c r="T86" s="372">
        <f>S86/T$68</f>
        <v>0.95652173913043481</v>
      </c>
      <c r="U86" s="428">
        <v>19</v>
      </c>
      <c r="V86" s="372">
        <f>U86/V$68</f>
        <v>0.86363636363636365</v>
      </c>
      <c r="W86" s="428">
        <f>1+18</f>
        <v>19</v>
      </c>
      <c r="X86" s="372">
        <f>W86/X$68</f>
        <v>0.90476190476190477</v>
      </c>
      <c r="Y86" s="428">
        <v>23</v>
      </c>
      <c r="Z86" s="1397">
        <f>Y86/Z$68</f>
        <v>0.95833333333333337</v>
      </c>
      <c r="AA86" s="657"/>
      <c r="AB86" s="803">
        <f t="shared" si="27"/>
        <v>20.8</v>
      </c>
      <c r="AC86" s="685">
        <f t="shared" si="28"/>
        <v>0.90465066817240714</v>
      </c>
    </row>
    <row r="87" spans="1:29" ht="12" x14ac:dyDescent="0.2">
      <c r="B87" s="42" t="s">
        <v>94</v>
      </c>
      <c r="C87" s="571">
        <v>3</v>
      </c>
      <c r="D87" s="372">
        <f t="shared" si="23"/>
        <v>0.13043478260869565</v>
      </c>
      <c r="E87" s="165">
        <v>2</v>
      </c>
      <c r="F87" s="286">
        <f>E87/$F$68</f>
        <v>9.5238095238095233E-2</v>
      </c>
      <c r="G87" s="370">
        <v>2</v>
      </c>
      <c r="H87" s="372">
        <f>G87/$H$68</f>
        <v>0.1</v>
      </c>
      <c r="I87" s="370">
        <v>2</v>
      </c>
      <c r="J87" s="372">
        <f>I87/$J$68</f>
        <v>0.1</v>
      </c>
      <c r="K87" s="370">
        <v>2</v>
      </c>
      <c r="L87" s="206">
        <f>K87/$L$68</f>
        <v>9.0909090909090912E-2</v>
      </c>
      <c r="M87" s="370">
        <v>2</v>
      </c>
      <c r="N87" s="372">
        <f>M87/N$68</f>
        <v>7.407407407407407E-2</v>
      </c>
      <c r="O87" s="428">
        <v>3</v>
      </c>
      <c r="P87" s="372">
        <f>O87/P$68</f>
        <v>0.12</v>
      </c>
      <c r="Q87" s="428">
        <v>3</v>
      </c>
      <c r="R87" s="372">
        <f>Q87/R$68</f>
        <v>0.12</v>
      </c>
      <c r="S87" s="428">
        <f>0</f>
        <v>0</v>
      </c>
      <c r="T87" s="372">
        <f>S87/T$68</f>
        <v>0</v>
      </c>
      <c r="U87" s="428">
        <v>2</v>
      </c>
      <c r="V87" s="372">
        <f>U87/V$68</f>
        <v>9.0909090909090912E-2</v>
      </c>
      <c r="W87" s="428">
        <v>2</v>
      </c>
      <c r="X87" s="372">
        <f>W87/X$68</f>
        <v>9.5238095238095233E-2</v>
      </c>
      <c r="Y87" s="428">
        <v>1</v>
      </c>
      <c r="Z87" s="1397">
        <f>Y87/Z$68</f>
        <v>4.1666666666666664E-2</v>
      </c>
      <c r="AA87" s="657"/>
      <c r="AB87" s="803">
        <f t="shared" si="27"/>
        <v>1.6</v>
      </c>
      <c r="AC87" s="685">
        <f t="shared" si="28"/>
        <v>6.9562770562770576E-2</v>
      </c>
    </row>
    <row r="88" spans="1:29" ht="12" x14ac:dyDescent="0.2">
      <c r="B88" s="42" t="s">
        <v>95</v>
      </c>
      <c r="C88" s="571">
        <v>0</v>
      </c>
      <c r="D88" s="372">
        <f t="shared" si="23"/>
        <v>0</v>
      </c>
      <c r="E88" s="165">
        <v>0</v>
      </c>
      <c r="F88" s="286">
        <f>E88/$F$68</f>
        <v>0</v>
      </c>
      <c r="G88" s="370">
        <v>0</v>
      </c>
      <c r="H88" s="372">
        <f>G88/$H$68</f>
        <v>0</v>
      </c>
      <c r="I88" s="370">
        <v>0</v>
      </c>
      <c r="J88" s="372">
        <f>I88/$J$68</f>
        <v>0</v>
      </c>
      <c r="K88" s="370">
        <v>0</v>
      </c>
      <c r="L88" s="206">
        <f>K88/$L$68</f>
        <v>0</v>
      </c>
      <c r="M88" s="370">
        <v>1</v>
      </c>
      <c r="N88" s="372">
        <f>M88/N$68</f>
        <v>3.7037037037037035E-2</v>
      </c>
      <c r="O88" s="428">
        <v>0</v>
      </c>
      <c r="P88" s="372">
        <f>O88/P$68</f>
        <v>0</v>
      </c>
      <c r="Q88" s="428">
        <v>1</v>
      </c>
      <c r="R88" s="372">
        <f>Q88/R$68</f>
        <v>0.04</v>
      </c>
      <c r="S88" s="428">
        <f>1</f>
        <v>1</v>
      </c>
      <c r="T88" s="372">
        <f>S88/T$68</f>
        <v>4.3478260869565216E-2</v>
      </c>
      <c r="U88" s="428">
        <v>1</v>
      </c>
      <c r="V88" s="372">
        <f>U88/V$68</f>
        <v>4.5454545454545456E-2</v>
      </c>
      <c r="W88" s="428">
        <v>0</v>
      </c>
      <c r="X88" s="372">
        <f>W88/X$68</f>
        <v>0</v>
      </c>
      <c r="Y88" s="428">
        <v>0</v>
      </c>
      <c r="Z88" s="1397">
        <f>Y88/Z$68</f>
        <v>0</v>
      </c>
      <c r="AA88" s="657"/>
      <c r="AB88" s="803">
        <f t="shared" si="27"/>
        <v>0.6</v>
      </c>
      <c r="AC88" s="685">
        <f t="shared" si="28"/>
        <v>2.5786561264822132E-2</v>
      </c>
    </row>
    <row r="89" spans="1:29" thickBot="1" x14ac:dyDescent="0.25">
      <c r="B89" s="682" t="s">
        <v>96</v>
      </c>
      <c r="C89" s="572">
        <v>0</v>
      </c>
      <c r="D89" s="453">
        <f t="shared" si="23"/>
        <v>0</v>
      </c>
      <c r="E89" s="167">
        <v>0</v>
      </c>
      <c r="F89" s="287">
        <f>E89/$F$68</f>
        <v>0</v>
      </c>
      <c r="G89" s="371">
        <v>0</v>
      </c>
      <c r="H89" s="453">
        <f>G89/$H$68</f>
        <v>0</v>
      </c>
      <c r="I89" s="371">
        <v>0</v>
      </c>
      <c r="J89" s="453">
        <f>I89/$J$68</f>
        <v>0</v>
      </c>
      <c r="K89" s="371">
        <v>0</v>
      </c>
      <c r="L89" s="207">
        <f>K89/$L$68</f>
        <v>0</v>
      </c>
      <c r="M89" s="371">
        <v>0</v>
      </c>
      <c r="N89" s="453">
        <f>M89/N$68</f>
        <v>0</v>
      </c>
      <c r="O89" s="430">
        <v>0</v>
      </c>
      <c r="P89" s="453">
        <f>O89/P$68</f>
        <v>0</v>
      </c>
      <c r="Q89" s="430">
        <v>0</v>
      </c>
      <c r="R89" s="453">
        <f>Q89/R$68</f>
        <v>0</v>
      </c>
      <c r="S89" s="430">
        <v>0</v>
      </c>
      <c r="T89" s="453">
        <f>S89/T$68</f>
        <v>0</v>
      </c>
      <c r="U89" s="430">
        <v>0</v>
      </c>
      <c r="V89" s="453">
        <f>U89/V$68</f>
        <v>0</v>
      </c>
      <c r="W89" s="430">
        <v>0</v>
      </c>
      <c r="X89" s="453">
        <f>W89/X$68</f>
        <v>0</v>
      </c>
      <c r="Y89" s="430">
        <v>0</v>
      </c>
      <c r="Z89" s="1398">
        <f>Y89/Z$68</f>
        <v>0</v>
      </c>
      <c r="AA89" s="657"/>
      <c r="AB89" s="689">
        <f t="shared" si="27"/>
        <v>0</v>
      </c>
      <c r="AC89" s="686">
        <f t="shared" si="28"/>
        <v>0</v>
      </c>
    </row>
    <row r="90" spans="1:29" thickTop="1" x14ac:dyDescent="0.2">
      <c r="A90" s="652"/>
      <c r="B90" s="669" t="s">
        <v>131</v>
      </c>
      <c r="C90" s="52"/>
      <c r="D90" s="671"/>
      <c r="E90" s="672"/>
      <c r="F90" s="670"/>
      <c r="G90" s="672"/>
      <c r="H90" s="670"/>
      <c r="I90" s="672"/>
      <c r="J90" s="670"/>
      <c r="K90" s="672"/>
      <c r="L90" s="670"/>
      <c r="M90" s="705"/>
      <c r="N90" s="1025"/>
      <c r="O90" s="705"/>
      <c r="P90" s="1025"/>
      <c r="Q90" s="705"/>
      <c r="R90" s="1333"/>
      <c r="S90" s="705"/>
      <c r="T90" s="1333"/>
      <c r="U90" s="705"/>
      <c r="V90" s="1333"/>
      <c r="W90" s="705"/>
      <c r="X90" s="1333"/>
      <c r="Y90" s="705"/>
      <c r="Z90" s="1251"/>
      <c r="AA90" s="652"/>
      <c r="AC90" s="652"/>
    </row>
    <row r="91" spans="1:29" ht="12" x14ac:dyDescent="0.2">
      <c r="A91" s="652"/>
      <c r="B91" s="777"/>
      <c r="C91" s="101" t="s">
        <v>97</v>
      </c>
      <c r="D91" s="677" t="s">
        <v>17</v>
      </c>
      <c r="E91" s="101" t="s">
        <v>97</v>
      </c>
      <c r="F91" s="677" t="s">
        <v>17</v>
      </c>
      <c r="G91" s="101" t="s">
        <v>97</v>
      </c>
      <c r="H91" s="677" t="s">
        <v>17</v>
      </c>
      <c r="I91" s="101" t="s">
        <v>97</v>
      </c>
      <c r="J91" s="677" t="s">
        <v>17</v>
      </c>
      <c r="K91" s="101" t="s">
        <v>97</v>
      </c>
      <c r="L91" s="677" t="s">
        <v>17</v>
      </c>
      <c r="M91" s="101" t="s">
        <v>97</v>
      </c>
      <c r="N91" s="677" t="s">
        <v>17</v>
      </c>
      <c r="O91" s="101" t="s">
        <v>97</v>
      </c>
      <c r="P91" s="677" t="s">
        <v>17</v>
      </c>
      <c r="Q91" s="253" t="s">
        <v>97</v>
      </c>
      <c r="R91" s="677" t="s">
        <v>17</v>
      </c>
      <c r="S91" s="253" t="s">
        <v>97</v>
      </c>
      <c r="T91" s="677" t="s">
        <v>17</v>
      </c>
      <c r="U91" s="253" t="s">
        <v>97</v>
      </c>
      <c r="V91" s="677" t="s">
        <v>17</v>
      </c>
      <c r="W91" s="253" t="s">
        <v>97</v>
      </c>
      <c r="X91" s="677" t="s">
        <v>17</v>
      </c>
      <c r="Y91" s="253" t="s">
        <v>97</v>
      </c>
      <c r="Z91" s="678" t="s">
        <v>17</v>
      </c>
      <c r="AA91" s="652"/>
      <c r="AB91" s="101" t="s">
        <v>97</v>
      </c>
      <c r="AC91" s="678" t="s">
        <v>17</v>
      </c>
    </row>
    <row r="92" spans="1:29" ht="12" x14ac:dyDescent="0.2">
      <c r="A92" s="652"/>
      <c r="B92" s="778" t="s">
        <v>132</v>
      </c>
      <c r="C92" s="101">
        <v>45</v>
      </c>
      <c r="D92" s="899">
        <v>22.7</v>
      </c>
      <c r="E92" s="253">
        <v>41</v>
      </c>
      <c r="F92" s="706">
        <v>20</v>
      </c>
      <c r="G92" s="253">
        <v>35</v>
      </c>
      <c r="H92" s="706">
        <v>15.4</v>
      </c>
      <c r="I92" s="253">
        <v>32</v>
      </c>
      <c r="J92" s="706">
        <v>15.5</v>
      </c>
      <c r="K92" s="101">
        <v>22</v>
      </c>
      <c r="L92" s="706">
        <v>10.4</v>
      </c>
      <c r="M92" s="840">
        <v>26</v>
      </c>
      <c r="N92" s="1030">
        <v>12.5</v>
      </c>
      <c r="O92" s="840">
        <v>28</v>
      </c>
      <c r="P92" s="1030">
        <v>14</v>
      </c>
      <c r="Q92" s="840">
        <v>27</v>
      </c>
      <c r="R92" s="1299">
        <v>13.4</v>
      </c>
      <c r="S92" s="840">
        <v>32</v>
      </c>
      <c r="T92" s="1299">
        <v>15.4</v>
      </c>
      <c r="U92" s="840">
        <v>26</v>
      </c>
      <c r="V92" s="1299">
        <v>12.75</v>
      </c>
      <c r="W92" s="840">
        <v>32</v>
      </c>
      <c r="X92" s="1299">
        <v>16</v>
      </c>
      <c r="Y92" s="840">
        <v>33</v>
      </c>
      <c r="Z92" s="1407">
        <v>16.2</v>
      </c>
      <c r="AA92" s="900"/>
      <c r="AB92" s="877">
        <f t="shared" ref="AB92:AB94" si="29">AVERAGE(W92,U92,S92,Q92,Y92)</f>
        <v>30</v>
      </c>
      <c r="AC92" s="896">
        <f t="shared" ref="AC92:AC94" si="30">AVERAGE(X92,V92,T92,R92,Z92)</f>
        <v>14.75</v>
      </c>
    </row>
    <row r="93" spans="1:29" ht="12" x14ac:dyDescent="0.2">
      <c r="A93" s="652"/>
      <c r="B93" s="778" t="s">
        <v>133</v>
      </c>
      <c r="C93" s="101">
        <v>0</v>
      </c>
      <c r="D93" s="899">
        <v>0</v>
      </c>
      <c r="E93" s="253">
        <v>0</v>
      </c>
      <c r="F93" s="706">
        <v>0</v>
      </c>
      <c r="G93" s="253">
        <v>0</v>
      </c>
      <c r="H93" s="706">
        <v>0</v>
      </c>
      <c r="I93" s="253">
        <v>0</v>
      </c>
      <c r="J93" s="706">
        <v>0</v>
      </c>
      <c r="K93" s="101">
        <v>0</v>
      </c>
      <c r="L93" s="706">
        <v>0</v>
      </c>
      <c r="M93" s="840">
        <v>0</v>
      </c>
      <c r="N93" s="1030">
        <v>0</v>
      </c>
      <c r="O93" s="840">
        <v>0</v>
      </c>
      <c r="P93" s="1030">
        <v>0</v>
      </c>
      <c r="Q93" s="840">
        <v>0</v>
      </c>
      <c r="R93" s="1299">
        <v>0</v>
      </c>
      <c r="S93" s="840">
        <v>0</v>
      </c>
      <c r="T93" s="1299">
        <v>0</v>
      </c>
      <c r="U93" s="840">
        <v>0</v>
      </c>
      <c r="V93" s="1299">
        <v>0</v>
      </c>
      <c r="W93" s="840">
        <v>0</v>
      </c>
      <c r="X93" s="1299">
        <v>0</v>
      </c>
      <c r="Y93" s="840">
        <v>0</v>
      </c>
      <c r="Z93" s="1407">
        <v>0</v>
      </c>
      <c r="AA93" s="900"/>
      <c r="AB93" s="877">
        <f t="shared" si="29"/>
        <v>0</v>
      </c>
      <c r="AC93" s="896">
        <f t="shared" si="30"/>
        <v>0</v>
      </c>
    </row>
    <row r="94" spans="1:29" thickBot="1" x14ac:dyDescent="0.25">
      <c r="A94" s="652"/>
      <c r="B94" s="779" t="s">
        <v>158</v>
      </c>
      <c r="C94" s="683">
        <v>0</v>
      </c>
      <c r="D94" s="902">
        <v>0</v>
      </c>
      <c r="E94" s="878">
        <v>0</v>
      </c>
      <c r="F94" s="707">
        <v>0</v>
      </c>
      <c r="G94" s="878">
        <v>0</v>
      </c>
      <c r="H94" s="707">
        <v>0</v>
      </c>
      <c r="I94" s="878">
        <v>0</v>
      </c>
      <c r="J94" s="707">
        <v>0</v>
      </c>
      <c r="K94" s="683">
        <v>0</v>
      </c>
      <c r="L94" s="707">
        <v>0</v>
      </c>
      <c r="M94" s="843">
        <v>0</v>
      </c>
      <c r="N94" s="1026">
        <v>0</v>
      </c>
      <c r="O94" s="843">
        <v>0</v>
      </c>
      <c r="P94" s="1026">
        <v>0</v>
      </c>
      <c r="Q94" s="843">
        <v>0</v>
      </c>
      <c r="R94" s="1337">
        <v>0</v>
      </c>
      <c r="S94" s="843">
        <v>0</v>
      </c>
      <c r="T94" s="1337">
        <v>0</v>
      </c>
      <c r="U94" s="843">
        <v>4</v>
      </c>
      <c r="V94" s="1337">
        <v>0.4</v>
      </c>
      <c r="W94" s="843">
        <v>2</v>
      </c>
      <c r="X94" s="1337">
        <v>0.2</v>
      </c>
      <c r="Y94" s="843">
        <v>2</v>
      </c>
      <c r="Z94" s="1408">
        <v>0.2</v>
      </c>
      <c r="AA94" s="900"/>
      <c r="AB94" s="877">
        <f t="shared" si="29"/>
        <v>1.6</v>
      </c>
      <c r="AC94" s="898">
        <f t="shared" si="30"/>
        <v>0.16</v>
      </c>
    </row>
    <row r="95" spans="1:29" ht="14.25" thickTop="1" thickBot="1" x14ac:dyDescent="0.25">
      <c r="A95" s="652"/>
      <c r="B95" s="780"/>
      <c r="C95" s="1477" t="s">
        <v>35</v>
      </c>
      <c r="D95" s="1482"/>
      <c r="E95" s="1477" t="s">
        <v>36</v>
      </c>
      <c r="F95" s="1482"/>
      <c r="G95" s="1479" t="s">
        <v>122</v>
      </c>
      <c r="H95" s="1487"/>
      <c r="I95" s="1479" t="s">
        <v>123</v>
      </c>
      <c r="J95" s="1487"/>
      <c r="K95" s="1479" t="s">
        <v>148</v>
      </c>
      <c r="L95" s="1487"/>
      <c r="M95" s="1488" t="s">
        <v>149</v>
      </c>
      <c r="N95" s="1484"/>
      <c r="O95" s="1483" t="s">
        <v>184</v>
      </c>
      <c r="P95" s="1484"/>
      <c r="Q95" s="1483" t="s">
        <v>194</v>
      </c>
      <c r="R95" s="1484"/>
      <c r="S95" s="1483" t="s">
        <v>219</v>
      </c>
      <c r="T95" s="1484"/>
      <c r="U95" s="1483" t="s">
        <v>222</v>
      </c>
      <c r="V95" s="1484"/>
      <c r="W95" s="1483" t="s">
        <v>233</v>
      </c>
      <c r="X95" s="1484"/>
      <c r="Y95" s="1483" t="s">
        <v>242</v>
      </c>
      <c r="Z95" s="1489"/>
      <c r="AA95" s="24"/>
      <c r="AB95" s="1485"/>
      <c r="AC95" s="1486"/>
    </row>
    <row r="96" spans="1:29" x14ac:dyDescent="0.2">
      <c r="A96" s="652"/>
      <c r="B96" s="781" t="s">
        <v>157</v>
      </c>
      <c r="C96" s="1"/>
      <c r="D96" s="711"/>
      <c r="E96" s="712"/>
      <c r="F96" s="713"/>
      <c r="G96" s="714"/>
      <c r="H96" s="715"/>
      <c r="I96" s="716"/>
      <c r="J96" s="717"/>
      <c r="K96" s="655"/>
      <c r="L96" s="718"/>
      <c r="M96" s="655"/>
      <c r="N96" s="722"/>
      <c r="O96" s="222"/>
      <c r="P96" s="1187"/>
      <c r="Q96" s="655"/>
      <c r="R96" s="722"/>
      <c r="S96" s="655"/>
      <c r="T96" s="722"/>
      <c r="U96" s="222"/>
      <c r="V96" s="1187"/>
      <c r="W96" s="655"/>
      <c r="X96" s="722"/>
      <c r="Y96" s="655"/>
      <c r="Z96" s="1184"/>
      <c r="AA96" s="24"/>
      <c r="AB96" s="24"/>
      <c r="AC96" s="24"/>
    </row>
    <row r="97" spans="1:30" ht="12" x14ac:dyDescent="0.2">
      <c r="A97" s="652"/>
      <c r="B97" s="719" t="s">
        <v>138</v>
      </c>
      <c r="C97" s="1461">
        <v>2.04</v>
      </c>
      <c r="D97" s="1462"/>
      <c r="E97" s="720"/>
      <c r="F97" s="721"/>
      <c r="G97" s="655"/>
      <c r="H97" s="722"/>
      <c r="I97" s="1461">
        <v>0.7</v>
      </c>
      <c r="J97" s="1462"/>
      <c r="K97" s="723"/>
      <c r="L97" s="724"/>
      <c r="M97" s="723"/>
      <c r="N97" s="722"/>
      <c r="O97" s="235"/>
      <c r="P97" s="1233">
        <v>1.6</v>
      </c>
      <c r="Q97" s="723"/>
      <c r="R97" s="722"/>
      <c r="S97" s="723"/>
      <c r="T97" s="722"/>
      <c r="U97" s="235"/>
      <c r="V97" s="1233">
        <v>4.5</v>
      </c>
      <c r="W97" s="723"/>
      <c r="X97" s="722"/>
      <c r="Y97" s="723"/>
      <c r="Z97" s="1184"/>
      <c r="AA97" s="24"/>
      <c r="AB97" s="24"/>
      <c r="AC97" s="1215"/>
    </row>
    <row r="98" spans="1:30" ht="12" x14ac:dyDescent="0.2">
      <c r="A98" s="652"/>
      <c r="B98" s="725" t="s">
        <v>139</v>
      </c>
      <c r="C98" s="1461">
        <v>0</v>
      </c>
      <c r="D98" s="1462"/>
      <c r="E98" s="720"/>
      <c r="F98" s="721"/>
      <c r="G98" s="655"/>
      <c r="H98" s="722"/>
      <c r="I98" s="1461">
        <v>0</v>
      </c>
      <c r="J98" s="1462"/>
      <c r="K98" s="723"/>
      <c r="L98" s="724"/>
      <c r="M98" s="723"/>
      <c r="N98" s="722"/>
      <c r="O98" s="235"/>
      <c r="P98" s="1233"/>
      <c r="Q98" s="723"/>
      <c r="R98" s="722"/>
      <c r="S98" s="723"/>
      <c r="T98" s="722"/>
      <c r="U98" s="235"/>
      <c r="V98" s="1233"/>
      <c r="W98" s="723"/>
      <c r="X98" s="722"/>
      <c r="Y98" s="723"/>
      <c r="Z98" s="1184"/>
      <c r="AA98" s="24"/>
      <c r="AB98" s="24"/>
      <c r="AC98" s="1215"/>
      <c r="AD98" s="24"/>
    </row>
    <row r="99" spans="1:30" ht="12" x14ac:dyDescent="0.2">
      <c r="A99" s="652"/>
      <c r="B99" s="725" t="s">
        <v>140</v>
      </c>
      <c r="C99" s="1461"/>
      <c r="D99" s="1462"/>
      <c r="E99" s="720"/>
      <c r="F99" s="721"/>
      <c r="G99" s="655"/>
      <c r="H99" s="722"/>
      <c r="I99" s="1461"/>
      <c r="J99" s="1462"/>
      <c r="K99" s="723"/>
      <c r="L99" s="724"/>
      <c r="M99" s="723"/>
      <c r="N99" s="722"/>
      <c r="O99" s="235"/>
      <c r="P99" s="1233">
        <v>0</v>
      </c>
      <c r="Q99" s="723"/>
      <c r="R99" s="722"/>
      <c r="S99" s="723"/>
      <c r="T99" s="722"/>
      <c r="U99" s="235"/>
      <c r="V99" s="1233">
        <v>0</v>
      </c>
      <c r="W99" s="723"/>
      <c r="X99" s="722"/>
      <c r="Y99" s="723"/>
      <c r="Z99" s="1184"/>
      <c r="AA99" s="24"/>
      <c r="AB99" s="24"/>
      <c r="AC99" s="1215"/>
    </row>
    <row r="100" spans="1:30" ht="12" x14ac:dyDescent="0.2">
      <c r="A100" s="652"/>
      <c r="B100" s="719" t="s">
        <v>141</v>
      </c>
      <c r="C100" s="1461">
        <v>0</v>
      </c>
      <c r="D100" s="1462"/>
      <c r="E100" s="720"/>
      <c r="F100" s="721"/>
      <c r="G100" s="655"/>
      <c r="H100" s="722"/>
      <c r="I100" s="1461">
        <v>0</v>
      </c>
      <c r="J100" s="1462"/>
      <c r="K100" s="723"/>
      <c r="L100" s="724"/>
      <c r="M100" s="723"/>
      <c r="N100" s="722"/>
      <c r="O100" s="235"/>
      <c r="P100" s="1233">
        <v>0</v>
      </c>
      <c r="Q100" s="723"/>
      <c r="R100" s="722"/>
      <c r="S100" s="723"/>
      <c r="T100" s="722"/>
      <c r="U100" s="235"/>
      <c r="V100" s="1233">
        <v>0</v>
      </c>
      <c r="W100" s="723"/>
      <c r="X100" s="722"/>
      <c r="Y100" s="723"/>
      <c r="Z100" s="1184"/>
      <c r="AA100" s="24"/>
      <c r="AB100" s="24"/>
      <c r="AC100" s="1215"/>
    </row>
    <row r="101" spans="1:30" ht="12" x14ac:dyDescent="0.2">
      <c r="A101" s="652"/>
      <c r="B101" s="726" t="s">
        <v>142</v>
      </c>
      <c r="C101" s="1461">
        <v>0.1</v>
      </c>
      <c r="D101" s="1462"/>
      <c r="E101" s="720"/>
      <c r="F101" s="721"/>
      <c r="G101" s="655"/>
      <c r="H101" s="722"/>
      <c r="I101" s="1461">
        <v>0.3</v>
      </c>
      <c r="J101" s="1462"/>
      <c r="K101" s="723"/>
      <c r="L101" s="724"/>
      <c r="M101" s="723"/>
      <c r="N101" s="722"/>
      <c r="O101" s="235"/>
      <c r="P101" s="1233">
        <v>0.3</v>
      </c>
      <c r="Q101" s="723"/>
      <c r="R101" s="722"/>
      <c r="S101" s="723"/>
      <c r="T101" s="722"/>
      <c r="U101" s="235"/>
      <c r="V101" s="1233">
        <v>0.6</v>
      </c>
      <c r="W101" s="723"/>
      <c r="X101" s="722"/>
      <c r="Y101" s="723"/>
      <c r="Z101" s="1184"/>
      <c r="AA101" s="24"/>
      <c r="AB101" s="24"/>
      <c r="AC101" s="1215"/>
    </row>
    <row r="102" spans="1:30" ht="12" x14ac:dyDescent="0.2">
      <c r="A102" s="652"/>
      <c r="B102" s="726" t="s">
        <v>143</v>
      </c>
      <c r="C102" s="1461">
        <f>SUM(C97:D101)</f>
        <v>2.14</v>
      </c>
      <c r="D102" s="1462"/>
      <c r="E102" s="720"/>
      <c r="F102" s="721"/>
      <c r="G102" s="655"/>
      <c r="H102" s="722"/>
      <c r="I102" s="1461">
        <f>SUM(I97:J101)</f>
        <v>1</v>
      </c>
      <c r="J102" s="1462"/>
      <c r="K102" s="723"/>
      <c r="L102" s="724"/>
      <c r="M102" s="723"/>
      <c r="N102" s="722"/>
      <c r="O102" s="235"/>
      <c r="P102" s="1233">
        <f>SUM(P97:P101)</f>
        <v>1.9000000000000001</v>
      </c>
      <c r="Q102" s="723"/>
      <c r="R102" s="722"/>
      <c r="S102" s="723"/>
      <c r="T102" s="722"/>
      <c r="U102" s="235"/>
      <c r="V102" s="1233">
        <f>SUM(V97:V101)</f>
        <v>5.0999999999999996</v>
      </c>
      <c r="W102" s="723"/>
      <c r="X102" s="722"/>
      <c r="Y102" s="723"/>
      <c r="Z102" s="1184"/>
      <c r="AA102" s="24"/>
      <c r="AB102" s="24"/>
      <c r="AC102" s="1215"/>
    </row>
    <row r="103" spans="1:30" thickBot="1" x14ac:dyDescent="0.25">
      <c r="A103" s="652"/>
      <c r="B103" s="727" t="s">
        <v>151</v>
      </c>
      <c r="C103" s="1526"/>
      <c r="D103" s="1527"/>
      <c r="E103" s="720"/>
      <c r="F103" s="721"/>
      <c r="G103" s="655"/>
      <c r="H103" s="722"/>
      <c r="I103" s="1526"/>
      <c r="J103" s="1527"/>
      <c r="K103" s="723"/>
      <c r="L103" s="724"/>
      <c r="M103" s="723"/>
      <c r="N103" s="722"/>
      <c r="O103" s="235"/>
      <c r="P103" s="1187"/>
      <c r="Q103" s="723"/>
      <c r="R103" s="722"/>
      <c r="S103" s="723"/>
      <c r="T103" s="722"/>
      <c r="U103" s="235"/>
      <c r="V103" s="1187"/>
      <c r="W103" s="723"/>
      <c r="X103" s="722"/>
      <c r="Y103" s="723"/>
      <c r="Z103" s="1184"/>
      <c r="AA103" s="24"/>
      <c r="AB103" s="24"/>
      <c r="AC103" s="1215"/>
    </row>
    <row r="104" spans="1:30" ht="12" x14ac:dyDescent="0.2">
      <c r="A104" s="652"/>
      <c r="B104" s="719" t="s">
        <v>144</v>
      </c>
      <c r="C104" s="1524">
        <v>37</v>
      </c>
      <c r="D104" s="1525"/>
      <c r="E104" s="720"/>
      <c r="F104" s="721"/>
      <c r="G104" s="655"/>
      <c r="H104" s="722"/>
      <c r="I104" s="1524">
        <v>22</v>
      </c>
      <c r="J104" s="1525"/>
      <c r="K104" s="723"/>
      <c r="L104" s="724"/>
      <c r="M104" s="723"/>
      <c r="N104" s="722"/>
      <c r="O104" s="235"/>
      <c r="P104" s="1231">
        <v>187</v>
      </c>
      <c r="Q104" s="723"/>
      <c r="R104" s="722"/>
      <c r="S104" s="723"/>
      <c r="T104" s="722"/>
      <c r="U104" s="235"/>
      <c r="V104" s="1231">
        <v>210</v>
      </c>
      <c r="W104" s="723"/>
      <c r="X104" s="722"/>
      <c r="Y104" s="723"/>
      <c r="Z104" s="1184"/>
      <c r="AA104" s="24"/>
      <c r="AB104" s="24"/>
      <c r="AC104" s="774"/>
    </row>
    <row r="105" spans="1:30" ht="12" x14ac:dyDescent="0.2">
      <c r="A105" s="652"/>
      <c r="B105" s="726" t="s">
        <v>145</v>
      </c>
      <c r="C105" s="1524">
        <v>0</v>
      </c>
      <c r="D105" s="1525"/>
      <c r="E105" s="720"/>
      <c r="F105" s="721"/>
      <c r="G105" s="655"/>
      <c r="H105" s="722"/>
      <c r="I105" s="1524">
        <v>0</v>
      </c>
      <c r="J105" s="1525"/>
      <c r="K105" s="723"/>
      <c r="L105" s="724"/>
      <c r="M105" s="723"/>
      <c r="N105" s="722"/>
      <c r="O105" s="235"/>
      <c r="P105" s="1231">
        <v>0</v>
      </c>
      <c r="Q105" s="723"/>
      <c r="R105" s="722"/>
      <c r="S105" s="723"/>
      <c r="T105" s="722"/>
      <c r="U105" s="235"/>
      <c r="V105" s="1231">
        <v>0</v>
      </c>
      <c r="W105" s="723"/>
      <c r="X105" s="722"/>
      <c r="Y105" s="723"/>
      <c r="Z105" s="1184"/>
      <c r="AA105" s="24"/>
      <c r="AB105" s="24"/>
      <c r="AC105" s="774"/>
    </row>
    <row r="106" spans="1:30" ht="12" x14ac:dyDescent="0.2">
      <c r="A106" s="652"/>
      <c r="B106" s="726" t="s">
        <v>146</v>
      </c>
      <c r="C106" s="1524">
        <v>24</v>
      </c>
      <c r="D106" s="1525"/>
      <c r="E106" s="720"/>
      <c r="F106" s="721"/>
      <c r="G106" s="655"/>
      <c r="H106" s="722"/>
      <c r="I106" s="1524">
        <v>42</v>
      </c>
      <c r="J106" s="1525"/>
      <c r="K106" s="723"/>
      <c r="L106" s="724"/>
      <c r="M106" s="723"/>
      <c r="N106" s="722"/>
      <c r="O106" s="235"/>
      <c r="P106" s="1231">
        <v>28</v>
      </c>
      <c r="Q106" s="723"/>
      <c r="R106" s="722"/>
      <c r="S106" s="723"/>
      <c r="T106" s="722"/>
      <c r="U106" s="235"/>
      <c r="V106" s="1231">
        <v>63</v>
      </c>
      <c r="W106" s="723"/>
      <c r="X106" s="722"/>
      <c r="Y106" s="723"/>
      <c r="Z106" s="1184"/>
      <c r="AA106" s="24"/>
      <c r="AB106" s="24"/>
      <c r="AC106" s="774"/>
    </row>
    <row r="107" spans="1:30" ht="12" x14ac:dyDescent="0.2">
      <c r="A107" s="652"/>
      <c r="B107" s="726" t="s">
        <v>156</v>
      </c>
      <c r="C107" s="1524">
        <f>SUM(C104:D106)</f>
        <v>61</v>
      </c>
      <c r="D107" s="1525"/>
      <c r="E107" s="720"/>
      <c r="F107" s="721"/>
      <c r="G107" s="655"/>
      <c r="H107" s="722"/>
      <c r="I107" s="1524">
        <f>SUM(I104:J106)</f>
        <v>64</v>
      </c>
      <c r="J107" s="1525"/>
      <c r="K107" s="723"/>
      <c r="L107" s="724"/>
      <c r="M107" s="723"/>
      <c r="N107" s="722"/>
      <c r="O107" s="235"/>
      <c r="P107" s="1231">
        <f>SUM(P104:P106)</f>
        <v>215</v>
      </c>
      <c r="Q107" s="723"/>
      <c r="R107" s="722"/>
      <c r="S107" s="723"/>
      <c r="T107" s="722"/>
      <c r="U107" s="235"/>
      <c r="V107" s="1231">
        <f>SUM(V104:V106)</f>
        <v>273</v>
      </c>
      <c r="W107" s="723"/>
      <c r="X107" s="722"/>
      <c r="Y107" s="723"/>
      <c r="Z107" s="1184"/>
      <c r="AA107" s="24"/>
      <c r="AB107" s="24"/>
      <c r="AC107" s="774"/>
    </row>
    <row r="108" spans="1:30" thickBot="1" x14ac:dyDescent="0.25">
      <c r="A108" s="652"/>
      <c r="B108" s="727" t="s">
        <v>152</v>
      </c>
      <c r="C108" s="1461"/>
      <c r="D108" s="1462"/>
      <c r="E108" s="720"/>
      <c r="F108" s="721"/>
      <c r="G108" s="655"/>
      <c r="H108" s="722"/>
      <c r="I108" s="1461"/>
      <c r="J108" s="1462"/>
      <c r="K108" s="723"/>
      <c r="L108" s="724"/>
      <c r="M108" s="723"/>
      <c r="N108" s="722"/>
      <c r="O108" s="235"/>
      <c r="P108" s="1187"/>
      <c r="Q108" s="723"/>
      <c r="R108" s="722"/>
      <c r="S108" s="723"/>
      <c r="T108" s="722"/>
      <c r="U108" s="235"/>
      <c r="V108" s="1187"/>
      <c r="W108" s="723"/>
      <c r="X108" s="722"/>
      <c r="Y108" s="723"/>
      <c r="Z108" s="1184"/>
      <c r="AA108" s="24"/>
      <c r="AB108" s="24"/>
      <c r="AC108" s="774"/>
    </row>
    <row r="109" spans="1:30" ht="12" x14ac:dyDescent="0.2">
      <c r="A109" s="652"/>
      <c r="B109" s="719" t="s">
        <v>153</v>
      </c>
      <c r="C109" s="1461">
        <f>C104/C97</f>
        <v>18.137254901960784</v>
      </c>
      <c r="D109" s="1462"/>
      <c r="E109" s="728"/>
      <c r="F109" s="729"/>
      <c r="G109" s="730"/>
      <c r="H109" s="731"/>
      <c r="I109" s="1461">
        <f>I104/I97</f>
        <v>31.428571428571431</v>
      </c>
      <c r="J109" s="1462"/>
      <c r="K109" s="723"/>
      <c r="L109" s="732"/>
      <c r="M109" s="723"/>
      <c r="N109" s="722"/>
      <c r="O109" s="235"/>
      <c r="P109" s="1199">
        <f>P104/P97</f>
        <v>116.875</v>
      </c>
      <c r="Q109" s="723"/>
      <c r="R109" s="722"/>
      <c r="S109" s="723"/>
      <c r="T109" s="722"/>
      <c r="U109" s="235"/>
      <c r="V109" s="1199">
        <f>V104/V97</f>
        <v>46.666666666666664</v>
      </c>
      <c r="W109" s="723"/>
      <c r="X109" s="722"/>
      <c r="Y109" s="723"/>
      <c r="Z109" s="1184"/>
      <c r="AB109" s="24"/>
      <c r="AC109" s="774"/>
    </row>
    <row r="110" spans="1:30" ht="12" x14ac:dyDescent="0.2">
      <c r="A110" s="652"/>
      <c r="B110" s="726" t="s">
        <v>154</v>
      </c>
      <c r="C110" s="1461">
        <v>0</v>
      </c>
      <c r="D110" s="1462"/>
      <c r="E110" s="728"/>
      <c r="F110" s="729"/>
      <c r="G110" s="730"/>
      <c r="H110" s="731"/>
      <c r="I110" s="1461">
        <v>0</v>
      </c>
      <c r="J110" s="1462"/>
      <c r="K110" s="723"/>
      <c r="L110" s="732"/>
      <c r="M110" s="723"/>
      <c r="N110" s="722"/>
      <c r="O110" s="235"/>
      <c r="P110" s="1199">
        <v>0</v>
      </c>
      <c r="Q110" s="723"/>
      <c r="R110" s="722"/>
      <c r="S110" s="723"/>
      <c r="T110" s="722"/>
      <c r="U110" s="235"/>
      <c r="V110" s="1199">
        <v>0</v>
      </c>
      <c r="W110" s="723"/>
      <c r="X110" s="722"/>
      <c r="Y110" s="723"/>
      <c r="Z110" s="1184"/>
      <c r="AB110" s="24"/>
      <c r="AC110" s="774"/>
    </row>
    <row r="111" spans="1:30" ht="12" x14ac:dyDescent="0.2">
      <c r="A111" s="652"/>
      <c r="B111" s="726" t="s">
        <v>155</v>
      </c>
      <c r="C111" s="1461">
        <f>C106/C101</f>
        <v>240</v>
      </c>
      <c r="D111" s="1462"/>
      <c r="E111" s="728"/>
      <c r="F111" s="729"/>
      <c r="G111" s="730"/>
      <c r="H111" s="731"/>
      <c r="I111" s="1461">
        <f>I106/I101</f>
        <v>140</v>
      </c>
      <c r="J111" s="1462"/>
      <c r="K111" s="723"/>
      <c r="L111" s="732"/>
      <c r="M111" s="723"/>
      <c r="N111" s="722"/>
      <c r="O111" s="235"/>
      <c r="P111" s="1199">
        <f>P106/P101</f>
        <v>93.333333333333343</v>
      </c>
      <c r="Q111" s="723"/>
      <c r="R111" s="722"/>
      <c r="S111" s="723"/>
      <c r="T111" s="722"/>
      <c r="U111" s="235"/>
      <c r="V111" s="1199">
        <f>V106/V101</f>
        <v>105</v>
      </c>
      <c r="W111" s="723"/>
      <c r="X111" s="722"/>
      <c r="Y111" s="723"/>
      <c r="Z111" s="1184"/>
      <c r="AB111" s="24"/>
      <c r="AC111" s="774"/>
    </row>
    <row r="112" spans="1:30" thickBot="1" x14ac:dyDescent="0.25">
      <c r="A112" s="652"/>
      <c r="B112" s="733" t="s">
        <v>147</v>
      </c>
      <c r="C112" s="1459">
        <f>C107/C102</f>
        <v>28.504672897196262</v>
      </c>
      <c r="D112" s="1460"/>
      <c r="E112" s="734"/>
      <c r="F112" s="735"/>
      <c r="G112" s="736"/>
      <c r="H112" s="737"/>
      <c r="I112" s="1459">
        <f>I107/I102</f>
        <v>64</v>
      </c>
      <c r="J112" s="1460"/>
      <c r="K112" s="738"/>
      <c r="L112" s="739"/>
      <c r="M112" s="738"/>
      <c r="N112" s="739"/>
      <c r="O112" s="252"/>
      <c r="P112" s="1200">
        <f>P107/P102</f>
        <v>113.1578947368421</v>
      </c>
      <c r="Q112" s="738"/>
      <c r="R112" s="739"/>
      <c r="S112" s="738"/>
      <c r="T112" s="739"/>
      <c r="U112" s="252"/>
      <c r="V112" s="1200">
        <f>V107/V102</f>
        <v>53.529411764705884</v>
      </c>
      <c r="W112" s="738"/>
      <c r="X112" s="739"/>
      <c r="Y112" s="738"/>
      <c r="Z112" s="1185"/>
      <c r="AB112" s="24"/>
      <c r="AC112" s="774"/>
    </row>
    <row r="113" spans="2:30" ht="13.5" thickTop="1" x14ac:dyDescent="0.2">
      <c r="B113" s="1" t="str">
        <f>'ag sum'!B126</f>
        <v>*Note: For the 2009 collection cycle and later, Instructional FTE was defined according to the national Delaware Study of Instructional Costs and Productivity</v>
      </c>
      <c r="AC113" s="24"/>
    </row>
    <row r="116" spans="2:30" x14ac:dyDescent="0.2">
      <c r="AD116" s="1" t="s">
        <v>23</v>
      </c>
    </row>
  </sheetData>
  <mergeCells count="124">
    <mergeCell ref="Y95:Z95"/>
    <mergeCell ref="AB29:AC29"/>
    <mergeCell ref="U26:V26"/>
    <mergeCell ref="U29:V29"/>
    <mergeCell ref="U33:V33"/>
    <mergeCell ref="U60:V60"/>
    <mergeCell ref="W26:X26"/>
    <mergeCell ref="W29:X29"/>
    <mergeCell ref="W33:X33"/>
    <mergeCell ref="W60:X60"/>
    <mergeCell ref="AB95:AC95"/>
    <mergeCell ref="AB33:AC33"/>
    <mergeCell ref="AB60:AC60"/>
    <mergeCell ref="O26:P26"/>
    <mergeCell ref="O29:P29"/>
    <mergeCell ref="Q7:R7"/>
    <mergeCell ref="Q18:R18"/>
    <mergeCell ref="Q60:R60"/>
    <mergeCell ref="S26:T26"/>
    <mergeCell ref="G26:H26"/>
    <mergeCell ref="I26:J26"/>
    <mergeCell ref="Y26:Z26"/>
    <mergeCell ref="Y29:Z29"/>
    <mergeCell ref="Y33:Z33"/>
    <mergeCell ref="Y60:Z60"/>
    <mergeCell ref="M95:N95"/>
    <mergeCell ref="G33:H33"/>
    <mergeCell ref="M33:N33"/>
    <mergeCell ref="M60:N60"/>
    <mergeCell ref="K33:L33"/>
    <mergeCell ref="G60:H60"/>
    <mergeCell ref="M26:N26"/>
    <mergeCell ref="G29:H29"/>
    <mergeCell ref="I29:J29"/>
    <mergeCell ref="I28:J28"/>
    <mergeCell ref="K26:L26"/>
    <mergeCell ref="K60:L60"/>
    <mergeCell ref="I33:J33"/>
    <mergeCell ref="G27:H27"/>
    <mergeCell ref="K29:L29"/>
    <mergeCell ref="M29:N29"/>
    <mergeCell ref="C26:D26"/>
    <mergeCell ref="E26:F26"/>
    <mergeCell ref="C60:D60"/>
    <mergeCell ref="E60:F60"/>
    <mergeCell ref="C29:D29"/>
    <mergeCell ref="E29:F29"/>
    <mergeCell ref="C28:D28"/>
    <mergeCell ref="E28:F28"/>
    <mergeCell ref="C33:D33"/>
    <mergeCell ref="E33:F33"/>
    <mergeCell ref="C27:D27"/>
    <mergeCell ref="E27:F27"/>
    <mergeCell ref="AB7:AC7"/>
    <mergeCell ref="C18:D18"/>
    <mergeCell ref="E18:F18"/>
    <mergeCell ref="G18:H18"/>
    <mergeCell ref="K7:L7"/>
    <mergeCell ref="K18:L18"/>
    <mergeCell ref="M7:N7"/>
    <mergeCell ref="AB18:AC18"/>
    <mergeCell ref="S7:T7"/>
    <mergeCell ref="S18:T18"/>
    <mergeCell ref="W7:X7"/>
    <mergeCell ref="W18:X18"/>
    <mergeCell ref="I18:J18"/>
    <mergeCell ref="M18:N18"/>
    <mergeCell ref="U7:V7"/>
    <mergeCell ref="U18:V18"/>
    <mergeCell ref="Y7:Z7"/>
    <mergeCell ref="Y18:Z18"/>
    <mergeCell ref="O7:P7"/>
    <mergeCell ref="O18:P18"/>
    <mergeCell ref="C101:D101"/>
    <mergeCell ref="I101:J101"/>
    <mergeCell ref="I60:J60"/>
    <mergeCell ref="I27:J27"/>
    <mergeCell ref="G28:H28"/>
    <mergeCell ref="I98:J99"/>
    <mergeCell ref="C100:D100"/>
    <mergeCell ref="I100:J100"/>
    <mergeCell ref="C105:D105"/>
    <mergeCell ref="I105:J105"/>
    <mergeCell ref="C104:D104"/>
    <mergeCell ref="C97:D97"/>
    <mergeCell ref="I97:J97"/>
    <mergeCell ref="C95:D95"/>
    <mergeCell ref="E95:F95"/>
    <mergeCell ref="G95:H95"/>
    <mergeCell ref="I95:J95"/>
    <mergeCell ref="Q95:R95"/>
    <mergeCell ref="S95:T95"/>
    <mergeCell ref="O33:P33"/>
    <mergeCell ref="O60:P60"/>
    <mergeCell ref="Q33:R33"/>
    <mergeCell ref="U95:V95"/>
    <mergeCell ref="W95:X95"/>
    <mergeCell ref="S29:T29"/>
    <mergeCell ref="S33:T33"/>
    <mergeCell ref="S60:T60"/>
    <mergeCell ref="C112:D112"/>
    <mergeCell ref="I112:J112"/>
    <mergeCell ref="C110:D110"/>
    <mergeCell ref="I110:J110"/>
    <mergeCell ref="Q26:R26"/>
    <mergeCell ref="Q29:R29"/>
    <mergeCell ref="O95:P95"/>
    <mergeCell ref="K95:L95"/>
    <mergeCell ref="I106:J106"/>
    <mergeCell ref="C107:D107"/>
    <mergeCell ref="I107:J107"/>
    <mergeCell ref="C111:D111"/>
    <mergeCell ref="I111:J111"/>
    <mergeCell ref="C108:D108"/>
    <mergeCell ref="I108:J108"/>
    <mergeCell ref="C109:D109"/>
    <mergeCell ref="I109:J109"/>
    <mergeCell ref="C102:D102"/>
    <mergeCell ref="I102:J102"/>
    <mergeCell ref="C98:D99"/>
    <mergeCell ref="C106:D106"/>
    <mergeCell ref="C103:D103"/>
    <mergeCell ref="I103:J103"/>
    <mergeCell ref="I104:J104"/>
  </mergeCells>
  <phoneticPr fontId="0" type="noConversion"/>
  <printOptions horizontalCentered="1"/>
  <pageMargins left="0.5" right="0.5" top="0.25" bottom="0.25" header="0.5" footer="0.5"/>
  <pageSetup scale="70" orientation="landscape" horizontalDpi="4294967292" verticalDpi="4294967292" r:id="rId1"/>
  <headerFooter alignWithMargins="0">
    <oddFooter>&amp;R&amp;P of &amp;N
&amp;D</oddFooter>
  </headerFooter>
  <rowBreaks count="1" manualBreakCount="1">
    <brk id="57" max="26" man="1"/>
  </rowBreaks>
  <ignoredErrors>
    <ignoredError sqref="S70:S89 W79:W8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Dean_Ag</vt:lpstr>
      <vt:lpstr>Ag_Econ</vt:lpstr>
      <vt:lpstr>Agronomy</vt:lpstr>
      <vt:lpstr>Animal_Sci</vt:lpstr>
      <vt:lpstr>CommAgEd</vt:lpstr>
      <vt:lpstr>Entomology</vt:lpstr>
      <vt:lpstr>Grain_Sci</vt:lpstr>
      <vt:lpstr>Horticulture</vt:lpstr>
      <vt:lpstr>Plant_Path</vt:lpstr>
      <vt:lpstr>ag sum</vt:lpstr>
      <vt:lpstr>'ag sum'!Print_Area</vt:lpstr>
      <vt:lpstr>Ag_Econ!Print_Area</vt:lpstr>
      <vt:lpstr>Animal_Sci!Print_Area</vt:lpstr>
      <vt:lpstr>Dean_Ag!Print_Area</vt:lpstr>
      <vt:lpstr>Entomology!Print_Area</vt:lpstr>
      <vt:lpstr>Grain_Sci!Print_Area</vt:lpstr>
      <vt:lpstr>Horticulture!Print_Area</vt:lpstr>
      <vt:lpstr>Plant_Path!Print_Area</vt:lpstr>
      <vt:lpstr>'ag sum'!Print_Titles</vt:lpstr>
      <vt:lpstr>Ag_Econ!Print_Titles</vt:lpstr>
      <vt:lpstr>Agronomy!Print_Titles</vt:lpstr>
      <vt:lpstr>Animal_Sci!Print_Titles</vt:lpstr>
      <vt:lpstr>CommAgEd!Print_Titles</vt:lpstr>
      <vt:lpstr>Dean_Ag!Print_Titles</vt:lpstr>
      <vt:lpstr>Entomology!Print_Titles</vt:lpstr>
      <vt:lpstr>Grain_Sci!Print_Titles</vt:lpstr>
      <vt:lpstr>Horticulture!Print_Titles</vt:lpstr>
      <vt:lpstr>Plant_Path!Print_Titles</vt:lpstr>
    </vt:vector>
  </TitlesOfParts>
  <Company>Computing &amp; Network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 Cox</dc:creator>
  <cp:lastModifiedBy>NancyBaker</cp:lastModifiedBy>
  <cp:lastPrinted>2014-12-18T14:26:47Z</cp:lastPrinted>
  <dcterms:created xsi:type="dcterms:W3CDTF">1998-07-17T17:12:40Z</dcterms:created>
  <dcterms:modified xsi:type="dcterms:W3CDTF">2014-12-18T20:21:24Z</dcterms:modified>
</cp:coreProperties>
</file>