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baker\Documents\PA\deptprofiles\"/>
    </mc:Choice>
  </mc:AlternateContent>
  <bookViews>
    <workbookView xWindow="0" yWindow="0" windowWidth="25200" windowHeight="11385" tabRatio="835" firstSheet="9" activeTab="9"/>
  </bookViews>
  <sheets>
    <sheet name="Dean_Ag" sheetId="3" state="hidden" r:id="rId1"/>
    <sheet name="Ag_Econ" sheetId="1" state="hidden" r:id="rId2"/>
    <sheet name="Agronomy" sheetId="2" state="hidden" r:id="rId3"/>
    <sheet name="Animal_Sci" sheetId="4" state="hidden" r:id="rId4"/>
    <sheet name="CommAgEd" sheetId="5" state="hidden" r:id="rId5"/>
    <sheet name="Entomology" sheetId="6" state="hidden" r:id="rId6"/>
    <sheet name="Grain_Sci" sheetId="7" state="hidden" r:id="rId7"/>
    <sheet name="Horticulture" sheetId="8" state="hidden" r:id="rId8"/>
    <sheet name="Plant_Path" sheetId="9" state="hidden" r:id="rId9"/>
    <sheet name="Summary" sheetId="11" r:id="rId10"/>
  </sheets>
  <definedNames>
    <definedName name="_xlnm.Print_Area" localSheetId="1">Ag_Econ!$A$8:$AG$33</definedName>
    <definedName name="_xlnm.Print_Area" localSheetId="2">Agronomy!$A$9:$AG$32</definedName>
    <definedName name="_xlnm.Print_Area" localSheetId="3">Animal_Sci!$A$1:$AG$32</definedName>
    <definedName name="_xlnm.Print_Area" localSheetId="4">CommAgEd!$A$8:$AG$33</definedName>
    <definedName name="_xlnm.Print_Area" localSheetId="0">Dean_Ag!$A$9:$AG$32</definedName>
    <definedName name="_xlnm.Print_Area" localSheetId="5">Entomology!$A$9:$AH$32</definedName>
    <definedName name="_xlnm.Print_Area" localSheetId="6">Grain_Sci!$A$9:$AG$33</definedName>
    <definedName name="_xlnm.Print_Area" localSheetId="7">Horticulture!$A$9:$AG$32</definedName>
    <definedName name="_xlnm.Print_Area" localSheetId="8">Plant_Path!$A$8:$AG$33</definedName>
    <definedName name="_xlnm.Print_Area" localSheetId="9">Summary!$A$1:$AG$32</definedName>
    <definedName name="_xlnm.Print_Titles" localSheetId="1">Ag_Econ!$A:$A,Ag_Econ!$1:$7</definedName>
    <definedName name="_xlnm.Print_Titles" localSheetId="2">Agronomy!$A:$A,Agronomy!$1:$7</definedName>
    <definedName name="_xlnm.Print_Titles" localSheetId="3">Animal_Sci!$A:$A,Animal_Sci!$1:$7</definedName>
    <definedName name="_xlnm.Print_Titles" localSheetId="4">CommAgEd!$A:$A,CommAgEd!$1:$7</definedName>
    <definedName name="_xlnm.Print_Titles" localSheetId="0">Dean_Ag!$A:$A,Dean_Ag!$1:$7</definedName>
    <definedName name="_xlnm.Print_Titles" localSheetId="5">Entomology!$A:$A,Entomology!$1:$7</definedName>
    <definedName name="_xlnm.Print_Titles" localSheetId="6">Grain_Sci!$A:$A,Grain_Sci!$1:$7</definedName>
    <definedName name="_xlnm.Print_Titles" localSheetId="7">Horticulture!$A:$A,Horticulture!$1:$8</definedName>
    <definedName name="_xlnm.Print_Titles" localSheetId="8">Plant_Path!$A:$A,Plant_Path!$1:$7</definedName>
    <definedName name="_xlnm.Print_Titles" localSheetId="9">Summary!$A:$A,Summary!$1:$7</definedName>
  </definedNames>
  <calcPr calcId="152511"/>
</workbook>
</file>

<file path=xl/calcChain.xml><?xml version="1.0" encoding="utf-8"?>
<calcChain xmlns="http://schemas.openxmlformats.org/spreadsheetml/2006/main">
  <c r="AA24" i="4" l="1"/>
  <c r="AA24" i="2"/>
  <c r="AA24" i="3"/>
  <c r="AF23" i="9" l="1"/>
  <c r="AF25" i="8"/>
  <c r="AF23" i="8"/>
  <c r="AF24" i="8"/>
  <c r="AF25" i="7"/>
  <c r="AF24" i="7"/>
  <c r="AF23" i="7"/>
  <c r="AF25" i="6"/>
  <c r="AF23" i="6"/>
  <c r="AF24" i="6"/>
  <c r="AF25" i="5"/>
  <c r="AF23" i="5"/>
  <c r="AF24" i="5"/>
  <c r="AF23" i="4"/>
  <c r="AA25" i="4"/>
  <c r="AF25" i="2"/>
  <c r="AF23" i="2"/>
  <c r="AF27" i="1"/>
  <c r="AE27" i="1"/>
  <c r="AF25" i="1"/>
  <c r="AF24" i="1"/>
  <c r="AF23" i="1"/>
  <c r="AA30" i="3"/>
  <c r="Y30" i="3"/>
  <c r="AA25" i="3"/>
  <c r="AE28" i="9" l="1"/>
  <c r="AE27" i="9"/>
  <c r="AF31" i="9"/>
  <c r="AG30" i="9"/>
  <c r="AF30" i="9"/>
  <c r="AG28" i="9"/>
  <c r="AF28" i="9"/>
  <c r="AG27" i="9"/>
  <c r="AF27" i="9"/>
  <c r="AG25" i="9"/>
  <c r="AF25" i="9"/>
  <c r="AG24" i="9"/>
  <c r="AF24" i="9"/>
  <c r="AG23" i="9"/>
  <c r="AG19" i="9"/>
  <c r="AF19" i="9"/>
  <c r="AG18" i="9"/>
  <c r="AF18" i="9"/>
  <c r="AG17" i="9"/>
  <c r="AF17" i="9"/>
  <c r="AG14" i="9"/>
  <c r="AF14" i="9"/>
  <c r="AG12" i="9"/>
  <c r="AF12" i="9"/>
  <c r="AE28" i="8"/>
  <c r="AE27" i="8"/>
  <c r="AF31" i="8"/>
  <c r="AG30" i="8"/>
  <c r="AF30" i="8"/>
  <c r="AG28" i="8"/>
  <c r="AF28" i="8"/>
  <c r="AG27" i="8"/>
  <c r="AF27" i="8"/>
  <c r="AG25" i="8"/>
  <c r="AG24" i="8"/>
  <c r="AG23" i="8"/>
  <c r="AG19" i="8"/>
  <c r="AF19" i="8"/>
  <c r="AG17" i="8"/>
  <c r="AF17" i="8"/>
  <c r="AG14" i="8"/>
  <c r="AF14" i="8"/>
  <c r="AG12" i="8"/>
  <c r="AF12" i="8"/>
  <c r="AG31" i="7"/>
  <c r="AF31" i="7"/>
  <c r="AG30" i="7"/>
  <c r="AF30" i="7"/>
  <c r="AG28" i="7"/>
  <c r="AF28" i="7"/>
  <c r="AG27" i="7"/>
  <c r="AF27" i="7"/>
  <c r="AG25" i="7"/>
  <c r="AG24" i="7"/>
  <c r="AG23" i="7"/>
  <c r="AG19" i="7"/>
  <c r="AF19" i="7"/>
  <c r="AG18" i="7"/>
  <c r="AF18" i="7"/>
  <c r="AG17" i="7"/>
  <c r="AF17" i="7"/>
  <c r="AG14" i="7"/>
  <c r="AF14" i="7"/>
  <c r="AG12" i="7"/>
  <c r="AF12" i="7"/>
  <c r="AE28" i="6"/>
  <c r="AE27" i="6"/>
  <c r="AF31" i="6"/>
  <c r="AG30" i="6"/>
  <c r="AF30" i="6"/>
  <c r="AG28" i="6"/>
  <c r="AF28" i="6"/>
  <c r="AG27" i="6"/>
  <c r="AF27" i="6"/>
  <c r="AG25" i="6"/>
  <c r="AG24" i="6"/>
  <c r="AG23" i="6"/>
  <c r="AG19" i="6"/>
  <c r="AF19" i="6"/>
  <c r="AG18" i="6"/>
  <c r="AF18" i="6"/>
  <c r="AG17" i="6"/>
  <c r="AF17" i="6"/>
  <c r="AF14" i="6"/>
  <c r="AG12" i="6"/>
  <c r="AF12" i="6"/>
  <c r="AF31" i="5"/>
  <c r="AG30" i="5"/>
  <c r="AF30" i="5"/>
  <c r="AG28" i="5"/>
  <c r="AF28" i="5"/>
  <c r="AG27" i="5"/>
  <c r="AF27" i="5"/>
  <c r="AG25" i="5"/>
  <c r="AG24" i="5"/>
  <c r="AG23" i="5"/>
  <c r="AG19" i="5"/>
  <c r="AF19" i="5"/>
  <c r="AG17" i="5"/>
  <c r="AF17" i="5"/>
  <c r="AG14" i="5"/>
  <c r="AF14" i="5"/>
  <c r="AG12" i="5"/>
  <c r="AF12" i="5"/>
  <c r="AG31" i="4"/>
  <c r="AG28" i="4"/>
  <c r="AF28" i="4"/>
  <c r="AG27" i="4"/>
  <c r="AF27" i="4"/>
  <c r="AG23" i="4"/>
  <c r="AG19" i="4"/>
  <c r="AF19" i="4"/>
  <c r="AG18" i="4"/>
  <c r="AF18" i="4"/>
  <c r="AG17" i="4"/>
  <c r="AF17" i="4"/>
  <c r="AG14" i="4"/>
  <c r="AF14" i="4"/>
  <c r="AG12" i="4"/>
  <c r="AF12" i="4"/>
  <c r="AG31" i="2"/>
  <c r="AG30" i="2"/>
  <c r="AG28" i="2"/>
  <c r="AG27" i="2"/>
  <c r="AG25" i="2"/>
  <c r="AG23" i="2"/>
  <c r="AF27" i="2"/>
  <c r="AE28" i="2"/>
  <c r="AE27" i="2"/>
  <c r="AF31" i="2"/>
  <c r="AF30" i="2"/>
  <c r="AF28" i="2"/>
  <c r="AG19" i="2"/>
  <c r="AF19" i="2"/>
  <c r="AG18" i="2"/>
  <c r="AF18" i="2"/>
  <c r="AG17" i="2"/>
  <c r="AF17" i="2"/>
  <c r="AG14" i="2"/>
  <c r="AF14" i="2"/>
  <c r="AG12" i="2"/>
  <c r="AF12" i="2"/>
  <c r="AF28" i="1"/>
  <c r="AE28" i="1"/>
  <c r="AG30" i="1"/>
  <c r="AG28" i="1"/>
  <c r="AG27" i="1"/>
  <c r="AG25" i="1"/>
  <c r="AG24" i="1"/>
  <c r="AG23" i="1"/>
  <c r="AF31" i="1"/>
  <c r="AF30" i="1"/>
  <c r="AG19" i="1"/>
  <c r="AF19" i="1"/>
  <c r="AG17" i="1"/>
  <c r="AF17" i="1"/>
  <c r="AG14" i="1"/>
  <c r="AF14" i="1"/>
  <c r="AG12" i="1"/>
  <c r="AF12" i="1"/>
  <c r="AC20" i="3"/>
  <c r="AG19" i="3"/>
  <c r="AG18" i="3"/>
  <c r="AG17" i="3"/>
  <c r="AG14" i="3"/>
  <c r="AG12" i="3"/>
  <c r="AG30" i="3"/>
  <c r="AG31" i="3"/>
  <c r="Y30" i="4"/>
  <c r="AC15" i="3" l="1"/>
  <c r="AC20" i="1"/>
  <c r="AC15" i="1"/>
  <c r="AC20" i="2"/>
  <c r="AC15" i="2"/>
  <c r="AE27" i="5"/>
  <c r="AE28" i="5"/>
  <c r="AE28" i="7"/>
  <c r="AE27" i="7"/>
  <c r="AC31" i="11"/>
  <c r="AC30" i="11"/>
  <c r="AC28" i="11"/>
  <c r="AB28" i="11"/>
  <c r="AC27" i="11"/>
  <c r="AB27" i="11"/>
  <c r="AC25" i="11"/>
  <c r="AC24" i="11"/>
  <c r="AC23" i="11"/>
  <c r="AC19" i="11"/>
  <c r="AC18" i="11"/>
  <c r="AC17" i="11"/>
  <c r="AC14" i="11"/>
  <c r="AC13" i="11"/>
  <c r="AC12" i="11"/>
  <c r="AC20" i="9"/>
  <c r="AC15" i="9"/>
  <c r="AC20" i="8"/>
  <c r="AC15" i="8"/>
  <c r="AC20" i="7"/>
  <c r="AC15" i="7"/>
  <c r="AC20" i="6"/>
  <c r="AC15" i="6"/>
  <c r="AC20" i="5"/>
  <c r="AC15" i="5"/>
  <c r="AC20" i="4"/>
  <c r="AC15" i="4"/>
  <c r="AC21" i="3" l="1"/>
  <c r="AC21" i="2"/>
  <c r="AC21" i="4"/>
  <c r="AC21" i="5"/>
  <c r="AC21" i="7"/>
  <c r="AC21" i="9"/>
  <c r="AC21" i="8"/>
  <c r="AC21" i="6"/>
  <c r="AC21" i="1"/>
  <c r="AC20" i="11"/>
  <c r="AC15" i="11"/>
  <c r="AA31" i="11"/>
  <c r="AA30" i="11"/>
  <c r="Y31" i="11"/>
  <c r="S31" i="11"/>
  <c r="AA28" i="11"/>
  <c r="Z28" i="11"/>
  <c r="AA27" i="11"/>
  <c r="Z27" i="11"/>
  <c r="AA25" i="11"/>
  <c r="AA23" i="11"/>
  <c r="Y28" i="11"/>
  <c r="X28" i="11"/>
  <c r="Y27" i="11"/>
  <c r="X27" i="11"/>
  <c r="W28" i="11"/>
  <c r="V28" i="11"/>
  <c r="W27" i="11"/>
  <c r="V27" i="11"/>
  <c r="S27" i="11"/>
  <c r="R27" i="11"/>
  <c r="P28" i="11"/>
  <c r="P27" i="11"/>
  <c r="N28" i="11"/>
  <c r="O27" i="11"/>
  <c r="N27" i="11"/>
  <c r="M28" i="11"/>
  <c r="L28" i="11"/>
  <c r="Y23" i="11"/>
  <c r="W23" i="11"/>
  <c r="Y19" i="11"/>
  <c r="Y18" i="11"/>
  <c r="Y17" i="11"/>
  <c r="W19" i="11"/>
  <c r="W18" i="11"/>
  <c r="W17" i="11"/>
  <c r="U19" i="11"/>
  <c r="U18" i="11"/>
  <c r="U17" i="11"/>
  <c r="S19" i="11"/>
  <c r="S18" i="11"/>
  <c r="S17" i="11"/>
  <c r="Q19" i="11"/>
  <c r="O19" i="11"/>
  <c r="O17" i="11"/>
  <c r="M18" i="11"/>
  <c r="M19" i="11"/>
  <c r="M17" i="11"/>
  <c r="AA13" i="11"/>
  <c r="Y14" i="11"/>
  <c r="Y13" i="11"/>
  <c r="W14" i="11"/>
  <c r="W13" i="11"/>
  <c r="U14" i="11"/>
  <c r="U13" i="11"/>
  <c r="S14" i="11"/>
  <c r="S13" i="11"/>
  <c r="Q13" i="11"/>
  <c r="O13" i="11"/>
  <c r="M13" i="11"/>
  <c r="Y12" i="11"/>
  <c r="W12" i="11"/>
  <c r="U12" i="11"/>
  <c r="S12" i="11"/>
  <c r="K20" i="11"/>
  <c r="I20" i="11"/>
  <c r="G20" i="11"/>
  <c r="E20" i="11"/>
  <c r="C20" i="11"/>
  <c r="K15" i="11"/>
  <c r="I15" i="11"/>
  <c r="G15" i="11"/>
  <c r="G21" i="11" s="1"/>
  <c r="E15" i="11"/>
  <c r="C15" i="11"/>
  <c r="Y15" i="11" l="1"/>
  <c r="AF13" i="11"/>
  <c r="AG19" i="11"/>
  <c r="AG14" i="11"/>
  <c r="U20" i="11"/>
  <c r="AG20" i="11" s="1"/>
  <c r="AG18" i="11"/>
  <c r="AG17" i="11"/>
  <c r="C21" i="11"/>
  <c r="AG12" i="11"/>
  <c r="AG31" i="11"/>
  <c r="AG27" i="11"/>
  <c r="AC21" i="11"/>
  <c r="W15" i="11"/>
  <c r="U15" i="11"/>
  <c r="AG15" i="11" s="1"/>
  <c r="S20" i="11"/>
  <c r="W20" i="11"/>
  <c r="M20" i="11"/>
  <c r="Y20" i="11"/>
  <c r="S15" i="11"/>
  <c r="E21" i="11"/>
  <c r="I21" i="11"/>
  <c r="K21" i="11"/>
  <c r="Y21" i="11" l="1"/>
  <c r="U21" i="11"/>
  <c r="AG21" i="11" s="1"/>
  <c r="S21" i="11"/>
  <c r="W21" i="11"/>
  <c r="Y30" i="11" l="1"/>
  <c r="W25" i="4"/>
  <c r="U25" i="4"/>
  <c r="S25" i="4"/>
  <c r="AG25" i="4" s="1"/>
  <c r="Q25" i="4"/>
  <c r="O25" i="4"/>
  <c r="M25" i="4"/>
  <c r="K25" i="4"/>
  <c r="I25" i="4"/>
  <c r="G25" i="2"/>
  <c r="G24" i="2"/>
  <c r="U25" i="11" l="1"/>
  <c r="G25" i="4"/>
  <c r="Y25" i="3" l="1"/>
  <c r="Y24" i="3"/>
  <c r="Y25" i="4" l="1"/>
  <c r="Y24" i="4"/>
  <c r="Y24" i="2"/>
  <c r="Y24" i="11" l="1"/>
  <c r="AF25" i="4"/>
  <c r="Y25" i="11"/>
  <c r="M23" i="3" l="1"/>
  <c r="M23" i="11" s="1"/>
  <c r="O23" i="3"/>
  <c r="O23" i="11" s="1"/>
  <c r="Q23" i="3"/>
  <c r="S23" i="3"/>
  <c r="S23" i="11" l="1"/>
  <c r="AG23" i="11" s="1"/>
  <c r="AG23" i="3"/>
  <c r="Q23" i="11"/>
  <c r="G23" i="3"/>
  <c r="I23" i="3"/>
  <c r="K23" i="3"/>
  <c r="W25" i="3" l="1"/>
  <c r="W25" i="11" s="1"/>
  <c r="M25" i="3" l="1"/>
  <c r="M25" i="11" s="1"/>
  <c r="O25" i="3"/>
  <c r="O25" i="11" s="1"/>
  <c r="O24" i="3"/>
  <c r="Q24" i="3"/>
  <c r="Q25" i="3"/>
  <c r="S24" i="3"/>
  <c r="S25" i="3"/>
  <c r="S25" i="11" l="1"/>
  <c r="AF25" i="11" s="1"/>
  <c r="AF25" i="3"/>
  <c r="AG25" i="3"/>
  <c r="Q25" i="11"/>
  <c r="U24" i="3"/>
  <c r="AG25" i="11" l="1"/>
  <c r="W24" i="3"/>
  <c r="I24" i="4" l="1"/>
  <c r="K24" i="4"/>
  <c r="W24" i="4"/>
  <c r="U24" i="4"/>
  <c r="S24" i="4"/>
  <c r="Q24" i="4"/>
  <c r="O24" i="4"/>
  <c r="M24" i="4"/>
  <c r="G24" i="4"/>
  <c r="AG24" i="4" l="1"/>
  <c r="AF24" i="4"/>
  <c r="W24" i="2"/>
  <c r="W24" i="11" s="1"/>
  <c r="U24" i="2"/>
  <c r="U24" i="11" s="1"/>
  <c r="S24" i="2"/>
  <c r="AG24" i="2" s="1"/>
  <c r="Q24" i="2"/>
  <c r="Q24" i="11" s="1"/>
  <c r="O24" i="2"/>
  <c r="O24" i="11" s="1"/>
  <c r="M24" i="2"/>
  <c r="M24" i="11" s="1"/>
  <c r="K24" i="2"/>
  <c r="I24" i="2"/>
  <c r="S24" i="11" l="1"/>
  <c r="AF24" i="2"/>
  <c r="AA19" i="3" l="1"/>
  <c r="AF19" i="3" s="1"/>
  <c r="AA18" i="3"/>
  <c r="AF18" i="3" s="1"/>
  <c r="AA17" i="3"/>
  <c r="AA14" i="3"/>
  <c r="AF14" i="3" s="1"/>
  <c r="AA12" i="3"/>
  <c r="AF12" i="3" s="1"/>
  <c r="AA20" i="3" l="1"/>
  <c r="AF17" i="3"/>
  <c r="AA12" i="11"/>
  <c r="AF12" i="11" s="1"/>
  <c r="AA17" i="11"/>
  <c r="AF17" i="11" s="1"/>
  <c r="AA19" i="11"/>
  <c r="AF19" i="11" s="1"/>
  <c r="AA14" i="11"/>
  <c r="AF14" i="11" s="1"/>
  <c r="AA18" i="11"/>
  <c r="AF18" i="11" s="1"/>
  <c r="AA15" i="9"/>
  <c r="AA20" i="9"/>
  <c r="AA15" i="8"/>
  <c r="AA20" i="8"/>
  <c r="AA15" i="7"/>
  <c r="AA20" i="7"/>
  <c r="AA15" i="6"/>
  <c r="AA20" i="6"/>
  <c r="AA15" i="5"/>
  <c r="AA20" i="5"/>
  <c r="AA15" i="4"/>
  <c r="AA20" i="4"/>
  <c r="AA15" i="2"/>
  <c r="AA20" i="2"/>
  <c r="AA15" i="1"/>
  <c r="AA20" i="1"/>
  <c r="AA20" i="11" l="1"/>
  <c r="AF20" i="11" s="1"/>
  <c r="AA15" i="11"/>
  <c r="AF15" i="11" s="1"/>
  <c r="AA21" i="8"/>
  <c r="AA21" i="7"/>
  <c r="AA21" i="5"/>
  <c r="AA21" i="2"/>
  <c r="AA21" i="6"/>
  <c r="AA21" i="4"/>
  <c r="AA21" i="9"/>
  <c r="AA21" i="1"/>
  <c r="AA15" i="3"/>
  <c r="AA21" i="3" s="1"/>
  <c r="AA21" i="11" l="1"/>
  <c r="AF21" i="11" s="1"/>
  <c r="W31" i="4" l="1"/>
  <c r="AF31" i="4" s="1"/>
  <c r="W30" i="4"/>
  <c r="W31" i="3"/>
  <c r="W31" i="11" s="1"/>
  <c r="W30" i="3"/>
  <c r="W30" i="11" l="1"/>
  <c r="AF30" i="3"/>
  <c r="Y15" i="1"/>
  <c r="Y20" i="1"/>
  <c r="Y15" i="2"/>
  <c r="Y20" i="2"/>
  <c r="Y15" i="4"/>
  <c r="Y20" i="4"/>
  <c r="Y15" i="5"/>
  <c r="Y20" i="5"/>
  <c r="Y15" i="6"/>
  <c r="Y20" i="6"/>
  <c r="Y15" i="7"/>
  <c r="Y20" i="7"/>
  <c r="Y15" i="8"/>
  <c r="Y20" i="8"/>
  <c r="Y15" i="9"/>
  <c r="Y20" i="9"/>
  <c r="Y15" i="3"/>
  <c r="Y20" i="3"/>
  <c r="Y21" i="8" l="1"/>
  <c r="Y21" i="7"/>
  <c r="Y21" i="5"/>
  <c r="Y21" i="4"/>
  <c r="Y21" i="2"/>
  <c r="Y21" i="3"/>
  <c r="Y21" i="9"/>
  <c r="Y21" i="6"/>
  <c r="Y21" i="1"/>
  <c r="U31" i="3" l="1"/>
  <c r="U30" i="4"/>
  <c r="U31" i="11" l="1"/>
  <c r="AF31" i="11" s="1"/>
  <c r="AF31" i="3"/>
  <c r="U30" i="11"/>
  <c r="U23" i="3"/>
  <c r="U23" i="11" l="1"/>
  <c r="AF23" i="11" s="1"/>
  <c r="AF23" i="3"/>
  <c r="U28" i="3"/>
  <c r="T28" i="3"/>
  <c r="U27" i="3"/>
  <c r="T27" i="3"/>
  <c r="AE27" i="3" s="1"/>
  <c r="T28" i="4"/>
  <c r="AE28" i="4" s="1"/>
  <c r="T27" i="4"/>
  <c r="AE27" i="4" s="1"/>
  <c r="U27" i="11" l="1"/>
  <c r="AF27" i="11" s="1"/>
  <c r="AF27" i="3"/>
  <c r="AE28" i="3"/>
  <c r="U28" i="11"/>
  <c r="AF28" i="3"/>
  <c r="T28" i="11"/>
  <c r="T27" i="11"/>
  <c r="AE27" i="11" s="1"/>
  <c r="W15" i="9"/>
  <c r="W20" i="9"/>
  <c r="W15" i="8"/>
  <c r="W20" i="8"/>
  <c r="AF20" i="8" s="1"/>
  <c r="W15" i="7"/>
  <c r="AF15" i="7" s="1"/>
  <c r="W20" i="7"/>
  <c r="AF20" i="7" s="1"/>
  <c r="W15" i="6"/>
  <c r="AF15" i="6" s="1"/>
  <c r="W20" i="6"/>
  <c r="W15" i="5"/>
  <c r="W20" i="5"/>
  <c r="W15" i="4"/>
  <c r="AF15" i="4" s="1"/>
  <c r="W20" i="4"/>
  <c r="AF20" i="4" s="1"/>
  <c r="W15" i="2"/>
  <c r="AF15" i="2" s="1"/>
  <c r="W20" i="2"/>
  <c r="AF20" i="2" s="1"/>
  <c r="W15" i="1"/>
  <c r="W20" i="1"/>
  <c r="W15" i="3"/>
  <c r="W20" i="3"/>
  <c r="R28" i="3"/>
  <c r="S28" i="3"/>
  <c r="S28" i="11" s="1"/>
  <c r="AG28" i="11" s="1"/>
  <c r="S30" i="4"/>
  <c r="U15" i="1"/>
  <c r="U20" i="1"/>
  <c r="U15" i="2"/>
  <c r="U20" i="2"/>
  <c r="U15" i="4"/>
  <c r="AG15" i="4" s="1"/>
  <c r="U20" i="4"/>
  <c r="AG20" i="4" s="1"/>
  <c r="U15" i="5"/>
  <c r="U20" i="5"/>
  <c r="U15" i="6"/>
  <c r="AG15" i="6" s="1"/>
  <c r="U20" i="6"/>
  <c r="AG20" i="6" s="1"/>
  <c r="U15" i="7"/>
  <c r="AG15" i="7" s="1"/>
  <c r="U20" i="7"/>
  <c r="AG20" i="7" s="1"/>
  <c r="U15" i="8"/>
  <c r="AG15" i="8" s="1"/>
  <c r="U20" i="8"/>
  <c r="AG20" i="8" s="1"/>
  <c r="U15" i="9"/>
  <c r="U20" i="9"/>
  <c r="U15" i="3"/>
  <c r="U20" i="3"/>
  <c r="Q28" i="3"/>
  <c r="Q27" i="3"/>
  <c r="AG27" i="3" s="1"/>
  <c r="S20" i="9"/>
  <c r="S15" i="9"/>
  <c r="S20" i="8"/>
  <c r="Q20" i="8"/>
  <c r="S15" i="8"/>
  <c r="S20" i="7"/>
  <c r="S15" i="7"/>
  <c r="S20" i="6"/>
  <c r="S15" i="6"/>
  <c r="S20" i="5"/>
  <c r="S15" i="5"/>
  <c r="S20" i="4"/>
  <c r="S15" i="4"/>
  <c r="S20" i="2"/>
  <c r="S15" i="2"/>
  <c r="S20" i="1"/>
  <c r="S15" i="1"/>
  <c r="S15" i="3"/>
  <c r="S20" i="3"/>
  <c r="Q30" i="4"/>
  <c r="Q30" i="3"/>
  <c r="Q31" i="3"/>
  <c r="O30" i="4"/>
  <c r="O31" i="3"/>
  <c r="O31" i="11" s="1"/>
  <c r="O30" i="3"/>
  <c r="K30" i="3"/>
  <c r="I30" i="3"/>
  <c r="G30" i="3"/>
  <c r="O28" i="3"/>
  <c r="O28" i="11" s="1"/>
  <c r="Q15" i="9"/>
  <c r="Q20" i="9"/>
  <c r="Q15" i="8"/>
  <c r="Q15" i="7"/>
  <c r="Q20" i="7"/>
  <c r="Q15" i="6"/>
  <c r="Q20" i="6"/>
  <c r="Q15" i="5"/>
  <c r="Q20" i="5"/>
  <c r="O18" i="3"/>
  <c r="O18" i="11" s="1"/>
  <c r="O20" i="11" s="1"/>
  <c r="Q18" i="3"/>
  <c r="Q17" i="3"/>
  <c r="Q14" i="3"/>
  <c r="Q12" i="3"/>
  <c r="Q15" i="4"/>
  <c r="Q20" i="4"/>
  <c r="Q15" i="2"/>
  <c r="Q20" i="2"/>
  <c r="Q15" i="1"/>
  <c r="Q20" i="1"/>
  <c r="M30" i="4"/>
  <c r="M30" i="11" s="1"/>
  <c r="O12" i="3"/>
  <c r="O12" i="11" s="1"/>
  <c r="O20" i="2"/>
  <c r="O15" i="2"/>
  <c r="O14" i="3"/>
  <c r="O14" i="11" s="1"/>
  <c r="M31" i="3"/>
  <c r="M31" i="11" s="1"/>
  <c r="M27" i="3"/>
  <c r="M27" i="11" s="1"/>
  <c r="L27" i="3"/>
  <c r="L27" i="11" s="1"/>
  <c r="O15" i="9"/>
  <c r="O20" i="9"/>
  <c r="M15" i="8"/>
  <c r="K15" i="8"/>
  <c r="I15" i="8"/>
  <c r="G15" i="8"/>
  <c r="O15" i="8"/>
  <c r="M20" i="8"/>
  <c r="K20" i="8"/>
  <c r="I20" i="8"/>
  <c r="G20" i="8"/>
  <c r="O20" i="8"/>
  <c r="O15" i="7"/>
  <c r="O20" i="7"/>
  <c r="O15" i="6"/>
  <c r="O20" i="6"/>
  <c r="O15" i="5"/>
  <c r="O20" i="5"/>
  <c r="O15" i="4"/>
  <c r="O20" i="4"/>
  <c r="O20" i="1"/>
  <c r="O15" i="1"/>
  <c r="K31" i="3"/>
  <c r="I31" i="3"/>
  <c r="G31" i="3"/>
  <c r="E31" i="3"/>
  <c r="E30" i="3"/>
  <c r="K28" i="3"/>
  <c r="J28" i="3"/>
  <c r="M14" i="3"/>
  <c r="M14" i="11" s="1"/>
  <c r="I14" i="3"/>
  <c r="G14" i="3"/>
  <c r="M12" i="3"/>
  <c r="M12" i="11" s="1"/>
  <c r="K15" i="3"/>
  <c r="I12" i="3"/>
  <c r="G12" i="3"/>
  <c r="G15" i="3" s="1"/>
  <c r="M20" i="3"/>
  <c r="K20" i="3"/>
  <c r="I20" i="3"/>
  <c r="G20" i="3"/>
  <c r="I15" i="7"/>
  <c r="G15" i="7"/>
  <c r="G21" i="7" s="1"/>
  <c r="I20" i="7"/>
  <c r="G20" i="7"/>
  <c r="G31" i="7"/>
  <c r="E12" i="3"/>
  <c r="C23" i="8"/>
  <c r="C23" i="7"/>
  <c r="E31" i="7"/>
  <c r="C31" i="7"/>
  <c r="C31" i="3"/>
  <c r="K30" i="4"/>
  <c r="I30" i="4"/>
  <c r="G30" i="4"/>
  <c r="E30" i="4"/>
  <c r="C30" i="4"/>
  <c r="C30" i="3"/>
  <c r="C28" i="7"/>
  <c r="E23" i="4"/>
  <c r="C23" i="2"/>
  <c r="C23" i="4"/>
  <c r="C23" i="3"/>
  <c r="I15" i="2"/>
  <c r="I15" i="4"/>
  <c r="I20" i="2"/>
  <c r="I21" i="2" s="1"/>
  <c r="I20" i="4"/>
  <c r="G15" i="2"/>
  <c r="G15" i="4"/>
  <c r="G20" i="2"/>
  <c r="G20" i="4"/>
  <c r="E15" i="7"/>
  <c r="E15" i="8"/>
  <c r="E15" i="2"/>
  <c r="E15" i="4"/>
  <c r="E14" i="3"/>
  <c r="E20" i="7"/>
  <c r="E20" i="8"/>
  <c r="E20" i="2"/>
  <c r="E20" i="4"/>
  <c r="E20" i="3"/>
  <c r="C15" i="7"/>
  <c r="C15" i="8"/>
  <c r="C15" i="2"/>
  <c r="C15" i="4"/>
  <c r="C21" i="4" s="1"/>
  <c r="C12" i="3"/>
  <c r="C14" i="3"/>
  <c r="C20" i="7"/>
  <c r="C20" i="8"/>
  <c r="C20" i="2"/>
  <c r="C20" i="4"/>
  <c r="C20" i="3"/>
  <c r="M15" i="7"/>
  <c r="M20" i="7"/>
  <c r="K15" i="7"/>
  <c r="K20" i="7"/>
  <c r="K15" i="5"/>
  <c r="M15" i="4"/>
  <c r="M20" i="4"/>
  <c r="K15" i="4"/>
  <c r="K20" i="4"/>
  <c r="M15" i="2"/>
  <c r="K15" i="2"/>
  <c r="M20" i="2"/>
  <c r="K20" i="2"/>
  <c r="M15" i="5"/>
  <c r="M15" i="1"/>
  <c r="M20" i="1"/>
  <c r="M20" i="5"/>
  <c r="M15" i="6"/>
  <c r="M20" i="6"/>
  <c r="M15" i="9"/>
  <c r="M20" i="9"/>
  <c r="I20" i="1"/>
  <c r="K20" i="1"/>
  <c r="C23" i="9"/>
  <c r="C23" i="6"/>
  <c r="C23" i="1"/>
  <c r="I15" i="1"/>
  <c r="I15" i="5"/>
  <c r="I15" i="6"/>
  <c r="I15" i="9"/>
  <c r="I20" i="5"/>
  <c r="I20" i="6"/>
  <c r="I20" i="9"/>
  <c r="G15" i="1"/>
  <c r="G15" i="5"/>
  <c r="G15" i="6"/>
  <c r="G15" i="9"/>
  <c r="G20" i="1"/>
  <c r="G20" i="5"/>
  <c r="G20" i="6"/>
  <c r="G21" i="6" s="1"/>
  <c r="G20" i="9"/>
  <c r="E15" i="1"/>
  <c r="E15" i="5"/>
  <c r="E15" i="6"/>
  <c r="E15" i="9"/>
  <c r="E20" i="1"/>
  <c r="E20" i="5"/>
  <c r="E20" i="6"/>
  <c r="E20" i="9"/>
  <c r="C15" i="1"/>
  <c r="C15" i="5"/>
  <c r="C15" i="6"/>
  <c r="C15" i="9"/>
  <c r="C20" i="1"/>
  <c r="C20" i="5"/>
  <c r="C20" i="6"/>
  <c r="C20" i="9"/>
  <c r="K15" i="9"/>
  <c r="K20" i="9"/>
  <c r="K15" i="6"/>
  <c r="K20" i="6"/>
  <c r="K20" i="5"/>
  <c r="K15" i="1"/>
  <c r="C21" i="5"/>
  <c r="AF20" i="3" l="1"/>
  <c r="AG20" i="3"/>
  <c r="AF15" i="3"/>
  <c r="AG15" i="3"/>
  <c r="AF15" i="1"/>
  <c r="AG15" i="1"/>
  <c r="AF20" i="1"/>
  <c r="AG20" i="1"/>
  <c r="AG20" i="2"/>
  <c r="AG15" i="2"/>
  <c r="AG30" i="4"/>
  <c r="S30" i="11"/>
  <c r="AF30" i="4"/>
  <c r="O30" i="11"/>
  <c r="AF20" i="5"/>
  <c r="AG20" i="5"/>
  <c r="AF15" i="5"/>
  <c r="AG15" i="5"/>
  <c r="AF20" i="6"/>
  <c r="S21" i="8"/>
  <c r="AF15" i="8"/>
  <c r="W21" i="8"/>
  <c r="AF21" i="8" s="1"/>
  <c r="AF20" i="9"/>
  <c r="AG20" i="9"/>
  <c r="AF15" i="9"/>
  <c r="AG15" i="9"/>
  <c r="AF28" i="11"/>
  <c r="O15" i="11"/>
  <c r="O21" i="11" s="1"/>
  <c r="E15" i="3"/>
  <c r="M15" i="11"/>
  <c r="M21" i="11" s="1"/>
  <c r="Q14" i="11"/>
  <c r="Q18" i="11"/>
  <c r="Q31" i="11"/>
  <c r="Q27" i="11"/>
  <c r="R28" i="11"/>
  <c r="AE28" i="11" s="1"/>
  <c r="K21" i="3"/>
  <c r="Q12" i="11"/>
  <c r="Q17" i="11"/>
  <c r="Q30" i="11"/>
  <c r="Q28" i="11"/>
  <c r="AG28" i="3"/>
  <c r="Q21" i="8"/>
  <c r="C21" i="8"/>
  <c r="E21" i="8"/>
  <c r="I21" i="7"/>
  <c r="E21" i="6"/>
  <c r="S21" i="6"/>
  <c r="G21" i="4"/>
  <c r="K21" i="4"/>
  <c r="G21" i="3"/>
  <c r="M21" i="5"/>
  <c r="S21" i="5"/>
  <c r="I21" i="5"/>
  <c r="E21" i="1"/>
  <c r="G21" i="1"/>
  <c r="Q21" i="1"/>
  <c r="E21" i="9"/>
  <c r="G21" i="9"/>
  <c r="W21" i="9"/>
  <c r="W21" i="3"/>
  <c r="I21" i="1"/>
  <c r="O20" i="3"/>
  <c r="U21" i="3"/>
  <c r="C15" i="3"/>
  <c r="C21" i="3" s="1"/>
  <c r="O15" i="3"/>
  <c r="W21" i="7"/>
  <c r="AF21" i="7" s="1"/>
  <c r="K21" i="2"/>
  <c r="O21" i="2"/>
  <c r="Q21" i="2"/>
  <c r="Q21" i="6"/>
  <c r="U21" i="6"/>
  <c r="AG21" i="6" s="1"/>
  <c r="K21" i="9"/>
  <c r="I21" i="9"/>
  <c r="U21" i="9"/>
  <c r="S21" i="9"/>
  <c r="O21" i="8"/>
  <c r="I21" i="8"/>
  <c r="M21" i="8"/>
  <c r="G21" i="8"/>
  <c r="K21" i="8"/>
  <c r="M21" i="7"/>
  <c r="K21" i="7"/>
  <c r="C21" i="7"/>
  <c r="E21" i="7"/>
  <c r="O21" i="7"/>
  <c r="U21" i="7"/>
  <c r="AG21" i="7" s="1"/>
  <c r="M21" i="6"/>
  <c r="I21" i="6"/>
  <c r="G21" i="5"/>
  <c r="K21" i="5"/>
  <c r="U21" i="5"/>
  <c r="I21" i="4"/>
  <c r="M21" i="4"/>
  <c r="O21" i="4"/>
  <c r="U21" i="4"/>
  <c r="AG21" i="4" s="1"/>
  <c r="S21" i="4"/>
  <c r="E21" i="4"/>
  <c r="U21" i="2"/>
  <c r="M21" i="2"/>
  <c r="E21" i="2"/>
  <c r="K21" i="1"/>
  <c r="S21" i="1"/>
  <c r="U21" i="1"/>
  <c r="C21" i="1"/>
  <c r="M21" i="1"/>
  <c r="O21" i="1"/>
  <c r="O21" i="9"/>
  <c r="M21" i="9"/>
  <c r="Q21" i="9"/>
  <c r="C21" i="2"/>
  <c r="G21" i="2"/>
  <c r="M15" i="3"/>
  <c r="M21" i="3" s="1"/>
  <c r="Q20" i="3"/>
  <c r="W21" i="1"/>
  <c r="W21" i="2"/>
  <c r="AF21" i="2" s="1"/>
  <c r="W21" i="4"/>
  <c r="W21" i="5"/>
  <c r="W21" i="6"/>
  <c r="Q15" i="3"/>
  <c r="I15" i="3"/>
  <c r="C21" i="6"/>
  <c r="K21" i="6"/>
  <c r="C21" i="9"/>
  <c r="E21" i="5"/>
  <c r="O21" i="5"/>
  <c r="O21" i="6"/>
  <c r="Q21" i="4"/>
  <c r="Q21" i="5"/>
  <c r="Q21" i="7"/>
  <c r="S21" i="3"/>
  <c r="S21" i="2"/>
  <c r="S21" i="7"/>
  <c r="U21" i="8"/>
  <c r="AG21" i="8" s="1"/>
  <c r="E21" i="3"/>
  <c r="AF21" i="3" l="1"/>
  <c r="AG21" i="3"/>
  <c r="O21" i="3"/>
  <c r="AF21" i="1"/>
  <c r="AG21" i="1"/>
  <c r="AG21" i="2"/>
  <c r="AF21" i="4"/>
  <c r="AG30" i="11"/>
  <c r="AF30" i="11"/>
  <c r="AF21" i="5"/>
  <c r="AG21" i="5"/>
  <c r="AF21" i="6"/>
  <c r="AF21" i="9"/>
  <c r="AG21" i="9"/>
  <c r="Q20" i="11"/>
  <c r="Q15" i="11"/>
  <c r="I21" i="3"/>
  <c r="Q21" i="3"/>
  <c r="Q21" i="11" l="1"/>
  <c r="AF24" i="3"/>
  <c r="AG24" i="3"/>
  <c r="AA24" i="11"/>
  <c r="AF24" i="11" l="1"/>
  <c r="AG24" i="11"/>
</calcChain>
</file>

<file path=xl/sharedStrings.xml><?xml version="1.0" encoding="utf-8"?>
<sst xmlns="http://schemas.openxmlformats.org/spreadsheetml/2006/main" count="778" uniqueCount="65">
  <si>
    <t>Department:   Agronomy</t>
  </si>
  <si>
    <t>Department:  Entomology</t>
  </si>
  <si>
    <t>Department:   Plant Pathology</t>
  </si>
  <si>
    <t>Department:  Grain Science &amp; Industry</t>
  </si>
  <si>
    <t xml:space="preserve"> </t>
  </si>
  <si>
    <t>Department:   General Agriculture  (Dean's Office)</t>
  </si>
  <si>
    <t>Department:   Animal Science &amp; Industry</t>
  </si>
  <si>
    <t>FY 2004</t>
  </si>
  <si>
    <t>FY 2005</t>
  </si>
  <si>
    <t>Budgeted Dollars:</t>
  </si>
  <si>
    <t>Main Campus</t>
  </si>
  <si>
    <t>General Use</t>
  </si>
  <si>
    <t>Total Main Campus</t>
  </si>
  <si>
    <t>Research &amp; Extension</t>
  </si>
  <si>
    <t>Total Research &amp; Extension</t>
  </si>
  <si>
    <t>Total Department</t>
  </si>
  <si>
    <t>Other (Grants, contracts, SRO, fees, sales &amp; service, copy centers, storerooms, etc)</t>
  </si>
  <si>
    <t>Foundation Accounts:</t>
  </si>
  <si>
    <t>Total Donations</t>
  </si>
  <si>
    <t>Endowed Chairs</t>
  </si>
  <si>
    <t>N</t>
  </si>
  <si>
    <t>$</t>
  </si>
  <si>
    <t>FY 2006</t>
  </si>
  <si>
    <t>*Includes Instructional Support and Instructional Reserve.</t>
  </si>
  <si>
    <t>FY 2007</t>
  </si>
  <si>
    <t>FY 2008</t>
  </si>
  <si>
    <t>FY 2009</t>
  </si>
  <si>
    <t>Five Year Average</t>
  </si>
  <si>
    <t>FY 2010</t>
  </si>
  <si>
    <t>FY 2011</t>
  </si>
  <si>
    <t>Sponsored Research Overhead</t>
  </si>
  <si>
    <t>Other (Grants, contracts,  fees, sales &amp; service, copy centers, storerooms, etc)</t>
  </si>
  <si>
    <t>Other (Grants, contracts, fees, sales &amp; service, copy centers, storerooms, etc)</t>
  </si>
  <si>
    <t xml:space="preserve">Expenditures </t>
  </si>
  <si>
    <t>FY 2012</t>
  </si>
  <si>
    <t>FY 2013</t>
  </si>
  <si>
    <t>FY 2014</t>
  </si>
  <si>
    <t>FY 2015</t>
  </si>
  <si>
    <t>FY 2016</t>
  </si>
  <si>
    <t>Extramural Research Expenditures</t>
  </si>
  <si>
    <t>Expenditures</t>
  </si>
  <si>
    <t>Financial Information</t>
  </si>
  <si>
    <t>Instructional Expenditures-GU + SRO Only</t>
  </si>
  <si>
    <t>Five Year % chg</t>
  </si>
  <si>
    <r>
      <t>Extramural Research Expenditures</t>
    </r>
    <r>
      <rPr>
        <vertAlign val="superscript"/>
        <sz val="9"/>
        <rFont val="Arial"/>
        <family val="2"/>
      </rPr>
      <t>1</t>
    </r>
  </si>
  <si>
    <r>
      <t>Public Service GU+ RU</t>
    </r>
    <r>
      <rPr>
        <vertAlign val="superscript"/>
        <sz val="9"/>
        <rFont val="Arial"/>
        <family val="2"/>
      </rPr>
      <t>1</t>
    </r>
  </si>
  <si>
    <t>Expenditures: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</si>
  <si>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Includes Federal Agricultural Experiment Station and Federal Cooperative Extension Service funding.</t>
    </r>
  </si>
  <si>
    <t>STATISTICAL OVERVIEW</t>
  </si>
  <si>
    <t>Kansas State University</t>
  </si>
  <si>
    <t>Grants/Contracts:</t>
  </si>
  <si>
    <t>Department: Agricultural Economics</t>
  </si>
  <si>
    <t xml:space="preserve">Department: Communications and Agricultural Education </t>
  </si>
  <si>
    <t>Grants/Contracts</t>
  </si>
  <si>
    <t>% chg</t>
  </si>
  <si>
    <t xml:space="preserve">Grants/Contracts </t>
  </si>
  <si>
    <t>Proposed</t>
  </si>
  <si>
    <t>Awarded</t>
  </si>
  <si>
    <t>Grants/Coontracts</t>
  </si>
  <si>
    <t>College of Agriculture</t>
  </si>
  <si>
    <t>FY 2017</t>
  </si>
  <si>
    <t>Department:   Horticulture and Natural Resources</t>
  </si>
  <si>
    <t>Expenditures (dollars):</t>
  </si>
  <si>
    <t xml:space="preserve">Public Service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</si>
  <si>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Includes Federal Agricultural Experiment Station and Federal Cooperative Extension Service funding for academic units.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</si>
</sst>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164" formatCode="&quot;$&quot;#,##0\ ;\(&quot;$&quot;#,##0\)"/>
    <numFmt numFmtId="165" formatCode="&quot;$&quot;#,##0.00\ ;\(&quot;$&quot;#,##0.00\)"/>
    <numFmt numFmtId="166" formatCode="_(* #,##0_);_(* \(#,##0\);_(* &quot;-&quot;??_);_(@_)"/>
    <numFmt numFmtId="167" formatCode="&quot;$&quot;#,##0"/>
    <numFmt numFmtId="168" formatCode="&quot;$&quot;#,##0.00;[Red]&quot;$&quot;#,##0.00"/>
    <numFmt numFmtId="169" formatCode="&quot;$&quot;#,##0;[Red]&quot;$&quot;#,##0"/>
    <numFmt numFmtId="170" formatCode="#,##0;[Red]#,##0"/>
    <numFmt numFmtId="171" formatCode="0.0%"/>
  </numFmts>
  <fonts count="3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5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/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/>
      <diagonal/>
    </border>
  </borders>
  <cellStyleXfs count="75">
    <xf numFmtId="0" fontId="0" fillId="0" borderId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1" applyNumberFormat="0" applyFont="0" applyFill="0" applyAlignment="0" applyProtection="0"/>
    <xf numFmtId="0" fontId="12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90" applyNumberFormat="0" applyAlignment="0" applyProtection="0"/>
    <xf numFmtId="0" fontId="18" fillId="24" borderId="91" applyNumberFormat="0" applyAlignment="0" applyProtection="0"/>
    <xf numFmtId="4" fontId="12" fillId="0" borderId="0" applyFill="0" applyBorder="0" applyAlignment="0" applyProtection="0"/>
    <xf numFmtId="0" fontId="12" fillId="0" borderId="0" applyFill="0" applyBorder="0" applyAlignment="0" applyProtection="0"/>
    <xf numFmtId="0" fontId="19" fillId="0" borderId="0" applyNumberFormat="0" applyFill="0" applyBorder="0" applyAlignment="0" applyProtection="0"/>
    <xf numFmtId="2" fontId="12" fillId="0" borderId="0" applyFill="0" applyBorder="0" applyAlignment="0" applyProtection="0"/>
    <xf numFmtId="0" fontId="20" fillId="7" borderId="0" applyNumberFormat="0" applyBorder="0" applyAlignment="0" applyProtection="0"/>
    <xf numFmtId="0" fontId="21" fillId="0" borderId="92" applyNumberFormat="0" applyFill="0" applyAlignment="0" applyProtection="0"/>
    <xf numFmtId="0" fontId="22" fillId="0" borderId="93" applyNumberFormat="0" applyFill="0" applyAlignment="0" applyProtection="0"/>
    <xf numFmtId="0" fontId="23" fillId="0" borderId="9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90" applyNumberFormat="0" applyAlignment="0" applyProtection="0"/>
    <xf numFmtId="0" fontId="25" fillId="0" borderId="95" applyNumberFormat="0" applyFill="0" applyAlignment="0" applyProtection="0"/>
    <xf numFmtId="0" fontId="26" fillId="25" borderId="0" applyNumberFormat="0" applyBorder="0" applyAlignment="0" applyProtection="0"/>
    <xf numFmtId="0" fontId="12" fillId="26" borderId="96" applyNumberFormat="0" applyFont="0" applyAlignment="0" applyProtection="0"/>
    <xf numFmtId="0" fontId="27" fillId="23" borderId="97" applyNumberFormat="0" applyAlignment="0" applyProtection="0"/>
    <xf numFmtId="10" fontId="12" fillId="0" borderId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/>
    <xf numFmtId="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11" fillId="0" borderId="0" applyFont="0" applyFill="0" applyBorder="0" applyAlignment="0" applyProtection="0"/>
    <xf numFmtId="0" fontId="11" fillId="0" borderId="1" applyNumberFormat="0" applyFont="0" applyFill="0" applyAlignment="0" applyProtection="0"/>
    <xf numFmtId="0" fontId="11" fillId="0" borderId="0"/>
  </cellStyleXfs>
  <cellXfs count="871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3" xfId="0" applyFont="1" applyBorder="1"/>
    <xf numFmtId="3" fontId="4" fillId="0" borderId="3" xfId="0" applyNumberFormat="1" applyFont="1" applyBorder="1"/>
    <xf numFmtId="164" fontId="4" fillId="0" borderId="3" xfId="0" applyNumberFormat="1" applyFont="1" applyBorder="1"/>
    <xf numFmtId="164" fontId="4" fillId="0" borderId="6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7" xfId="0" applyFont="1" applyBorder="1"/>
    <xf numFmtId="164" fontId="4" fillId="0" borderId="7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3" fillId="0" borderId="0" xfId="0" applyFont="1" applyBorder="1"/>
    <xf numFmtId="5" fontId="4" fillId="0" borderId="0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0" fontId="3" fillId="0" borderId="20" xfId="0" applyFont="1" applyBorder="1"/>
    <xf numFmtId="0" fontId="4" fillId="0" borderId="20" xfId="0" applyFont="1" applyBorder="1"/>
    <xf numFmtId="3" fontId="3" fillId="0" borderId="0" xfId="0" applyNumberFormat="1" applyFont="1" applyBorder="1"/>
    <xf numFmtId="0" fontId="6" fillId="0" borderId="0" xfId="0" applyFont="1" applyBorder="1"/>
    <xf numFmtId="0" fontId="4" fillId="0" borderId="22" xfId="0" applyFont="1" applyBorder="1" applyAlignment="1">
      <alignment horizontal="left" indent="1"/>
    </xf>
    <xf numFmtId="164" fontId="4" fillId="0" borderId="7" xfId="0" applyNumberFormat="1" applyFont="1" applyBorder="1" applyAlignment="1">
      <alignment horizontal="right"/>
    </xf>
    <xf numFmtId="0" fontId="4" fillId="0" borderId="24" xfId="0" applyFont="1" applyFill="1" applyBorder="1"/>
    <xf numFmtId="3" fontId="4" fillId="0" borderId="3" xfId="0" applyNumberFormat="1" applyFont="1" applyFill="1" applyBorder="1"/>
    <xf numFmtId="0" fontId="4" fillId="0" borderId="3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27" xfId="0" applyFont="1" applyBorder="1"/>
    <xf numFmtId="0" fontId="4" fillId="0" borderId="29" xfId="0" applyFont="1" applyBorder="1"/>
    <xf numFmtId="0" fontId="4" fillId="0" borderId="30" xfId="0" applyFont="1" applyBorder="1"/>
    <xf numFmtId="3" fontId="4" fillId="0" borderId="30" xfId="0" applyNumberFormat="1" applyFont="1" applyBorder="1"/>
    <xf numFmtId="166" fontId="4" fillId="0" borderId="28" xfId="1" applyNumberFormat="1" applyFont="1" applyBorder="1"/>
    <xf numFmtId="164" fontId="4" fillId="0" borderId="34" xfId="0" applyNumberFormat="1" applyFont="1" applyBorder="1"/>
    <xf numFmtId="164" fontId="4" fillId="0" borderId="27" xfId="0" applyNumberFormat="1" applyFont="1" applyBorder="1"/>
    <xf numFmtId="164" fontId="4" fillId="0" borderId="28" xfId="0" applyNumberFormat="1" applyFont="1" applyBorder="1" applyAlignment="1">
      <alignment horizontal="right"/>
    </xf>
    <xf numFmtId="164" fontId="4" fillId="0" borderId="31" xfId="0" applyNumberFormat="1" applyFont="1" applyBorder="1"/>
    <xf numFmtId="164" fontId="4" fillId="0" borderId="36" xfId="0" applyNumberFormat="1" applyFont="1" applyBorder="1" applyAlignment="1">
      <alignment horizontal="right"/>
    </xf>
    <xf numFmtId="166" fontId="4" fillId="0" borderId="7" xfId="1" applyNumberFormat="1" applyFont="1" applyBorder="1"/>
    <xf numFmtId="5" fontId="4" fillId="0" borderId="37" xfId="0" applyNumberFormat="1" applyFont="1" applyBorder="1" applyAlignment="1">
      <alignment horizontal="right"/>
    </xf>
    <xf numFmtId="5" fontId="4" fillId="0" borderId="28" xfId="0" applyNumberFormat="1" applyFont="1" applyBorder="1" applyAlignment="1">
      <alignment horizontal="right"/>
    </xf>
    <xf numFmtId="5" fontId="4" fillId="0" borderId="36" xfId="0" applyNumberFormat="1" applyFont="1" applyBorder="1" applyAlignment="1">
      <alignment horizontal="right"/>
    </xf>
    <xf numFmtId="3" fontId="4" fillId="0" borderId="29" xfId="0" applyNumberFormat="1" applyFont="1" applyBorder="1"/>
    <xf numFmtId="3" fontId="4" fillId="0" borderId="7" xfId="0" applyNumberFormat="1" applyFont="1" applyBorder="1"/>
    <xf numFmtId="166" fontId="4" fillId="0" borderId="30" xfId="1" applyNumberFormat="1" applyFont="1" applyBorder="1"/>
    <xf numFmtId="164" fontId="4" fillId="0" borderId="30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164" fontId="4" fillId="0" borderId="29" xfId="0" applyNumberFormat="1" applyFont="1" applyBorder="1"/>
    <xf numFmtId="164" fontId="4" fillId="0" borderId="33" xfId="0" applyNumberFormat="1" applyFont="1" applyBorder="1"/>
    <xf numFmtId="166" fontId="4" fillId="0" borderId="3" xfId="1" applyNumberFormat="1" applyFont="1" applyBorder="1"/>
    <xf numFmtId="3" fontId="4" fillId="0" borderId="27" xfId="0" applyNumberFormat="1" applyFont="1" applyBorder="1"/>
    <xf numFmtId="3" fontId="4" fillId="0" borderId="28" xfId="1" applyNumberFormat="1" applyFont="1" applyBorder="1"/>
    <xf numFmtId="167" fontId="4" fillId="0" borderId="30" xfId="0" applyNumberFormat="1" applyFont="1" applyBorder="1" applyAlignment="1">
      <alignment horizontal="right"/>
    </xf>
    <xf numFmtId="5" fontId="4" fillId="0" borderId="30" xfId="0" applyNumberFormat="1" applyFont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3" fontId="4" fillId="0" borderId="7" xfId="1" applyNumberFormat="1" applyFont="1" applyBorder="1"/>
    <xf numFmtId="3" fontId="4" fillId="0" borderId="3" xfId="1" applyNumberFormat="1" applyFont="1" applyBorder="1"/>
    <xf numFmtId="3" fontId="4" fillId="0" borderId="30" xfId="0" applyNumberFormat="1" applyFont="1" applyFill="1" applyBorder="1"/>
    <xf numFmtId="166" fontId="4" fillId="0" borderId="28" xfId="1" applyNumberFormat="1" applyFont="1" applyFill="1" applyBorder="1"/>
    <xf numFmtId="5" fontId="4" fillId="0" borderId="28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/>
    <xf numFmtId="3" fontId="4" fillId="0" borderId="24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20" xfId="0" applyFont="1" applyFill="1" applyBorder="1"/>
    <xf numFmtId="0" fontId="4" fillId="0" borderId="27" xfId="0" applyFont="1" applyFill="1" applyBorder="1"/>
    <xf numFmtId="0" fontId="4" fillId="0" borderId="29" xfId="0" applyFont="1" applyFill="1" applyBorder="1"/>
    <xf numFmtId="0" fontId="3" fillId="0" borderId="29" xfId="0" applyFont="1" applyFill="1" applyBorder="1"/>
    <xf numFmtId="164" fontId="4" fillId="0" borderId="27" xfId="0" applyNumberFormat="1" applyFont="1" applyFill="1" applyBorder="1"/>
    <xf numFmtId="164" fontId="4" fillId="0" borderId="31" xfId="0" applyNumberFormat="1" applyFont="1" applyFill="1" applyBorder="1"/>
    <xf numFmtId="5" fontId="4" fillId="0" borderId="7" xfId="0" applyNumberFormat="1" applyFont="1" applyBorder="1" applyAlignment="1">
      <alignment horizontal="right"/>
    </xf>
    <xf numFmtId="3" fontId="4" fillId="0" borderId="27" xfId="0" applyNumberFormat="1" applyFont="1" applyFill="1" applyBorder="1"/>
    <xf numFmtId="164" fontId="4" fillId="0" borderId="29" xfId="0" applyNumberFormat="1" applyFont="1" applyFill="1" applyBorder="1"/>
    <xf numFmtId="0" fontId="4" fillId="0" borderId="21" xfId="0" applyFont="1" applyBorder="1" applyAlignment="1">
      <alignment horizontal="left" indent="1"/>
    </xf>
    <xf numFmtId="0" fontId="4" fillId="0" borderId="46" xfId="0" applyFont="1" applyBorder="1" applyAlignment="1">
      <alignment horizontal="left" indent="1"/>
    </xf>
    <xf numFmtId="164" fontId="4" fillId="0" borderId="6" xfId="3" applyNumberFormat="1" applyFont="1" applyBorder="1" applyAlignment="1">
      <alignment horizontal="right"/>
    </xf>
    <xf numFmtId="3" fontId="4" fillId="0" borderId="29" xfId="0" applyNumberFormat="1" applyFont="1" applyFill="1" applyBorder="1"/>
    <xf numFmtId="166" fontId="4" fillId="0" borderId="3" xfId="1" applyNumberFormat="1" applyFont="1" applyFill="1" applyBorder="1"/>
    <xf numFmtId="5" fontId="4" fillId="0" borderId="6" xfId="0" applyNumberFormat="1" applyFont="1" applyBorder="1" applyAlignment="1">
      <alignment horizontal="right"/>
    </xf>
    <xf numFmtId="166" fontId="3" fillId="0" borderId="0" xfId="1" applyNumberFormat="1" applyFont="1" applyBorder="1"/>
    <xf numFmtId="166" fontId="3" fillId="0" borderId="0" xfId="1" applyNumberFormat="1" applyFont="1" applyFill="1" applyBorder="1"/>
    <xf numFmtId="0" fontId="4" fillId="0" borderId="44" xfId="0" applyFont="1" applyBorder="1"/>
    <xf numFmtId="166" fontId="3" fillId="0" borderId="38" xfId="1" applyNumberFormat="1" applyFont="1" applyBorder="1"/>
    <xf numFmtId="0" fontId="3" fillId="0" borderId="0" xfId="0" applyFont="1" applyFill="1" applyBorder="1"/>
    <xf numFmtId="167" fontId="4" fillId="0" borderId="3" xfId="0" applyNumberFormat="1" applyFont="1" applyFill="1" applyBorder="1"/>
    <xf numFmtId="164" fontId="4" fillId="0" borderId="3" xfId="3" applyNumberFormat="1" applyFont="1" applyFill="1" applyBorder="1"/>
    <xf numFmtId="164" fontId="4" fillId="0" borderId="3" xfId="3" applyNumberFormat="1" applyFont="1" applyFill="1" applyBorder="1" applyAlignment="1">
      <alignment horizontal="right"/>
    </xf>
    <xf numFmtId="0" fontId="4" fillId="0" borderId="7" xfId="0" applyFont="1" applyFill="1" applyBorder="1"/>
    <xf numFmtId="0" fontId="4" fillId="0" borderId="30" xfId="0" applyFont="1" applyFill="1" applyBorder="1"/>
    <xf numFmtId="166" fontId="3" fillId="0" borderId="38" xfId="1" applyNumberFormat="1" applyFont="1" applyFill="1" applyBorder="1"/>
    <xf numFmtId="3" fontId="4" fillId="0" borderId="7" xfId="0" applyNumberFormat="1" applyFont="1" applyFill="1" applyBorder="1"/>
    <xf numFmtId="164" fontId="4" fillId="0" borderId="7" xfId="0" applyNumberFormat="1" applyFont="1" applyFill="1" applyBorder="1"/>
    <xf numFmtId="164" fontId="4" fillId="0" borderId="6" xfId="0" applyNumberFormat="1" applyFont="1" applyFill="1" applyBorder="1"/>
    <xf numFmtId="166" fontId="4" fillId="0" borderId="30" xfId="1" applyNumberFormat="1" applyFont="1" applyFill="1" applyBorder="1"/>
    <xf numFmtId="3" fontId="4" fillId="0" borderId="28" xfId="1" applyNumberFormat="1" applyFont="1" applyFill="1" applyBorder="1"/>
    <xf numFmtId="3" fontId="4" fillId="0" borderId="30" xfId="1" applyNumberFormat="1" applyFont="1" applyFill="1" applyBorder="1"/>
    <xf numFmtId="164" fontId="4" fillId="0" borderId="36" xfId="3" applyNumberFormat="1" applyFont="1" applyBorder="1" applyAlignment="1">
      <alignment horizontal="right"/>
    </xf>
    <xf numFmtId="167" fontId="4" fillId="0" borderId="30" xfId="0" applyNumberFormat="1" applyFont="1" applyFill="1" applyBorder="1"/>
    <xf numFmtId="164" fontId="4" fillId="0" borderId="36" xfId="3" applyNumberFormat="1" applyFont="1" applyFill="1" applyBorder="1" applyAlignment="1">
      <alignment horizontal="right"/>
    </xf>
    <xf numFmtId="167" fontId="4" fillId="0" borderId="3" xfId="0" applyNumberFormat="1" applyFont="1" applyFill="1" applyBorder="1" applyAlignment="1">
      <alignment horizontal="right"/>
    </xf>
    <xf numFmtId="0" fontId="0" fillId="0" borderId="29" xfId="0" applyFill="1" applyBorder="1"/>
    <xf numFmtId="3" fontId="4" fillId="0" borderId="3" xfId="1" applyNumberFormat="1" applyFont="1" applyFill="1" applyBorder="1"/>
    <xf numFmtId="3" fontId="4" fillId="0" borderId="7" xfId="1" applyNumberFormat="1" applyFont="1" applyFill="1" applyBorder="1"/>
    <xf numFmtId="166" fontId="4" fillId="0" borderId="7" xfId="1" applyNumberFormat="1" applyFont="1" applyFill="1" applyBorder="1"/>
    <xf numFmtId="3" fontId="3" fillId="0" borderId="0" xfId="0" applyNumberFormat="1" applyFont="1" applyFill="1" applyBorder="1"/>
    <xf numFmtId="164" fontId="4" fillId="0" borderId="6" xfId="3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67" fontId="4" fillId="0" borderId="30" xfId="0" applyNumberFormat="1" applyFont="1" applyFill="1" applyBorder="1" applyAlignment="1">
      <alignment horizontal="right"/>
    </xf>
    <xf numFmtId="0" fontId="3" fillId="0" borderId="49" xfId="0" applyFont="1" applyBorder="1"/>
    <xf numFmtId="6" fontId="4" fillId="0" borderId="30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7" fontId="10" fillId="0" borderId="38" xfId="0" applyNumberFormat="1" applyFont="1" applyBorder="1"/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67" fontId="4" fillId="0" borderId="7" xfId="0" applyNumberFormat="1" applyFont="1" applyFill="1" applyBorder="1" applyAlignment="1">
      <alignment horizontal="right"/>
    </xf>
    <xf numFmtId="167" fontId="4" fillId="0" borderId="28" xfId="0" applyNumberFormat="1" applyFont="1" applyBorder="1"/>
    <xf numFmtId="167" fontId="10" fillId="0" borderId="53" xfId="0" applyNumberFormat="1" applyFont="1" applyFill="1" applyBorder="1" applyAlignment="1" applyProtection="1"/>
    <xf numFmtId="167" fontId="10" fillId="0" borderId="7" xfId="0" applyNumberFormat="1" applyFont="1" applyBorder="1"/>
    <xf numFmtId="167" fontId="4" fillId="0" borderId="8" xfId="0" applyNumberFormat="1" applyFont="1" applyBorder="1" applyAlignment="1">
      <alignment horizontal="right"/>
    </xf>
    <xf numFmtId="167" fontId="10" fillId="0" borderId="7" xfId="0" applyNumberFormat="1" applyFont="1" applyFill="1" applyBorder="1"/>
    <xf numFmtId="164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5" fontId="4" fillId="0" borderId="36" xfId="0" applyNumberFormat="1" applyFont="1" applyFill="1" applyBorder="1" applyAlignment="1">
      <alignment horizontal="right"/>
    </xf>
    <xf numFmtId="164" fontId="4" fillId="0" borderId="30" xfId="3" applyNumberFormat="1" applyFont="1" applyFill="1" applyBorder="1"/>
    <xf numFmtId="167" fontId="4" fillId="0" borderId="28" xfId="0" applyNumberFormat="1" applyFont="1" applyFill="1" applyBorder="1"/>
    <xf numFmtId="164" fontId="4" fillId="0" borderId="3" xfId="3" applyNumberFormat="1" applyFont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167" fontId="10" fillId="0" borderId="38" xfId="0" applyNumberFormat="1" applyFont="1" applyBorder="1" applyAlignment="1">
      <alignment horizontal="right"/>
    </xf>
    <xf numFmtId="167" fontId="4" fillId="0" borderId="38" xfId="17" applyNumberFormat="1" applyBorder="1" applyAlignment="1">
      <alignment horizontal="right"/>
    </xf>
    <xf numFmtId="169" fontId="4" fillId="0" borderId="37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Border="1"/>
    <xf numFmtId="5" fontId="4" fillId="0" borderId="6" xfId="0" applyNumberFormat="1" applyFont="1" applyFill="1" applyBorder="1" applyAlignment="1">
      <alignment horizontal="right"/>
    </xf>
    <xf numFmtId="167" fontId="10" fillId="0" borderId="20" xfId="0" applyNumberFormat="1" applyFont="1" applyFill="1" applyBorder="1" applyAlignment="1" applyProtection="1"/>
    <xf numFmtId="3" fontId="4" fillId="0" borderId="40" xfId="0" applyNumberFormat="1" applyFont="1" applyFill="1" applyBorder="1"/>
    <xf numFmtId="5" fontId="4" fillId="0" borderId="7" xfId="0" applyNumberFormat="1" applyFont="1" applyBorder="1" applyAlignment="1"/>
    <xf numFmtId="167" fontId="4" fillId="0" borderId="30" xfId="15" applyNumberFormat="1" applyBorder="1" applyAlignment="1">
      <alignment horizontal="right"/>
    </xf>
    <xf numFmtId="167" fontId="4" fillId="0" borderId="30" xfId="14" applyNumberFormat="1" applyBorder="1" applyAlignment="1">
      <alignment horizontal="right"/>
    </xf>
    <xf numFmtId="0" fontId="4" fillId="0" borderId="56" xfId="0" applyFont="1" applyBorder="1"/>
    <xf numFmtId="0" fontId="4" fillId="0" borderId="54" xfId="0" applyFont="1" applyBorder="1"/>
    <xf numFmtId="0" fontId="4" fillId="0" borderId="58" xfId="0" applyFont="1" applyBorder="1"/>
    <xf numFmtId="167" fontId="4" fillId="0" borderId="1" xfId="0" applyNumberFormat="1" applyFont="1" applyBorder="1"/>
    <xf numFmtId="164" fontId="10" fillId="0" borderId="0" xfId="3" applyNumberFormat="1" applyFont="1" applyFill="1" applyBorder="1"/>
    <xf numFmtId="0" fontId="4" fillId="0" borderId="64" xfId="0" applyFont="1" applyBorder="1"/>
    <xf numFmtId="166" fontId="4" fillId="0" borderId="24" xfId="0" applyNumberFormat="1" applyFont="1" applyBorder="1"/>
    <xf numFmtId="166" fontId="4" fillId="0" borderId="40" xfId="0" applyNumberFormat="1" applyFont="1" applyBorder="1"/>
    <xf numFmtId="0" fontId="4" fillId="0" borderId="65" xfId="0" applyFont="1" applyBorder="1"/>
    <xf numFmtId="0" fontId="4" fillId="0" borderId="29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67" fontId="4" fillId="0" borderId="38" xfId="15" applyNumberFormat="1" applyBorder="1" applyAlignment="1">
      <alignment horizontal="right"/>
    </xf>
    <xf numFmtId="170" fontId="4" fillId="0" borderId="7" xfId="0" applyNumberFormat="1" applyFont="1" applyFill="1" applyBorder="1"/>
    <xf numFmtId="1" fontId="4" fillId="0" borderId="29" xfId="0" applyNumberFormat="1" applyFont="1" applyBorder="1" applyAlignment="1">
      <alignment horizontal="center"/>
    </xf>
    <xf numFmtId="167" fontId="10" fillId="0" borderId="0" xfId="3" applyNumberFormat="1" applyFont="1" applyFill="1" applyBorder="1" applyAlignment="1"/>
    <xf numFmtId="1" fontId="4" fillId="0" borderId="3" xfId="0" applyNumberFormat="1" applyFont="1" applyFill="1" applyBorder="1" applyAlignment="1">
      <alignment horizontal="center"/>
    </xf>
    <xf numFmtId="167" fontId="4" fillId="0" borderId="26" xfId="0" applyNumberFormat="1" applyFont="1" applyFill="1" applyBorder="1"/>
    <xf numFmtId="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7" fontId="4" fillId="0" borderId="27" xfId="0" applyNumberFormat="1" applyFont="1" applyFill="1" applyBorder="1"/>
    <xf numFmtId="0" fontId="4" fillId="0" borderId="68" xfId="0" applyFont="1" applyBorder="1"/>
    <xf numFmtId="166" fontId="4" fillId="0" borderId="43" xfId="0" applyNumberFormat="1" applyFont="1" applyBorder="1"/>
    <xf numFmtId="0" fontId="3" fillId="0" borderId="56" xfId="0" applyFont="1" applyBorder="1"/>
    <xf numFmtId="167" fontId="4" fillId="0" borderId="2" xfId="0" applyNumberFormat="1" applyFont="1" applyFill="1" applyBorder="1"/>
    <xf numFmtId="3" fontId="4" fillId="0" borderId="28" xfId="0" applyNumberFormat="1" applyFont="1" applyFill="1" applyBorder="1"/>
    <xf numFmtId="167" fontId="10" fillId="0" borderId="38" xfId="0" applyNumberFormat="1" applyFont="1" applyFill="1" applyBorder="1"/>
    <xf numFmtId="0" fontId="4" fillId="0" borderId="3" xfId="0" applyNumberFormat="1" applyFont="1" applyBorder="1" applyAlignment="1">
      <alignment horizontal="center"/>
    </xf>
    <xf numFmtId="167" fontId="4" fillId="0" borderId="30" xfId="12" applyNumberFormat="1" applyBorder="1" applyAlignment="1">
      <alignment horizontal="right"/>
    </xf>
    <xf numFmtId="167" fontId="10" fillId="0" borderId="28" xfId="0" applyNumberFormat="1" applyFont="1" applyFill="1" applyBorder="1"/>
    <xf numFmtId="164" fontId="4" fillId="0" borderId="26" xfId="0" applyNumberFormat="1" applyFont="1" applyFill="1" applyBorder="1"/>
    <xf numFmtId="0" fontId="9" fillId="0" borderId="18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1" fontId="4" fillId="0" borderId="32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0" fontId="0" fillId="0" borderId="3" xfId="0" applyFill="1" applyBorder="1"/>
    <xf numFmtId="170" fontId="4" fillId="0" borderId="28" xfId="0" applyNumberFormat="1" applyFont="1" applyFill="1" applyBorder="1"/>
    <xf numFmtId="0" fontId="3" fillId="0" borderId="18" xfId="0" applyFont="1" applyBorder="1"/>
    <xf numFmtId="0" fontId="4" fillId="0" borderId="17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4" fillId="0" borderId="70" xfId="0" applyFont="1" applyBorder="1"/>
    <xf numFmtId="167" fontId="4" fillId="0" borderId="7" xfId="0" applyNumberFormat="1" applyFont="1" applyFill="1" applyBorder="1"/>
    <xf numFmtId="1" fontId="4" fillId="0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48" xfId="0" applyFont="1" applyBorder="1"/>
    <xf numFmtId="167" fontId="10" fillId="0" borderId="38" xfId="0" applyNumberFormat="1" applyFont="1" applyFill="1" applyBorder="1" applyAlignment="1">
      <alignment horizontal="right"/>
    </xf>
    <xf numFmtId="0" fontId="3" fillId="0" borderId="72" xfId="0" applyFont="1" applyBorder="1"/>
    <xf numFmtId="0" fontId="9" fillId="0" borderId="17" xfId="0" applyFont="1" applyBorder="1" applyAlignment="1">
      <alignment horizontal="left" indent="1"/>
    </xf>
    <xf numFmtId="0" fontId="4" fillId="0" borderId="17" xfId="0" applyFont="1" applyFill="1" applyBorder="1" applyAlignment="1">
      <alignment horizontal="left" indent="1"/>
    </xf>
    <xf numFmtId="0" fontId="4" fillId="0" borderId="19" xfId="0" applyFont="1" applyFill="1" applyBorder="1" applyAlignment="1">
      <alignment horizontal="left" indent="1"/>
    </xf>
    <xf numFmtId="164" fontId="4" fillId="0" borderId="26" xfId="0" applyNumberFormat="1" applyFont="1" applyBorder="1" applyAlignment="1">
      <alignment horizontal="right"/>
    </xf>
    <xf numFmtId="5" fontId="4" fillId="0" borderId="3" xfId="0" applyNumberFormat="1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0" fontId="3" fillId="0" borderId="16" xfId="0" applyFont="1" applyBorder="1"/>
    <xf numFmtId="166" fontId="4" fillId="2" borderId="30" xfId="1" applyNumberFormat="1" applyFont="1" applyFill="1" applyBorder="1"/>
    <xf numFmtId="3" fontId="13" fillId="0" borderId="30" xfId="0" applyNumberFormat="1" applyFont="1" applyFill="1" applyBorder="1"/>
    <xf numFmtId="167" fontId="4" fillId="0" borderId="38" xfId="0" applyNumberFormat="1" applyFont="1" applyFill="1" applyBorder="1"/>
    <xf numFmtId="164" fontId="4" fillId="0" borderId="26" xfId="0" applyNumberFormat="1" applyFont="1" applyBorder="1"/>
    <xf numFmtId="167" fontId="4" fillId="2" borderId="24" xfId="0" applyNumberFormat="1" applyFont="1" applyFill="1" applyBorder="1" applyAlignment="1">
      <alignment horizontal="center"/>
    </xf>
    <xf numFmtId="164" fontId="4" fillId="2" borderId="69" xfId="3" applyNumberFormat="1" applyFont="1" applyFill="1" applyBorder="1" applyAlignment="1">
      <alignment horizontal="right"/>
    </xf>
    <xf numFmtId="167" fontId="0" fillId="2" borderId="42" xfId="0" applyNumberFormat="1" applyFill="1" applyBorder="1"/>
    <xf numFmtId="167" fontId="10" fillId="2" borderId="40" xfId="0" applyNumberFormat="1" applyFont="1" applyFill="1" applyBorder="1"/>
    <xf numFmtId="166" fontId="4" fillId="0" borderId="24" xfId="1" applyNumberFormat="1" applyFont="1" applyFill="1" applyBorder="1"/>
    <xf numFmtId="3" fontId="4" fillId="0" borderId="24" xfId="1" applyNumberFormat="1" applyFont="1" applyFill="1" applyBorder="1"/>
    <xf numFmtId="3" fontId="4" fillId="0" borderId="40" xfId="1" applyNumberFormat="1" applyFont="1" applyFill="1" applyBorder="1"/>
    <xf numFmtId="166" fontId="4" fillId="0" borderId="40" xfId="1" applyNumberFormat="1" applyFont="1" applyFill="1" applyBorder="1"/>
    <xf numFmtId="170" fontId="4" fillId="0" borderId="40" xfId="0" applyNumberFormat="1" applyFont="1" applyFill="1" applyBorder="1"/>
    <xf numFmtId="166" fontId="3" fillId="0" borderId="42" xfId="1" applyNumberFormat="1" applyFont="1" applyFill="1" applyBorder="1"/>
    <xf numFmtId="167" fontId="4" fillId="0" borderId="11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4" fillId="0" borderId="26" xfId="0" applyFont="1" applyBorder="1" applyAlignment="1">
      <alignment horizontal="center"/>
    </xf>
    <xf numFmtId="167" fontId="4" fillId="0" borderId="6" xfId="0" applyNumberFormat="1" applyFont="1" applyBorder="1" applyAlignment="1">
      <alignment horizontal="right"/>
    </xf>
    <xf numFmtId="167" fontId="4" fillId="0" borderId="36" xfId="0" applyNumberFormat="1" applyFont="1" applyFill="1" applyBorder="1" applyAlignment="1">
      <alignment horizontal="right"/>
    </xf>
    <xf numFmtId="164" fontId="4" fillId="0" borderId="84" xfId="0" applyNumberFormat="1" applyFont="1" applyBorder="1" applyAlignment="1">
      <alignment horizontal="center"/>
    </xf>
    <xf numFmtId="164" fontId="4" fillId="0" borderId="78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76" xfId="0" applyNumberFormat="1" applyFont="1" applyBorder="1" applyAlignment="1">
      <alignment horizontal="center"/>
    </xf>
    <xf numFmtId="164" fontId="4" fillId="0" borderId="84" xfId="0" applyNumberFormat="1" applyFont="1" applyFill="1" applyBorder="1" applyAlignment="1">
      <alignment horizontal="center"/>
    </xf>
    <xf numFmtId="164" fontId="4" fillId="0" borderId="78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7" fontId="4" fillId="0" borderId="0" xfId="11" applyNumberFormat="1" applyBorder="1" applyAlignment="1">
      <alignment horizontal="right"/>
    </xf>
    <xf numFmtId="167" fontId="4" fillId="0" borderId="0" xfId="11" applyNumberFormat="1" applyFill="1" applyBorder="1" applyAlignment="1">
      <alignment horizontal="right"/>
    </xf>
    <xf numFmtId="0" fontId="4" fillId="0" borderId="31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69" fontId="4" fillId="0" borderId="36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right"/>
    </xf>
    <xf numFmtId="0" fontId="4" fillId="0" borderId="31" xfId="0" applyNumberFormat="1" applyFont="1" applyFill="1" applyBorder="1" applyAlignment="1">
      <alignment horizontal="center"/>
    </xf>
    <xf numFmtId="164" fontId="4" fillId="0" borderId="80" xfId="0" applyNumberFormat="1" applyFont="1" applyBorder="1"/>
    <xf numFmtId="5" fontId="4" fillId="0" borderId="78" xfId="0" applyNumberFormat="1" applyFont="1" applyBorder="1" applyAlignment="1">
      <alignment horizontal="right"/>
    </xf>
    <xf numFmtId="164" fontId="4" fillId="0" borderId="76" xfId="0" applyNumberFormat="1" applyFont="1" applyBorder="1"/>
    <xf numFmtId="0" fontId="4" fillId="0" borderId="76" xfId="0" applyFont="1" applyBorder="1" applyAlignment="1">
      <alignment horizontal="center"/>
    </xf>
    <xf numFmtId="164" fontId="4" fillId="0" borderId="80" xfId="0" applyNumberFormat="1" applyFont="1" applyFill="1" applyBorder="1"/>
    <xf numFmtId="0" fontId="4" fillId="0" borderId="78" xfId="0" applyFont="1" applyFill="1" applyBorder="1" applyAlignment="1">
      <alignment horizontal="center"/>
    </xf>
    <xf numFmtId="164" fontId="4" fillId="0" borderId="76" xfId="0" applyNumberFormat="1" applyFont="1" applyFill="1" applyBorder="1"/>
    <xf numFmtId="0" fontId="4" fillId="0" borderId="76" xfId="0" applyFont="1" applyFill="1" applyBorder="1" applyAlignment="1">
      <alignment horizontal="center"/>
    </xf>
    <xf numFmtId="5" fontId="4" fillId="0" borderId="26" xfId="0" applyNumberFormat="1" applyFont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167" fontId="4" fillId="0" borderId="0" xfId="0" applyNumberFormat="1" applyFont="1" applyBorder="1"/>
    <xf numFmtId="3" fontId="4" fillId="0" borderId="34" xfId="0" applyNumberFormat="1" applyFont="1" applyBorder="1"/>
    <xf numFmtId="3" fontId="4" fillId="0" borderId="26" xfId="0" applyNumberFormat="1" applyFont="1" applyBorder="1"/>
    <xf numFmtId="3" fontId="4" fillId="0" borderId="34" xfId="0" applyNumberFormat="1" applyFont="1" applyFill="1" applyBorder="1"/>
    <xf numFmtId="3" fontId="4" fillId="0" borderId="26" xfId="0" applyNumberFormat="1" applyFont="1" applyFill="1" applyBorder="1"/>
    <xf numFmtId="164" fontId="4" fillId="0" borderId="0" xfId="0" applyNumberFormat="1" applyFont="1" applyBorder="1" applyAlignment="1">
      <alignment horizontal="right"/>
    </xf>
    <xf numFmtId="164" fontId="4" fillId="0" borderId="0" xfId="3" applyNumberFormat="1" applyFont="1" applyBorder="1" applyAlignment="1">
      <alignment horizontal="right"/>
    </xf>
    <xf numFmtId="167" fontId="10" fillId="0" borderId="0" xfId="3" applyNumberFormat="1" applyFont="1" applyBorder="1" applyAlignment="1">
      <alignment horizontal="right"/>
    </xf>
    <xf numFmtId="167" fontId="4" fillId="0" borderId="0" xfId="0" applyNumberFormat="1" applyFont="1" applyFill="1" applyBorder="1"/>
    <xf numFmtId="167" fontId="4" fillId="4" borderId="0" xfId="0" applyNumberFormat="1" applyFont="1" applyFill="1" applyBorder="1" applyAlignment="1">
      <alignment horizontal="right"/>
    </xf>
    <xf numFmtId="3" fontId="4" fillId="0" borderId="35" xfId="1" applyNumberFormat="1" applyFont="1" applyFill="1" applyBorder="1"/>
    <xf numFmtId="3" fontId="4" fillId="0" borderId="43" xfId="1" applyNumberFormat="1" applyFont="1" applyFill="1" applyBorder="1"/>
    <xf numFmtId="0" fontId="4" fillId="0" borderId="67" xfId="0" applyFont="1" applyBorder="1" applyAlignment="1">
      <alignment horizontal="left" wrapText="1" indent="1"/>
    </xf>
    <xf numFmtId="3" fontId="4" fillId="0" borderId="26" xfId="1" applyNumberFormat="1" applyFont="1" applyBorder="1"/>
    <xf numFmtId="3" fontId="4" fillId="0" borderId="26" xfId="1" applyNumberFormat="1" applyFont="1" applyFill="1" applyBorder="1"/>
    <xf numFmtId="3" fontId="3" fillId="0" borderId="82" xfId="0" applyNumberFormat="1" applyFont="1" applyFill="1" applyBorder="1"/>
    <xf numFmtId="3" fontId="3" fillId="0" borderId="83" xfId="1" applyNumberFormat="1" applyFont="1" applyFill="1" applyBorder="1"/>
    <xf numFmtId="3" fontId="3" fillId="0" borderId="85" xfId="0" applyNumberFormat="1" applyFont="1" applyFill="1" applyBorder="1"/>
    <xf numFmtId="3" fontId="3" fillId="0" borderId="86" xfId="1" applyNumberFormat="1" applyFont="1" applyFill="1" applyBorder="1"/>
    <xf numFmtId="0" fontId="4" fillId="0" borderId="87" xfId="0" applyFont="1" applyBorder="1"/>
    <xf numFmtId="166" fontId="3" fillId="0" borderId="86" xfId="0" applyNumberFormat="1" applyFont="1" applyBorder="1"/>
    <xf numFmtId="0" fontId="3" fillId="0" borderId="88" xfId="0" applyFont="1" applyBorder="1" applyAlignment="1">
      <alignment horizontal="left" indent="1"/>
    </xf>
    <xf numFmtId="3" fontId="3" fillId="0" borderId="82" xfId="0" applyNumberFormat="1" applyFont="1" applyBorder="1"/>
    <xf numFmtId="3" fontId="3" fillId="0" borderId="85" xfId="0" applyNumberFormat="1" applyFont="1" applyBorder="1"/>
    <xf numFmtId="3" fontId="3" fillId="0" borderId="85" xfId="1" applyNumberFormat="1" applyFont="1" applyBorder="1"/>
    <xf numFmtId="3" fontId="3" fillId="0" borderId="85" xfId="1" applyNumberFormat="1" applyFont="1" applyFill="1" applyBorder="1"/>
    <xf numFmtId="167" fontId="4" fillId="4" borderId="0" xfId="0" applyNumberFormat="1" applyFont="1" applyFill="1" applyBorder="1"/>
    <xf numFmtId="164" fontId="4" fillId="0" borderId="26" xfId="0" applyNumberFormat="1" applyFont="1" applyFill="1" applyBorder="1" applyAlignment="1">
      <alignment horizontal="right"/>
    </xf>
    <xf numFmtId="164" fontId="4" fillId="0" borderId="76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67" fontId="4" fillId="0" borderId="7" xfId="0" applyNumberFormat="1" applyFont="1" applyBorder="1"/>
    <xf numFmtId="0" fontId="4" fillId="0" borderId="26" xfId="0" applyFont="1" applyFill="1" applyBorder="1"/>
    <xf numFmtId="166" fontId="4" fillId="0" borderId="35" xfId="1" applyNumberFormat="1" applyFont="1" applyFill="1" applyBorder="1"/>
    <xf numFmtId="166" fontId="4" fillId="0" borderId="43" xfId="1" applyNumberFormat="1" applyFont="1" applyFill="1" applyBorder="1"/>
    <xf numFmtId="166" fontId="4" fillId="0" borderId="35" xfId="1" applyNumberFormat="1" applyFont="1" applyBorder="1"/>
    <xf numFmtId="0" fontId="3" fillId="0" borderId="85" xfId="0" applyFont="1" applyFill="1" applyBorder="1"/>
    <xf numFmtId="166" fontId="3" fillId="0" borderId="83" xfId="1" applyNumberFormat="1" applyFont="1" applyFill="1" applyBorder="1"/>
    <xf numFmtId="166" fontId="3" fillId="0" borderId="86" xfId="1" applyNumberFormat="1" applyFont="1" applyFill="1" applyBorder="1"/>
    <xf numFmtId="167" fontId="10" fillId="0" borderId="0" xfId="0" applyNumberFormat="1" applyFont="1" applyFill="1" applyBorder="1"/>
    <xf numFmtId="164" fontId="4" fillId="0" borderId="6" xfId="0" applyNumberFormat="1" applyFont="1" applyBorder="1" applyAlignment="1">
      <alignment horizontal="right"/>
    </xf>
    <xf numFmtId="167" fontId="4" fillId="0" borderId="0" xfId="12" applyNumberFormat="1" applyBorder="1"/>
    <xf numFmtId="167" fontId="4" fillId="0" borderId="0" xfId="12" applyNumberFormat="1" applyFill="1" applyBorder="1"/>
    <xf numFmtId="0" fontId="4" fillId="0" borderId="6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5" fontId="4" fillId="0" borderId="76" xfId="0" applyNumberFormat="1" applyFont="1" applyBorder="1" applyAlignment="1">
      <alignment horizontal="right"/>
    </xf>
    <xf numFmtId="5" fontId="4" fillId="0" borderId="36" xfId="0" applyNumberFormat="1" applyFont="1" applyBorder="1" applyAlignment="1"/>
    <xf numFmtId="167" fontId="4" fillId="0" borderId="0" xfId="14" applyNumberFormat="1" applyFill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67" fontId="4" fillId="0" borderId="0" xfId="15" applyNumberFormat="1" applyFill="1" applyBorder="1" applyAlignment="1">
      <alignment horizontal="right"/>
    </xf>
    <xf numFmtId="164" fontId="10" fillId="0" borderId="0" xfId="3" applyNumberFormat="1" applyFont="1" applyFill="1" applyBorder="1" applyAlignment="1">
      <alignment horizontal="right"/>
    </xf>
    <xf numFmtId="164" fontId="4" fillId="0" borderId="71" xfId="0" applyNumberFormat="1" applyFont="1" applyBorder="1"/>
    <xf numFmtId="167" fontId="4" fillId="0" borderId="20" xfId="0" applyNumberFormat="1" applyFont="1" applyFill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6" xfId="0" applyFont="1" applyBorder="1"/>
    <xf numFmtId="167" fontId="4" fillId="0" borderId="0" xfId="16" applyNumberFormat="1" applyBorder="1" applyAlignment="1">
      <alignment horizontal="right"/>
    </xf>
    <xf numFmtId="167" fontId="4" fillId="0" borderId="0" xfId="16" applyNumberFormat="1" applyFill="1" applyBorder="1" applyAlignment="1">
      <alignment horizontal="right"/>
    </xf>
    <xf numFmtId="164" fontId="4" fillId="0" borderId="0" xfId="3" applyNumberFormat="1" applyFont="1" applyFill="1" applyBorder="1"/>
    <xf numFmtId="164" fontId="4" fillId="0" borderId="0" xfId="3" applyNumberFormat="1" applyFont="1" applyFill="1"/>
    <xf numFmtId="164" fontId="4" fillId="4" borderId="30" xfId="3" applyNumberFormat="1" applyFont="1" applyFill="1" applyBorder="1"/>
    <xf numFmtId="0" fontId="4" fillId="0" borderId="34" xfId="0" applyFont="1" applyBorder="1"/>
    <xf numFmtId="166" fontId="4" fillId="0" borderId="26" xfId="1" applyNumberFormat="1" applyFont="1" applyBorder="1"/>
    <xf numFmtId="0" fontId="4" fillId="0" borderId="34" xfId="0" applyFont="1" applyFill="1" applyBorder="1"/>
    <xf numFmtId="166" fontId="4" fillId="0" borderId="26" xfId="1" applyNumberFormat="1" applyFont="1" applyFill="1" applyBorder="1"/>
    <xf numFmtId="0" fontId="3" fillId="0" borderId="82" xfId="0" applyFont="1" applyBorder="1"/>
    <xf numFmtId="166" fontId="3" fillId="0" borderId="83" xfId="1" applyNumberFormat="1" applyFont="1" applyBorder="1"/>
    <xf numFmtId="0" fontId="3" fillId="0" borderId="85" xfId="0" applyFont="1" applyBorder="1"/>
    <xf numFmtId="166" fontId="3" fillId="0" borderId="85" xfId="1" applyNumberFormat="1" applyFont="1" applyBorder="1"/>
    <xf numFmtId="0" fontId="3" fillId="0" borderId="82" xfId="0" applyFont="1" applyFill="1" applyBorder="1"/>
    <xf numFmtId="166" fontId="3" fillId="0" borderId="85" xfId="1" applyNumberFormat="1" applyFont="1" applyFill="1" applyBorder="1"/>
    <xf numFmtId="0" fontId="3" fillId="0" borderId="87" xfId="0" applyFont="1" applyBorder="1"/>
    <xf numFmtId="164" fontId="4" fillId="0" borderId="30" xfId="3" applyNumberFormat="1" applyFont="1" applyBorder="1" applyAlignment="1">
      <alignment horizontal="right"/>
    </xf>
    <xf numFmtId="167" fontId="4" fillId="0" borderId="26" xfId="0" applyNumberFormat="1" applyFont="1" applyBorder="1"/>
    <xf numFmtId="164" fontId="4" fillId="0" borderId="53" xfId="0" applyNumberFormat="1" applyFont="1" applyBorder="1" applyAlignment="1">
      <alignment horizontal="right"/>
    </xf>
    <xf numFmtId="164" fontId="4" fillId="0" borderId="71" xfId="0" applyNumberFormat="1" applyFont="1" applyBorder="1" applyAlignment="1">
      <alignment horizontal="right"/>
    </xf>
    <xf numFmtId="167" fontId="4" fillId="0" borderId="20" xfId="0" applyNumberFormat="1" applyFont="1" applyFill="1" applyBorder="1"/>
    <xf numFmtId="167" fontId="4" fillId="2" borderId="60" xfId="0" applyNumberFormat="1" applyFont="1" applyFill="1" applyBorder="1" applyAlignment="1">
      <alignment horizontal="center"/>
    </xf>
    <xf numFmtId="167" fontId="4" fillId="0" borderId="53" xfId="0" applyNumberFormat="1" applyFont="1" applyFill="1" applyBorder="1" applyAlignment="1">
      <alignment horizontal="right"/>
    </xf>
    <xf numFmtId="164" fontId="4" fillId="0" borderId="20" xfId="0" applyNumberFormat="1" applyFont="1" applyBorder="1"/>
    <xf numFmtId="164" fontId="4" fillId="0" borderId="20" xfId="3" applyNumberFormat="1" applyFont="1" applyFill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20" xfId="3" applyNumberFormat="1" applyFont="1" applyFill="1" applyBorder="1" applyAlignment="1">
      <alignment horizontal="center"/>
    </xf>
    <xf numFmtId="164" fontId="4" fillId="0" borderId="53" xfId="3" applyNumberFormat="1" applyFont="1" applyFill="1" applyBorder="1" applyAlignment="1">
      <alignment horizontal="center"/>
    </xf>
    <xf numFmtId="164" fontId="4" fillId="0" borderId="3" xfId="3" applyNumberFormat="1" applyFont="1" applyFill="1" applyBorder="1" applyAlignment="1">
      <alignment horizontal="center"/>
    </xf>
    <xf numFmtId="164" fontId="4" fillId="0" borderId="20" xfId="3" applyNumberFormat="1" applyFont="1" applyBorder="1" applyAlignment="1">
      <alignment horizontal="right"/>
    </xf>
    <xf numFmtId="164" fontId="4" fillId="0" borderId="53" xfId="3" applyNumberFormat="1" applyFont="1" applyBorder="1" applyAlignment="1">
      <alignment horizontal="right"/>
    </xf>
    <xf numFmtId="167" fontId="4" fillId="0" borderId="36" xfId="0" applyNumberFormat="1" applyFont="1" applyBorder="1" applyAlignment="1">
      <alignment horizontal="right"/>
    </xf>
    <xf numFmtId="164" fontId="3" fillId="0" borderId="31" xfId="0" applyNumberFormat="1" applyFont="1" applyFill="1" applyBorder="1"/>
    <xf numFmtId="167" fontId="4" fillId="0" borderId="36" xfId="0" applyNumberFormat="1" applyFont="1" applyFill="1" applyBorder="1"/>
    <xf numFmtId="167" fontId="4" fillId="0" borderId="6" xfId="0" applyNumberFormat="1" applyFont="1" applyBorder="1" applyAlignment="1"/>
    <xf numFmtId="168" fontId="4" fillId="0" borderId="36" xfId="0" applyNumberFormat="1" applyFont="1" applyFill="1" applyBorder="1" applyAlignment="1"/>
    <xf numFmtId="169" fontId="4" fillId="0" borderId="6" xfId="0" applyNumberFormat="1" applyFont="1" applyFill="1" applyBorder="1" applyAlignment="1"/>
    <xf numFmtId="167" fontId="4" fillId="4" borderId="30" xfId="0" applyNumberFormat="1" applyFont="1" applyFill="1" applyBorder="1" applyAlignment="1">
      <alignment horizontal="right"/>
    </xf>
    <xf numFmtId="164" fontId="4" fillId="4" borderId="53" xfId="3" applyNumberFormat="1" applyFont="1" applyFill="1" applyBorder="1" applyAlignment="1">
      <alignment horizontal="center"/>
    </xf>
    <xf numFmtId="167" fontId="4" fillId="4" borderId="3" xfId="0" applyNumberFormat="1" applyFont="1" applyFill="1" applyBorder="1" applyAlignment="1">
      <alignment horizontal="right"/>
    </xf>
    <xf numFmtId="1" fontId="4" fillId="0" borderId="47" xfId="0" applyNumberFormat="1" applyFont="1" applyFill="1" applyBorder="1" applyAlignment="1">
      <alignment horizontal="center"/>
    </xf>
    <xf numFmtId="167" fontId="4" fillId="0" borderId="99" xfId="17" applyNumberFormat="1" applyBorder="1" applyAlignment="1">
      <alignment horizontal="right"/>
    </xf>
    <xf numFmtId="169" fontId="4" fillId="0" borderId="13" xfId="0" applyNumberFormat="1" applyFont="1" applyFill="1" applyBorder="1" applyAlignment="1">
      <alignment horizontal="right"/>
    </xf>
    <xf numFmtId="167" fontId="4" fillId="0" borderId="13" xfId="0" applyNumberFormat="1" applyFont="1" applyFill="1" applyBorder="1" applyAlignment="1">
      <alignment horizontal="right"/>
    </xf>
    <xf numFmtId="0" fontId="4" fillId="2" borderId="4" xfId="0" applyNumberFormat="1" applyFont="1" applyFill="1" applyBorder="1"/>
    <xf numFmtId="164" fontId="4" fillId="2" borderId="5" xfId="0" applyNumberFormat="1" applyFont="1" applyFill="1" applyBorder="1"/>
    <xf numFmtId="0" fontId="3" fillId="0" borderId="16" xfId="0" applyFont="1" applyBorder="1" applyAlignment="1">
      <alignment horizontal="center"/>
    </xf>
    <xf numFmtId="0" fontId="3" fillId="0" borderId="100" xfId="0" applyFont="1" applyBorder="1"/>
    <xf numFmtId="167" fontId="10" fillId="0" borderId="30" xfId="0" applyNumberFormat="1" applyFont="1" applyFill="1" applyBorder="1"/>
    <xf numFmtId="167" fontId="10" fillId="0" borderId="29" xfId="0" applyNumberFormat="1" applyFont="1" applyFill="1" applyBorder="1"/>
    <xf numFmtId="167" fontId="10" fillId="0" borderId="3" xfId="0" applyNumberFormat="1" applyFont="1" applyFill="1" applyBorder="1"/>
    <xf numFmtId="164" fontId="3" fillId="0" borderId="102" xfId="0" applyNumberFormat="1" applyFont="1" applyFill="1" applyBorder="1" applyAlignment="1">
      <alignment horizontal="center"/>
    </xf>
    <xf numFmtId="164" fontId="3" fillId="0" borderId="106" xfId="0" applyNumberFormat="1" applyFont="1" applyFill="1" applyBorder="1" applyAlignment="1">
      <alignment horizontal="center"/>
    </xf>
    <xf numFmtId="164" fontId="3" fillId="0" borderId="107" xfId="0" applyNumberFormat="1" applyFont="1" applyFill="1" applyBorder="1" applyAlignment="1">
      <alignment horizontal="center"/>
    </xf>
    <xf numFmtId="164" fontId="3" fillId="0" borderId="103" xfId="0" applyNumberFormat="1" applyFont="1" applyFill="1" applyBorder="1" applyAlignment="1">
      <alignment horizontal="center"/>
    </xf>
    <xf numFmtId="0" fontId="3" fillId="0" borderId="117" xfId="0" applyFont="1" applyBorder="1"/>
    <xf numFmtId="0" fontId="3" fillId="0" borderId="118" xfId="0" applyFont="1" applyBorder="1"/>
    <xf numFmtId="167" fontId="3" fillId="0" borderId="33" xfId="0" applyNumberFormat="1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33" xfId="0" applyNumberFormat="1" applyFont="1" applyFill="1" applyBorder="1" applyAlignment="1">
      <alignment horizontal="center"/>
    </xf>
    <xf numFmtId="167" fontId="3" fillId="0" borderId="38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4" fillId="0" borderId="29" xfId="0" applyNumberFormat="1" applyFont="1" applyBorder="1"/>
    <xf numFmtId="167" fontId="4" fillId="0" borderId="30" xfId="0" applyNumberFormat="1" applyFont="1" applyBorder="1"/>
    <xf numFmtId="167" fontId="4" fillId="0" borderId="3" xfId="0" applyNumberFormat="1" applyFont="1" applyBorder="1"/>
    <xf numFmtId="167" fontId="4" fillId="0" borderId="29" xfId="0" applyNumberFormat="1" applyFont="1" applyFill="1" applyBorder="1"/>
    <xf numFmtId="167" fontId="4" fillId="0" borderId="27" xfId="0" applyNumberFormat="1" applyFont="1" applyBorder="1"/>
    <xf numFmtId="167" fontId="4" fillId="0" borderId="28" xfId="1" applyNumberFormat="1" applyFont="1" applyBorder="1"/>
    <xf numFmtId="167" fontId="4" fillId="0" borderId="7" xfId="1" applyNumberFormat="1" applyFont="1" applyBorder="1"/>
    <xf numFmtId="167" fontId="4" fillId="0" borderId="28" xfId="1" applyNumberFormat="1" applyFont="1" applyFill="1" applyBorder="1"/>
    <xf numFmtId="167" fontId="4" fillId="0" borderId="7" xfId="1" applyNumberFormat="1" applyFont="1" applyFill="1" applyBorder="1"/>
    <xf numFmtId="167" fontId="4" fillId="0" borderId="34" xfId="0" applyNumberFormat="1" applyFont="1" applyBorder="1"/>
    <xf numFmtId="167" fontId="4" fillId="0" borderId="35" xfId="1" applyNumberFormat="1" applyFont="1" applyBorder="1"/>
    <xf numFmtId="167" fontId="4" fillId="0" borderId="26" xfId="1" applyNumberFormat="1" applyFont="1" applyBorder="1"/>
    <xf numFmtId="167" fontId="4" fillId="0" borderId="34" xfId="0" applyNumberFormat="1" applyFont="1" applyFill="1" applyBorder="1"/>
    <xf numFmtId="167" fontId="4" fillId="0" borderId="35" xfId="1" applyNumberFormat="1" applyFont="1" applyFill="1" applyBorder="1"/>
    <xf numFmtId="167" fontId="4" fillId="0" borderId="26" xfId="1" applyNumberFormat="1" applyFont="1" applyFill="1" applyBorder="1"/>
    <xf numFmtId="167" fontId="3" fillId="0" borderId="82" xfId="0" applyNumberFormat="1" applyFont="1" applyBorder="1"/>
    <xf numFmtId="167" fontId="3" fillId="0" borderId="83" xfId="1" applyNumberFormat="1" applyFont="1" applyBorder="1"/>
    <xf numFmtId="167" fontId="3" fillId="0" borderId="85" xfId="0" applyNumberFormat="1" applyFont="1" applyBorder="1"/>
    <xf numFmtId="167" fontId="3" fillId="0" borderId="85" xfId="1" applyNumberFormat="1" applyFont="1" applyBorder="1"/>
    <xf numFmtId="167" fontId="3" fillId="0" borderId="82" xfId="0" applyNumberFormat="1" applyFont="1" applyFill="1" applyBorder="1"/>
    <xf numFmtId="167" fontId="3" fillId="0" borderId="83" xfId="1" applyNumberFormat="1" applyFont="1" applyFill="1" applyBorder="1"/>
    <xf numFmtId="167" fontId="3" fillId="0" borderId="85" xfId="0" applyNumberFormat="1" applyFont="1" applyFill="1" applyBorder="1"/>
    <xf numFmtId="167" fontId="3" fillId="0" borderId="85" xfId="1" applyNumberFormat="1" applyFont="1" applyFill="1" applyBorder="1"/>
    <xf numFmtId="167" fontId="3" fillId="0" borderId="86" xfId="1" applyNumberFormat="1" applyFont="1" applyFill="1" applyBorder="1"/>
    <xf numFmtId="167" fontId="4" fillId="0" borderId="30" xfId="1" applyNumberFormat="1" applyFont="1" applyBorder="1"/>
    <xf numFmtId="167" fontId="4" fillId="0" borderId="3" xfId="1" applyNumberFormat="1" applyFont="1" applyBorder="1"/>
    <xf numFmtId="167" fontId="4" fillId="0" borderId="30" xfId="1" applyNumberFormat="1" applyFont="1" applyFill="1" applyBorder="1"/>
    <xf numFmtId="167" fontId="4" fillId="0" borderId="3" xfId="1" applyNumberFormat="1" applyFont="1" applyFill="1" applyBorder="1"/>
    <xf numFmtId="167" fontId="4" fillId="2" borderId="30" xfId="1" applyNumberFormat="1" applyFont="1" applyFill="1" applyBorder="1"/>
    <xf numFmtId="167" fontId="4" fillId="0" borderId="35" xfId="1" applyNumberFormat="1" applyFont="1" applyBorder="1" applyAlignment="1">
      <alignment horizontal="right"/>
    </xf>
    <xf numFmtId="167" fontId="4" fillId="0" borderId="26" xfId="0" applyNumberFormat="1" applyFont="1" applyBorder="1" applyAlignment="1">
      <alignment horizontal="right"/>
    </xf>
    <xf numFmtId="167" fontId="4" fillId="0" borderId="26" xfId="1" applyNumberFormat="1" applyFont="1" applyBorder="1" applyAlignment="1">
      <alignment horizontal="right"/>
    </xf>
    <xf numFmtId="167" fontId="4" fillId="0" borderId="34" xfId="0" applyNumberFormat="1" applyFont="1" applyFill="1" applyBorder="1" applyAlignment="1">
      <alignment horizontal="right"/>
    </xf>
    <xf numFmtId="167" fontId="4" fillId="0" borderId="35" xfId="1" applyNumberFormat="1" applyFont="1" applyFill="1" applyBorder="1" applyAlignment="1">
      <alignment horizontal="right"/>
    </xf>
    <xf numFmtId="167" fontId="3" fillId="0" borderId="83" xfId="1" applyNumberFormat="1" applyFont="1" applyBorder="1" applyAlignment="1">
      <alignment horizontal="right"/>
    </xf>
    <xf numFmtId="167" fontId="3" fillId="0" borderId="85" xfId="0" applyNumberFormat="1" applyFont="1" applyBorder="1" applyAlignment="1">
      <alignment horizontal="right"/>
    </xf>
    <xf numFmtId="167" fontId="3" fillId="0" borderId="85" xfId="1" applyNumberFormat="1" applyFont="1" applyBorder="1" applyAlignment="1">
      <alignment horizontal="right"/>
    </xf>
    <xf numFmtId="167" fontId="3" fillId="0" borderId="82" xfId="0" applyNumberFormat="1" applyFont="1" applyFill="1" applyBorder="1" applyAlignment="1">
      <alignment horizontal="right"/>
    </xf>
    <xf numFmtId="167" fontId="3" fillId="0" borderId="83" xfId="1" applyNumberFormat="1" applyFont="1" applyFill="1" applyBorder="1" applyAlignment="1">
      <alignment horizontal="right"/>
    </xf>
    <xf numFmtId="167" fontId="4" fillId="0" borderId="33" xfId="0" applyNumberFormat="1" applyFont="1" applyBorder="1"/>
    <xf numFmtId="167" fontId="3" fillId="0" borderId="38" xfId="1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right"/>
    </xf>
    <xf numFmtId="167" fontId="4" fillId="0" borderId="33" xfId="0" applyNumberFormat="1" applyFont="1" applyFill="1" applyBorder="1" applyAlignment="1">
      <alignment horizontal="right"/>
    </xf>
    <xf numFmtId="167" fontId="3" fillId="0" borderId="38" xfId="1" applyNumberFormat="1" applyFont="1" applyFill="1" applyBorder="1" applyAlignment="1">
      <alignment horizontal="right"/>
    </xf>
    <xf numFmtId="167" fontId="3" fillId="0" borderId="0" xfId="1" applyNumberFormat="1" applyFont="1" applyFill="1" applyBorder="1"/>
    <xf numFmtId="167" fontId="4" fillId="0" borderId="33" xfId="0" applyNumberFormat="1" applyFont="1" applyFill="1" applyBorder="1"/>
    <xf numFmtId="167" fontId="3" fillId="0" borderId="38" xfId="1" applyNumberFormat="1" applyFont="1" applyFill="1" applyBorder="1"/>
    <xf numFmtId="167" fontId="10" fillId="0" borderId="30" xfId="0" applyNumberFormat="1" applyFont="1" applyBorder="1"/>
    <xf numFmtId="0" fontId="2" fillId="0" borderId="0" xfId="0" applyFont="1" applyFill="1" applyAlignment="1" applyProtection="1"/>
    <xf numFmtId="0" fontId="2" fillId="0" borderId="0" xfId="0" applyFont="1"/>
    <xf numFmtId="0" fontId="6" fillId="0" borderId="0" xfId="0" applyFont="1" applyFill="1" applyAlignment="1" applyProtection="1">
      <alignment horizontal="center"/>
    </xf>
    <xf numFmtId="5" fontId="4" fillId="0" borderId="30" xfId="0" applyNumberFormat="1" applyFont="1" applyFill="1" applyBorder="1" applyAlignment="1">
      <alignment horizontal="right"/>
    </xf>
    <xf numFmtId="167" fontId="4" fillId="0" borderId="11" xfId="17" applyNumberFormat="1" applyBorder="1" applyAlignment="1">
      <alignment horizontal="right"/>
    </xf>
    <xf numFmtId="5" fontId="4" fillId="0" borderId="13" xfId="0" applyNumberFormat="1" applyFont="1" applyBorder="1" applyAlignment="1">
      <alignment horizontal="right"/>
    </xf>
    <xf numFmtId="167" fontId="4" fillId="0" borderId="99" xfId="17" applyNumberFormat="1" applyFill="1" applyBorder="1" applyAlignment="1">
      <alignment horizontal="right"/>
    </xf>
    <xf numFmtId="167" fontId="4" fillId="0" borderId="13" xfId="0" applyNumberFormat="1" applyFont="1" applyBorder="1" applyAlignment="1">
      <alignment horizontal="right"/>
    </xf>
    <xf numFmtId="164" fontId="3" fillId="0" borderId="10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16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4" fillId="0" borderId="24" xfId="0" applyFont="1" applyBorder="1"/>
    <xf numFmtId="171" fontId="4" fillId="0" borderId="24" xfId="0" applyNumberFormat="1" applyFont="1" applyBorder="1"/>
    <xf numFmtId="171" fontId="4" fillId="0" borderId="123" xfId="0" applyNumberFormat="1" applyFont="1" applyBorder="1"/>
    <xf numFmtId="0" fontId="4" fillId="0" borderId="40" xfId="0" applyFont="1" applyBorder="1"/>
    <xf numFmtId="0" fontId="4" fillId="4" borderId="122" xfId="0" applyFont="1" applyFill="1" applyBorder="1"/>
    <xf numFmtId="0" fontId="3" fillId="0" borderId="64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15" xfId="0" applyFont="1" applyBorder="1" applyAlignment="1">
      <alignment horizontal="left"/>
    </xf>
    <xf numFmtId="171" fontId="3" fillId="0" borderId="86" xfId="0" applyNumberFormat="1" applyFont="1" applyBorder="1"/>
    <xf numFmtId="0" fontId="3" fillId="0" borderId="41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3" fontId="4" fillId="0" borderId="66" xfId="0" applyNumberFormat="1" applyFont="1" applyBorder="1"/>
    <xf numFmtId="0" fontId="4" fillId="4" borderId="109" xfId="0" applyFont="1" applyFill="1" applyBorder="1"/>
    <xf numFmtId="0" fontId="3" fillId="0" borderId="118" xfId="0" applyFont="1" applyBorder="1" applyAlignment="1">
      <alignment horizontal="left" indent="4"/>
    </xf>
    <xf numFmtId="0" fontId="4" fillId="0" borderId="66" xfId="0" applyFont="1" applyBorder="1"/>
    <xf numFmtId="167" fontId="3" fillId="0" borderId="62" xfId="1" applyNumberFormat="1" applyFont="1" applyBorder="1"/>
    <xf numFmtId="167" fontId="4" fillId="0" borderId="57" xfId="0" applyNumberFormat="1" applyFont="1" applyBorder="1"/>
    <xf numFmtId="167" fontId="3" fillId="0" borderId="57" xfId="1" applyNumberFormat="1" applyFont="1" applyBorder="1"/>
    <xf numFmtId="167" fontId="4" fillId="0" borderId="66" xfId="0" applyNumberFormat="1" applyFont="1" applyFill="1" applyBorder="1"/>
    <xf numFmtId="167" fontId="3" fillId="0" borderId="62" xfId="1" applyNumberFormat="1" applyFont="1" applyFill="1" applyBorder="1"/>
    <xf numFmtId="167" fontId="4" fillId="0" borderId="57" xfId="0" applyNumberFormat="1" applyFont="1" applyFill="1" applyBorder="1"/>
    <xf numFmtId="167" fontId="3" fillId="0" borderId="57" xfId="1" applyNumberFormat="1" applyFont="1" applyFill="1" applyBorder="1"/>
    <xf numFmtId="0" fontId="4" fillId="0" borderId="125" xfId="0" applyFont="1" applyBorder="1"/>
    <xf numFmtId="0" fontId="4" fillId="0" borderId="103" xfId="0" applyFont="1" applyBorder="1"/>
    <xf numFmtId="0" fontId="4" fillId="0" borderId="104" xfId="0" applyFont="1" applyBorder="1"/>
    <xf numFmtId="167" fontId="4" fillId="0" borderId="128" xfId="11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7" fontId="4" fillId="0" borderId="131" xfId="0" applyNumberFormat="1" applyFont="1" applyFill="1" applyBorder="1" applyAlignment="1">
      <alignment horizontal="right"/>
    </xf>
    <xf numFmtId="0" fontId="4" fillId="0" borderId="47" xfId="0" applyNumberFormat="1" applyFont="1" applyFill="1" applyBorder="1" applyAlignment="1">
      <alignment horizontal="center"/>
    </xf>
    <xf numFmtId="167" fontId="4" fillId="0" borderId="11" xfId="0" applyNumberFormat="1" applyFont="1" applyFill="1" applyBorder="1"/>
    <xf numFmtId="0" fontId="4" fillId="2" borderId="39" xfId="0" applyNumberFormat="1" applyFont="1" applyFill="1" applyBorder="1"/>
    <xf numFmtId="3" fontId="4" fillId="0" borderId="22" xfId="0" applyNumberFormat="1" applyFont="1" applyBorder="1" applyAlignment="1">
      <alignment horizontal="center"/>
    </xf>
    <xf numFmtId="168" fontId="4" fillId="2" borderId="23" xfId="0" applyNumberFormat="1" applyFont="1" applyFill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164" fontId="3" fillId="0" borderId="124" xfId="0" applyNumberFormat="1" applyFont="1" applyFill="1" applyBorder="1" applyAlignment="1">
      <alignment horizontal="center"/>
    </xf>
    <xf numFmtId="167" fontId="3" fillId="0" borderId="76" xfId="0" applyNumberFormat="1" applyFont="1" applyFill="1" applyBorder="1" applyAlignment="1">
      <alignment horizontal="center"/>
    </xf>
    <xf numFmtId="164" fontId="3" fillId="0" borderId="84" xfId="0" applyNumberFormat="1" applyFont="1" applyFill="1" applyBorder="1" applyAlignment="1">
      <alignment horizontal="center"/>
    </xf>
    <xf numFmtId="167" fontId="3" fillId="0" borderId="129" xfId="0" applyNumberFormat="1" applyFont="1" applyFill="1" applyBorder="1" applyAlignment="1">
      <alignment horizontal="center"/>
    </xf>
    <xf numFmtId="164" fontId="3" fillId="0" borderId="130" xfId="0" applyNumberFormat="1" applyFont="1" applyFill="1" applyBorder="1" applyAlignment="1">
      <alignment horizontal="center"/>
    </xf>
    <xf numFmtId="164" fontId="3" fillId="0" borderId="78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19" xfId="0" applyNumberFormat="1" applyFont="1" applyFill="1" applyBorder="1" applyAlignment="1">
      <alignment horizontal="center"/>
    </xf>
    <xf numFmtId="164" fontId="3" fillId="0" borderId="110" xfId="0" applyNumberFormat="1" applyFont="1" applyFill="1" applyBorder="1" applyAlignment="1">
      <alignment horizontal="center"/>
    </xf>
    <xf numFmtId="164" fontId="3" fillId="0" borderId="89" xfId="0" applyNumberFormat="1" applyFont="1" applyFill="1" applyBorder="1" applyAlignment="1">
      <alignment horizontal="center"/>
    </xf>
    <xf numFmtId="0" fontId="3" fillId="0" borderId="132" xfId="0" applyFont="1" applyBorder="1" applyAlignment="1">
      <alignment horizontal="center"/>
    </xf>
    <xf numFmtId="171" fontId="4" fillId="0" borderId="133" xfId="0" applyNumberFormat="1" applyFont="1" applyBorder="1"/>
    <xf numFmtId="171" fontId="4" fillId="0" borderId="134" xfId="0" applyNumberFormat="1" applyFont="1" applyBorder="1"/>
    <xf numFmtId="164" fontId="3" fillId="0" borderId="84" xfId="0" applyNumberFormat="1" applyFont="1" applyBorder="1" applyAlignment="1">
      <alignment horizontal="center"/>
    </xf>
    <xf numFmtId="164" fontId="3" fillId="0" borderId="119" xfId="0" applyNumberFormat="1" applyFont="1" applyBorder="1" applyAlignment="1">
      <alignment horizontal="center"/>
    </xf>
    <xf numFmtId="164" fontId="3" fillId="0" borderId="124" xfId="0" applyNumberFormat="1" applyFont="1" applyBorder="1" applyAlignment="1">
      <alignment horizontal="center"/>
    </xf>
    <xf numFmtId="164" fontId="3" fillId="0" borderId="76" xfId="0" applyNumberFormat="1" applyFont="1" applyBorder="1" applyAlignment="1">
      <alignment horizontal="center"/>
    </xf>
    <xf numFmtId="164" fontId="3" fillId="0" borderId="102" xfId="0" applyNumberFormat="1" applyFont="1" applyBorder="1" applyAlignment="1">
      <alignment horizontal="center"/>
    </xf>
    <xf numFmtId="164" fontId="3" fillId="0" borderId="105" xfId="0" applyNumberFormat="1" applyFont="1" applyFill="1" applyBorder="1" applyAlignment="1">
      <alignment horizontal="center"/>
    </xf>
    <xf numFmtId="171" fontId="3" fillId="0" borderId="136" xfId="0" applyNumberFormat="1" applyFont="1" applyBorder="1"/>
    <xf numFmtId="171" fontId="3" fillId="0" borderId="135" xfId="0" applyNumberFormat="1" applyFont="1" applyBorder="1"/>
    <xf numFmtId="166" fontId="4" fillId="0" borderId="123" xfId="1" applyNumberFormat="1" applyFont="1" applyFill="1" applyBorder="1"/>
    <xf numFmtId="0" fontId="3" fillId="0" borderId="17" xfId="0" applyFont="1" applyBorder="1"/>
    <xf numFmtId="0" fontId="4" fillId="0" borderId="139" xfId="0" applyFont="1" applyBorder="1"/>
    <xf numFmtId="166" fontId="3" fillId="0" borderId="140" xfId="1" applyNumberFormat="1" applyFont="1" applyBorder="1"/>
    <xf numFmtId="0" fontId="4" fillId="0" borderId="141" xfId="0" applyFont="1" applyBorder="1"/>
    <xf numFmtId="166" fontId="3" fillId="0" borderId="141" xfId="1" applyNumberFormat="1" applyFont="1" applyBorder="1"/>
    <xf numFmtId="0" fontId="4" fillId="0" borderId="139" xfId="0" applyFont="1" applyFill="1" applyBorder="1"/>
    <xf numFmtId="166" fontId="3" fillId="0" borderId="140" xfId="1" applyNumberFormat="1" applyFont="1" applyFill="1" applyBorder="1"/>
    <xf numFmtId="0" fontId="4" fillId="0" borderId="141" xfId="0" applyFont="1" applyFill="1" applyBorder="1"/>
    <xf numFmtId="166" fontId="3" fillId="0" borderId="141" xfId="1" applyNumberFormat="1" applyFont="1" applyFill="1" applyBorder="1"/>
    <xf numFmtId="166" fontId="3" fillId="0" borderId="142" xfId="1" applyNumberFormat="1" applyFont="1" applyFill="1" applyBorder="1"/>
    <xf numFmtId="0" fontId="4" fillId="0" borderId="143" xfId="0" applyFont="1" applyBorder="1"/>
    <xf numFmtId="0" fontId="3" fillId="0" borderId="141" xfId="0" applyFont="1" applyBorder="1"/>
    <xf numFmtId="0" fontId="3" fillId="0" borderId="139" xfId="0" applyFont="1" applyFill="1" applyBorder="1"/>
    <xf numFmtId="0" fontId="3" fillId="0" borderId="141" xfId="0" applyFont="1" applyFill="1" applyBorder="1"/>
    <xf numFmtId="0" fontId="3" fillId="0" borderId="143" xfId="0" applyFont="1" applyBorder="1"/>
    <xf numFmtId="0" fontId="3" fillId="0" borderId="144" xfId="0" applyFont="1" applyBorder="1" applyAlignment="1">
      <alignment horizontal="center" wrapText="1"/>
    </xf>
    <xf numFmtId="0" fontId="3" fillId="0" borderId="145" xfId="0" applyFont="1" applyBorder="1" applyAlignment="1">
      <alignment horizontal="center" wrapText="1"/>
    </xf>
    <xf numFmtId="0" fontId="4" fillId="0" borderId="133" xfId="0" applyFont="1" applyBorder="1"/>
    <xf numFmtId="171" fontId="3" fillId="0" borderId="137" xfId="0" applyNumberFormat="1" applyFont="1" applyBorder="1"/>
    <xf numFmtId="0" fontId="4" fillId="0" borderId="146" xfId="0" applyFont="1" applyBorder="1"/>
    <xf numFmtId="0" fontId="4" fillId="4" borderId="132" xfId="0" applyFont="1" applyFill="1" applyBorder="1"/>
    <xf numFmtId="0" fontId="3" fillId="0" borderId="138" xfId="0" applyFont="1" applyBorder="1" applyAlignment="1">
      <alignment horizontal="left" indent="3"/>
    </xf>
    <xf numFmtId="0" fontId="3" fillId="0" borderId="138" xfId="0" applyFont="1" applyBorder="1" applyAlignment="1">
      <alignment horizontal="left" indent="4"/>
    </xf>
    <xf numFmtId="164" fontId="4" fillId="0" borderId="115" xfId="0" applyNumberFormat="1" applyFont="1" applyBorder="1" applyAlignment="1">
      <alignment horizontal="center"/>
    </xf>
    <xf numFmtId="164" fontId="4" fillId="0" borderId="121" xfId="0" applyNumberFormat="1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4" fillId="0" borderId="51" xfId="0" applyFont="1" applyBorder="1" applyAlignment="1">
      <alignment horizontal="left" indent="1"/>
    </xf>
    <xf numFmtId="0" fontId="6" fillId="0" borderId="41" xfId="0" applyFont="1" applyBorder="1" applyAlignment="1"/>
    <xf numFmtId="3" fontId="4" fillId="0" borderId="24" xfId="0" applyNumberFormat="1" applyFont="1" applyBorder="1"/>
    <xf numFmtId="3" fontId="4" fillId="0" borderId="41" xfId="0" applyNumberFormat="1" applyFont="1" applyBorder="1"/>
    <xf numFmtId="3" fontId="4" fillId="0" borderId="2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4" fillId="0" borderId="41" xfId="1" applyNumberFormat="1" applyFont="1" applyFill="1" applyBorder="1"/>
    <xf numFmtId="0" fontId="4" fillId="0" borderId="120" xfId="0" applyFont="1" applyFill="1" applyBorder="1" applyAlignment="1">
      <alignment horizontal="center"/>
    </xf>
    <xf numFmtId="166" fontId="3" fillId="0" borderId="142" xfId="0" applyNumberFormat="1" applyFont="1" applyBorder="1"/>
    <xf numFmtId="3" fontId="4" fillId="0" borderId="141" xfId="0" applyNumberFormat="1" applyFont="1" applyBorder="1"/>
    <xf numFmtId="3" fontId="3" fillId="0" borderId="141" xfId="1" applyNumberFormat="1" applyFont="1" applyBorder="1"/>
    <xf numFmtId="3" fontId="4" fillId="0" borderId="139" xfId="0" applyNumberFormat="1" applyFont="1" applyBorder="1"/>
    <xf numFmtId="3" fontId="4" fillId="0" borderId="139" xfId="0" applyNumberFormat="1" applyFont="1" applyFill="1" applyBorder="1"/>
    <xf numFmtId="3" fontId="3" fillId="0" borderId="140" xfId="1" applyNumberFormat="1" applyFont="1" applyFill="1" applyBorder="1"/>
    <xf numFmtId="3" fontId="4" fillId="0" borderId="141" xfId="0" applyNumberFormat="1" applyFont="1" applyFill="1" applyBorder="1"/>
    <xf numFmtId="3" fontId="3" fillId="0" borderId="141" xfId="1" applyNumberFormat="1" applyFont="1" applyFill="1" applyBorder="1"/>
    <xf numFmtId="3" fontId="3" fillId="0" borderId="142" xfId="1" applyNumberFormat="1" applyFont="1" applyFill="1" applyBorder="1"/>
    <xf numFmtId="164" fontId="4" fillId="0" borderId="7" xfId="3" applyNumberFormat="1" applyFont="1" applyFill="1" applyBorder="1"/>
    <xf numFmtId="164" fontId="3" fillId="0" borderId="7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33" xfId="0" applyFont="1" applyBorder="1"/>
    <xf numFmtId="0" fontId="4" fillId="0" borderId="33" xfId="0" applyFont="1" applyFill="1" applyBorder="1"/>
    <xf numFmtId="164" fontId="4" fillId="0" borderId="28" xfId="3" applyNumberFormat="1" applyFont="1" applyFill="1" applyBorder="1"/>
    <xf numFmtId="164" fontId="3" fillId="0" borderId="129" xfId="0" applyNumberFormat="1" applyFont="1" applyFill="1" applyBorder="1" applyAlignment="1">
      <alignment horizontal="center"/>
    </xf>
    <xf numFmtId="167" fontId="4" fillId="0" borderId="128" xfId="13" applyNumberFormat="1" applyBorder="1"/>
    <xf numFmtId="169" fontId="4" fillId="0" borderId="131" xfId="0" applyNumberFormat="1" applyFont="1" applyFill="1" applyBorder="1" applyAlignment="1">
      <alignment horizontal="right"/>
    </xf>
    <xf numFmtId="167" fontId="4" fillId="0" borderId="148" xfId="13" applyNumberFormat="1" applyBorder="1"/>
    <xf numFmtId="164" fontId="3" fillId="0" borderId="129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7" fontId="4" fillId="0" borderId="128" xfId="13" applyNumberFormat="1" applyFill="1" applyBorder="1"/>
    <xf numFmtId="167" fontId="4" fillId="0" borderId="131" xfId="0" applyNumberFormat="1" applyFont="1" applyBorder="1" applyAlignment="1">
      <alignment horizontal="right"/>
    </xf>
    <xf numFmtId="164" fontId="3" fillId="0" borderId="130" xfId="0" applyNumberFormat="1" applyFont="1" applyBorder="1" applyAlignment="1">
      <alignment horizontal="center"/>
    </xf>
    <xf numFmtId="167" fontId="4" fillId="0" borderId="12" xfId="13" applyNumberFormat="1" applyBorder="1"/>
    <xf numFmtId="0" fontId="4" fillId="0" borderId="47" xfId="0" applyNumberFormat="1" applyFont="1" applyBorder="1" applyAlignment="1">
      <alignment horizontal="center"/>
    </xf>
    <xf numFmtId="5" fontId="4" fillId="0" borderId="13" xfId="0" applyNumberFormat="1" applyFont="1" applyBorder="1" applyAlignment="1"/>
    <xf numFmtId="171" fontId="4" fillId="0" borderId="146" xfId="0" applyNumberFormat="1" applyFont="1" applyBorder="1"/>
    <xf numFmtId="171" fontId="4" fillId="0" borderId="147" xfId="0" applyNumberFormat="1" applyFont="1" applyBorder="1"/>
    <xf numFmtId="0" fontId="10" fillId="0" borderId="27" xfId="0" applyFont="1" applyFill="1" applyBorder="1"/>
    <xf numFmtId="167" fontId="4" fillId="0" borderId="148" xfId="14" applyNumberFormat="1" applyBorder="1" applyAlignment="1">
      <alignment horizontal="right"/>
    </xf>
    <xf numFmtId="167" fontId="4" fillId="0" borderId="128" xfId="14" applyNumberFormat="1" applyBorder="1" applyAlignment="1">
      <alignment horizontal="right"/>
    </xf>
    <xf numFmtId="0" fontId="3" fillId="0" borderId="45" xfId="0" applyFont="1" applyBorder="1" applyAlignment="1">
      <alignment horizontal="left"/>
    </xf>
    <xf numFmtId="0" fontId="4" fillId="0" borderId="14" xfId="0" applyFont="1" applyBorder="1" applyAlignment="1">
      <alignment horizontal="left" indent="1"/>
    </xf>
    <xf numFmtId="0" fontId="4" fillId="0" borderId="27" xfId="0" applyFont="1" applyFill="1" applyBorder="1" applyAlignment="1">
      <alignment horizontal="right"/>
    </xf>
    <xf numFmtId="167" fontId="4" fillId="0" borderId="2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0" fillId="0" borderId="27" xfId="0" applyFont="1" applyFill="1" applyBorder="1" applyAlignment="1"/>
    <xf numFmtId="167" fontId="4" fillId="0" borderId="128" xfId="15" applyNumberFormat="1" applyBorder="1" applyAlignment="1">
      <alignment horizontal="right"/>
    </xf>
    <xf numFmtId="0" fontId="3" fillId="0" borderId="50" xfId="0" applyFont="1" applyBorder="1"/>
    <xf numFmtId="0" fontId="10" fillId="0" borderId="27" xfId="0" applyFont="1" applyFill="1" applyBorder="1" applyAlignment="1">
      <alignment horizontal="right"/>
    </xf>
    <xf numFmtId="167" fontId="4" fillId="0" borderId="128" xfId="16" applyNumberFormat="1" applyBorder="1" applyAlignment="1">
      <alignment horizontal="right"/>
    </xf>
    <xf numFmtId="167" fontId="4" fillId="0" borderId="148" xfId="16" applyNumberForma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7" fontId="10" fillId="0" borderId="36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3" fontId="4" fillId="0" borderId="123" xfId="0" applyNumberFormat="1" applyFont="1" applyBorder="1"/>
    <xf numFmtId="3" fontId="4" fillId="0" borderId="142" xfId="0" applyNumberFormat="1" applyFont="1" applyBorder="1"/>
    <xf numFmtId="3" fontId="4" fillId="0" borderId="86" xfId="0" applyNumberFormat="1" applyFont="1" applyBorder="1"/>
    <xf numFmtId="0" fontId="3" fillId="0" borderId="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71" fontId="4" fillId="0" borderId="123" xfId="0" applyNumberFormat="1" applyFont="1" applyFill="1" applyBorder="1"/>
    <xf numFmtId="164" fontId="4" fillId="0" borderId="115" xfId="0" applyNumberFormat="1" applyFont="1" applyBorder="1"/>
    <xf numFmtId="166" fontId="4" fillId="0" borderId="123" xfId="0" applyNumberFormat="1" applyFont="1" applyBorder="1"/>
    <xf numFmtId="171" fontId="4" fillId="27" borderId="24" xfId="0" applyNumberFormat="1" applyFont="1" applyFill="1" applyBorder="1"/>
    <xf numFmtId="166" fontId="4" fillId="0" borderId="69" xfId="0" applyNumberFormat="1" applyFont="1" applyBorder="1"/>
    <xf numFmtId="171" fontId="4" fillId="0" borderId="150" xfId="0" applyNumberFormat="1" applyFont="1" applyBorder="1"/>
    <xf numFmtId="0" fontId="4" fillId="0" borderId="115" xfId="0" applyFont="1" applyBorder="1"/>
    <xf numFmtId="171" fontId="4" fillId="27" borderId="134" xfId="0" applyNumberFormat="1" applyFont="1" applyFill="1" applyBorder="1"/>
    <xf numFmtId="0" fontId="8" fillId="0" borderId="0" xfId="0" applyFont="1" applyBorder="1" applyAlignment="1">
      <alignment horizontal="left" wrapText="1"/>
    </xf>
    <xf numFmtId="0" fontId="3" fillId="0" borderId="151" xfId="0" applyFont="1" applyFill="1" applyBorder="1" applyAlignment="1">
      <alignment horizontal="center"/>
    </xf>
    <xf numFmtId="0" fontId="3" fillId="0" borderId="49" xfId="0" applyFont="1" applyBorder="1" applyAlignment="1"/>
    <xf numFmtId="0" fontId="5" fillId="0" borderId="0" xfId="0" applyFont="1" applyAlignment="1">
      <alignment horizontal="center"/>
    </xf>
    <xf numFmtId="0" fontId="4" fillId="4" borderId="152" xfId="0" applyFont="1" applyFill="1" applyBorder="1"/>
    <xf numFmtId="3" fontId="3" fillId="0" borderId="44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4" fillId="0" borderId="44" xfId="0" applyNumberFormat="1" applyFont="1" applyBorder="1"/>
    <xf numFmtId="3" fontId="4" fillId="0" borderId="40" xfId="0" applyNumberFormat="1" applyFont="1" applyBorder="1"/>
    <xf numFmtId="3" fontId="4" fillId="0" borderId="65" xfId="0" applyNumberFormat="1" applyFont="1" applyBorder="1"/>
    <xf numFmtId="3" fontId="4" fillId="0" borderId="70" xfId="0" applyNumberFormat="1" applyFont="1" applyBorder="1"/>
    <xf numFmtId="3" fontId="3" fillId="0" borderId="87" xfId="0" applyNumberFormat="1" applyFont="1" applyBorder="1"/>
    <xf numFmtId="3" fontId="3" fillId="0" borderId="86" xfId="0" applyNumberFormat="1" applyFont="1" applyBorder="1"/>
    <xf numFmtId="3" fontId="4" fillId="0" borderId="58" xfId="0" applyNumberFormat="1" applyFont="1" applyBorder="1"/>
    <xf numFmtId="3" fontId="4" fillId="0" borderId="143" xfId="0" applyNumberFormat="1" applyFont="1" applyBorder="1"/>
    <xf numFmtId="3" fontId="4" fillId="0" borderId="48" xfId="0" applyNumberFormat="1" applyFont="1" applyBorder="1"/>
    <xf numFmtId="3" fontId="3" fillId="0" borderId="89" xfId="0" applyNumberFormat="1" applyFont="1" applyFill="1" applyBorder="1" applyAlignment="1">
      <alignment horizontal="center"/>
    </xf>
    <xf numFmtId="3" fontId="3" fillId="0" borderId="110" xfId="0" applyNumberFormat="1" applyFont="1" applyFill="1" applyBorder="1" applyAlignment="1">
      <alignment horizontal="center"/>
    </xf>
    <xf numFmtId="3" fontId="4" fillId="0" borderId="54" xfId="0" applyNumberFormat="1" applyFont="1" applyBorder="1"/>
    <xf numFmtId="3" fontId="4" fillId="0" borderId="69" xfId="0" applyNumberFormat="1" applyFont="1" applyBorder="1"/>
    <xf numFmtId="3" fontId="4" fillId="0" borderId="38" xfId="0" applyNumberFormat="1" applyFont="1" applyFill="1" applyBorder="1"/>
    <xf numFmtId="3" fontId="0" fillId="0" borderId="38" xfId="0" applyNumberFormat="1" applyFill="1" applyBorder="1"/>
    <xf numFmtId="3" fontId="0" fillId="4" borderId="38" xfId="0" applyNumberFormat="1" applyFill="1" applyBorder="1"/>
    <xf numFmtId="3" fontId="4" fillId="0" borderId="30" xfId="0" applyNumberFormat="1" applyFont="1" applyFill="1" applyBorder="1" applyAlignment="1">
      <alignment horizontal="right"/>
    </xf>
    <xf numFmtId="3" fontId="4" fillId="4" borderId="30" xfId="0" applyNumberFormat="1" applyFont="1" applyFill="1" applyBorder="1" applyAlignment="1">
      <alignment horizontal="center"/>
    </xf>
    <xf numFmtId="3" fontId="4" fillId="0" borderId="53" xfId="0" applyNumberFormat="1" applyFont="1" applyFill="1" applyBorder="1" applyAlignment="1">
      <alignment horizontal="right"/>
    </xf>
    <xf numFmtId="3" fontId="4" fillId="0" borderId="71" xfId="0" applyNumberFormat="1" applyFont="1" applyBorder="1"/>
    <xf numFmtId="3" fontId="4" fillId="0" borderId="20" xfId="0" applyNumberFormat="1" applyFont="1" applyFill="1" applyBorder="1"/>
    <xf numFmtId="3" fontId="4" fillId="4" borderId="5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/>
    </xf>
    <xf numFmtId="3" fontId="4" fillId="0" borderId="47" xfId="0" applyNumberFormat="1" applyFont="1" applyFill="1" applyBorder="1" applyAlignment="1">
      <alignment horizontal="center"/>
    </xf>
    <xf numFmtId="3" fontId="10" fillId="0" borderId="28" xfId="0" applyNumberFormat="1" applyFont="1" applyFill="1" applyBorder="1"/>
    <xf numFmtId="3" fontId="4" fillId="0" borderId="36" xfId="3" applyNumberFormat="1" applyFont="1" applyFill="1" applyBorder="1" applyAlignment="1">
      <alignment horizontal="right"/>
    </xf>
    <xf numFmtId="3" fontId="4" fillId="0" borderId="6" xfId="0" applyNumberFormat="1" applyFont="1" applyFill="1" applyBorder="1"/>
    <xf numFmtId="3" fontId="4" fillId="4" borderId="28" xfId="0" applyNumberFormat="1" applyFont="1" applyFill="1" applyBorder="1"/>
    <xf numFmtId="3" fontId="4" fillId="2" borderId="40" xfId="0" applyNumberFormat="1" applyFont="1" applyFill="1" applyBorder="1"/>
    <xf numFmtId="3" fontId="4" fillId="0" borderId="56" xfId="0" applyNumberFormat="1" applyFont="1" applyBorder="1"/>
    <xf numFmtId="3" fontId="4" fillId="4" borderId="30" xfId="0" applyNumberFormat="1" applyFont="1" applyFill="1" applyBorder="1"/>
    <xf numFmtId="3" fontId="4" fillId="2" borderId="24" xfId="0" applyNumberFormat="1" applyFont="1" applyFill="1" applyBorder="1"/>
    <xf numFmtId="3" fontId="4" fillId="0" borderId="29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4" fillId="4" borderId="36" xfId="0" applyNumberFormat="1" applyFont="1" applyFill="1" applyBorder="1" applyAlignment="1">
      <alignment horizontal="center"/>
    </xf>
    <xf numFmtId="3" fontId="4" fillId="2" borderId="69" xfId="0" applyNumberFormat="1" applyFont="1" applyFill="1" applyBorder="1" applyAlignment="1">
      <alignment horizontal="center"/>
    </xf>
    <xf numFmtId="3" fontId="3" fillId="0" borderId="124" xfId="0" applyNumberFormat="1" applyFont="1" applyFill="1" applyBorder="1" applyAlignment="1">
      <alignment horizontal="center"/>
    </xf>
    <xf numFmtId="3" fontId="3" fillId="0" borderId="119" xfId="0" applyNumberFormat="1" applyFont="1" applyFill="1" applyBorder="1" applyAlignment="1">
      <alignment horizontal="center"/>
    </xf>
    <xf numFmtId="3" fontId="3" fillId="0" borderId="130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11" xfId="0" applyNumberFormat="1" applyFont="1" applyFill="1" applyBorder="1"/>
    <xf numFmtId="3" fontId="4" fillId="2" borderId="10" xfId="0" applyNumberFormat="1" applyFont="1" applyFill="1" applyBorder="1"/>
    <xf numFmtId="3" fontId="4" fillId="2" borderId="39" xfId="0" applyNumberFormat="1" applyFont="1" applyFill="1" applyBorder="1"/>
    <xf numFmtId="3" fontId="4" fillId="0" borderId="9" xfId="0" applyNumberFormat="1" applyFont="1" applyBorder="1"/>
    <xf numFmtId="3" fontId="4" fillId="0" borderId="5" xfId="0" applyNumberFormat="1" applyFont="1" applyFill="1" applyBorder="1" applyAlignment="1">
      <alignment horizontal="center"/>
    </xf>
    <xf numFmtId="3" fontId="4" fillId="2" borderId="47" xfId="0" applyNumberFormat="1" applyFont="1" applyFill="1" applyBorder="1"/>
    <xf numFmtId="3" fontId="4" fillId="2" borderId="23" xfId="0" applyNumberFormat="1" applyFont="1" applyFill="1" applyBorder="1" applyAlignment="1">
      <alignment horizontal="center"/>
    </xf>
    <xf numFmtId="3" fontId="4" fillId="0" borderId="23" xfId="0" applyNumberFormat="1" applyFont="1" applyBorder="1"/>
    <xf numFmtId="3" fontId="4" fillId="0" borderId="7" xfId="0" applyNumberFormat="1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3" fontId="10" fillId="2" borderId="42" xfId="0" applyNumberFormat="1" applyFont="1" applyFill="1" applyBorder="1" applyAlignment="1">
      <alignment horizontal="right"/>
    </xf>
    <xf numFmtId="3" fontId="4" fillId="0" borderId="56" xfId="0" applyNumberFormat="1" applyFont="1" applyFill="1" applyBorder="1"/>
    <xf numFmtId="3" fontId="4" fillId="0" borderId="6" xfId="0" applyNumberFormat="1" applyFont="1" applyFill="1" applyBorder="1" applyAlignment="1">
      <alignment horizontal="right"/>
    </xf>
    <xf numFmtId="3" fontId="4" fillId="2" borderId="69" xfId="3" applyNumberFormat="1" applyFont="1" applyFill="1" applyBorder="1" applyAlignment="1">
      <alignment horizontal="right"/>
    </xf>
    <xf numFmtId="3" fontId="4" fillId="0" borderId="87" xfId="0" applyNumberFormat="1" applyFont="1" applyBorder="1"/>
    <xf numFmtId="3" fontId="10" fillId="0" borderId="30" xfId="0" applyNumberFormat="1" applyFont="1" applyFill="1" applyBorder="1"/>
    <xf numFmtId="3" fontId="10" fillId="0" borderId="24" xfId="0" applyNumberFormat="1" applyFont="1" applyFill="1" applyBorder="1"/>
    <xf numFmtId="3" fontId="10" fillId="0" borderId="38" xfId="0" applyNumberFormat="1" applyFont="1" applyFill="1" applyBorder="1"/>
    <xf numFmtId="3" fontId="10" fillId="0" borderId="42" xfId="0" applyNumberFormat="1" applyFont="1" applyFill="1" applyBorder="1"/>
    <xf numFmtId="3" fontId="4" fillId="0" borderId="57" xfId="0" applyNumberFormat="1" applyFont="1" applyFill="1" applyBorder="1"/>
    <xf numFmtId="3" fontId="3" fillId="0" borderId="62" xfId="1" applyNumberFormat="1" applyFont="1" applyFill="1" applyBorder="1"/>
    <xf numFmtId="3" fontId="3" fillId="0" borderId="55" xfId="1" applyNumberFormat="1" applyFont="1" applyFill="1" applyBorder="1"/>
    <xf numFmtId="3" fontId="4" fillId="0" borderId="126" xfId="0" applyNumberFormat="1" applyFont="1" applyBorder="1"/>
    <xf numFmtId="3" fontId="3" fillId="0" borderId="55" xfId="0" applyNumberFormat="1" applyFont="1" applyBorder="1"/>
    <xf numFmtId="3" fontId="4" fillId="0" borderId="30" xfId="3" applyNumberFormat="1" applyFont="1" applyBorder="1" applyAlignment="1">
      <alignment horizontal="right"/>
    </xf>
    <xf numFmtId="3" fontId="4" fillId="4" borderId="30" xfId="0" applyNumberFormat="1" applyFont="1" applyFill="1" applyBorder="1" applyAlignment="1">
      <alignment horizontal="right"/>
    </xf>
    <xf numFmtId="3" fontId="4" fillId="2" borderId="24" xfId="0" applyNumberFormat="1" applyFont="1" applyFill="1" applyBorder="1" applyAlignment="1">
      <alignment horizontal="right"/>
    </xf>
    <xf numFmtId="3" fontId="4" fillId="0" borderId="0" xfId="0" applyNumberFormat="1" applyFont="1"/>
    <xf numFmtId="3" fontId="4" fillId="0" borderId="53" xfId="3" applyNumberFormat="1" applyFont="1" applyBorder="1" applyAlignment="1">
      <alignment horizontal="right"/>
    </xf>
    <xf numFmtId="3" fontId="4" fillId="4" borderId="53" xfId="0" applyNumberFormat="1" applyFont="1" applyFill="1" applyBorder="1" applyAlignment="1">
      <alignment horizontal="right"/>
    </xf>
    <xf numFmtId="3" fontId="4" fillId="2" borderId="6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78" xfId="0" applyNumberFormat="1" applyFont="1" applyFill="1" applyBorder="1" applyAlignment="1">
      <alignment horizontal="center"/>
    </xf>
    <xf numFmtId="3" fontId="3" fillId="0" borderId="121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/>
    <xf numFmtId="3" fontId="4" fillId="0" borderId="31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right"/>
    </xf>
    <xf numFmtId="3" fontId="4" fillId="2" borderId="6" xfId="0" applyNumberFormat="1" applyFont="1" applyFill="1" applyBorder="1"/>
    <xf numFmtId="3" fontId="4" fillId="0" borderId="42" xfId="0" applyNumberFormat="1" applyFont="1" applyBorder="1"/>
    <xf numFmtId="3" fontId="10" fillId="2" borderId="40" xfId="0" applyNumberFormat="1" applyFont="1" applyFill="1" applyBorder="1"/>
    <xf numFmtId="3" fontId="0" fillId="2" borderId="40" xfId="0" applyNumberFormat="1" applyFill="1" applyBorder="1"/>
    <xf numFmtId="3" fontId="4" fillId="0" borderId="30" xfId="3" applyNumberFormat="1" applyFont="1" applyFill="1" applyBorder="1"/>
    <xf numFmtId="3" fontId="0" fillId="2" borderId="24" xfId="0" applyNumberFormat="1" applyFill="1" applyBorder="1"/>
    <xf numFmtId="3" fontId="4" fillId="0" borderId="53" xfId="3" applyNumberFormat="1" applyFont="1" applyFill="1" applyBorder="1" applyAlignment="1">
      <alignment horizontal="center"/>
    </xf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3" fontId="4" fillId="0" borderId="121" xfId="0" applyNumberFormat="1" applyFont="1" applyFill="1" applyBorder="1"/>
    <xf numFmtId="3" fontId="4" fillId="0" borderId="120" xfId="0" applyNumberFormat="1" applyFont="1" applyFill="1" applyBorder="1" applyAlignment="1">
      <alignment horizontal="center"/>
    </xf>
    <xf numFmtId="3" fontId="10" fillId="2" borderId="42" xfId="0" applyNumberFormat="1" applyFont="1" applyFill="1" applyBorder="1"/>
    <xf numFmtId="3" fontId="4" fillId="0" borderId="3" xfId="3" applyNumberFormat="1" applyFont="1" applyFill="1" applyBorder="1"/>
    <xf numFmtId="3" fontId="0" fillId="4" borderId="30" xfId="0" applyNumberFormat="1" applyFill="1" applyBorder="1"/>
    <xf numFmtId="3" fontId="4" fillId="4" borderId="30" xfId="3" applyNumberFormat="1" applyFont="1" applyFill="1" applyBorder="1"/>
    <xf numFmtId="3" fontId="4" fillId="0" borderId="53" xfId="0" applyNumberFormat="1" applyFont="1" applyBorder="1" applyAlignment="1">
      <alignment horizontal="right"/>
    </xf>
    <xf numFmtId="3" fontId="4" fillId="4" borderId="53" xfId="3" applyNumberFormat="1" applyFont="1" applyFill="1" applyBorder="1"/>
    <xf numFmtId="3" fontId="4" fillId="2" borderId="60" xfId="3" applyNumberFormat="1" applyFont="1" applyFill="1" applyBorder="1"/>
    <xf numFmtId="3" fontId="3" fillId="0" borderId="149" xfId="0" applyNumberFormat="1" applyFont="1" applyFill="1" applyBorder="1" applyAlignment="1">
      <alignment horizontal="center"/>
    </xf>
    <xf numFmtId="3" fontId="10" fillId="0" borderId="53" xfId="0" applyNumberFormat="1" applyFont="1" applyFill="1" applyBorder="1" applyAlignment="1" applyProtection="1"/>
    <xf numFmtId="3" fontId="10" fillId="0" borderId="20" xfId="0" applyNumberFormat="1" applyFont="1" applyFill="1" applyBorder="1" applyAlignment="1" applyProtection="1"/>
    <xf numFmtId="3" fontId="4" fillId="0" borderId="31" xfId="0" applyNumberFormat="1" applyFont="1" applyFill="1" applyBorder="1"/>
    <xf numFmtId="3" fontId="10" fillId="2" borderId="60" xfId="0" applyNumberFormat="1" applyFont="1" applyFill="1" applyBorder="1" applyAlignment="1" applyProtection="1"/>
    <xf numFmtId="3" fontId="4" fillId="27" borderId="26" xfId="0" applyNumberFormat="1" applyFont="1" applyFill="1" applyBorder="1"/>
    <xf numFmtId="3" fontId="4" fillId="27" borderId="35" xfId="1" applyNumberFormat="1" applyFont="1" applyFill="1" applyBorder="1"/>
    <xf numFmtId="3" fontId="4" fillId="3" borderId="42" xfId="0" applyNumberFormat="1" applyFont="1" applyFill="1" applyBorder="1"/>
    <xf numFmtId="3" fontId="4" fillId="3" borderId="24" xfId="3" applyNumberFormat="1" applyFont="1" applyFill="1" applyBorder="1"/>
    <xf numFmtId="3" fontId="4" fillId="0" borderId="53" xfId="3" applyNumberFormat="1" applyFont="1" applyFill="1" applyBorder="1" applyAlignment="1">
      <alignment horizontal="right"/>
    </xf>
    <xf numFmtId="3" fontId="4" fillId="3" borderId="60" xfId="3" applyNumberFormat="1" applyFont="1" applyFill="1" applyBorder="1" applyAlignment="1">
      <alignment horizontal="right"/>
    </xf>
    <xf numFmtId="3" fontId="4" fillId="4" borderId="7" xfId="0" applyNumberFormat="1" applyFont="1" applyFill="1" applyBorder="1"/>
    <xf numFmtId="3" fontId="0" fillId="3" borderId="42" xfId="0" applyNumberFormat="1" applyFill="1" applyBorder="1"/>
    <xf numFmtId="3" fontId="4" fillId="4" borderId="29" xfId="0" applyNumberFormat="1" applyFont="1" applyFill="1" applyBorder="1"/>
    <xf numFmtId="3" fontId="4" fillId="4" borderId="3" xfId="0" applyNumberFormat="1" applyFont="1" applyFill="1" applyBorder="1"/>
    <xf numFmtId="3" fontId="4" fillId="3" borderId="43" xfId="0" applyNumberFormat="1" applyFont="1" applyFill="1" applyBorder="1"/>
    <xf numFmtId="3" fontId="4" fillId="0" borderId="31" xfId="0" applyNumberFormat="1" applyFont="1" applyBorder="1"/>
    <xf numFmtId="3" fontId="4" fillId="4" borderId="31" xfId="0" applyNumberFormat="1" applyFont="1" applyFill="1" applyBorder="1"/>
    <xf numFmtId="3" fontId="4" fillId="4" borderId="36" xfId="3" applyNumberFormat="1" applyFont="1" applyFill="1" applyBorder="1" applyAlignment="1">
      <alignment horizontal="right"/>
    </xf>
    <xf numFmtId="3" fontId="4" fillId="4" borderId="6" xfId="0" applyNumberFormat="1" applyFont="1" applyFill="1" applyBorder="1"/>
    <xf numFmtId="3" fontId="4" fillId="3" borderId="69" xfId="0" applyNumberFormat="1" applyFont="1" applyFill="1" applyBorder="1"/>
    <xf numFmtId="3" fontId="3" fillId="4" borderId="124" xfId="0" applyNumberFormat="1" applyFont="1" applyFill="1" applyBorder="1" applyAlignment="1">
      <alignment horizontal="center"/>
    </xf>
    <xf numFmtId="3" fontId="3" fillId="4" borderId="119" xfId="0" applyNumberFormat="1" applyFont="1" applyFill="1" applyBorder="1" applyAlignment="1">
      <alignment horizontal="center"/>
    </xf>
    <xf numFmtId="3" fontId="3" fillId="4" borderId="1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right"/>
    </xf>
    <xf numFmtId="3" fontId="4" fillId="3" borderId="47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right"/>
    </xf>
    <xf numFmtId="3" fontId="10" fillId="0" borderId="38" xfId="0" applyNumberFormat="1" applyFont="1" applyBorder="1"/>
    <xf numFmtId="3" fontId="10" fillId="4" borderId="38" xfId="0" applyNumberFormat="1" applyFont="1" applyFill="1" applyBorder="1"/>
    <xf numFmtId="3" fontId="10" fillId="3" borderId="42" xfId="0" applyNumberFormat="1" applyFont="1" applyFill="1" applyBorder="1"/>
    <xf numFmtId="3" fontId="4" fillId="3" borderId="69" xfId="3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center"/>
    </xf>
    <xf numFmtId="3" fontId="4" fillId="4" borderId="26" xfId="0" applyNumberFormat="1" applyFont="1" applyFill="1" applyBorder="1"/>
    <xf numFmtId="3" fontId="4" fillId="4" borderId="26" xfId="0" applyNumberFormat="1" applyFont="1" applyFill="1" applyBorder="1" applyAlignment="1">
      <alignment horizontal="center"/>
    </xf>
    <xf numFmtId="3" fontId="0" fillId="2" borderId="42" xfId="0" applyNumberFormat="1" applyFill="1" applyBorder="1"/>
    <xf numFmtId="3" fontId="4" fillId="0" borderId="29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4" borderId="36" xfId="0" applyNumberFormat="1" applyFont="1" applyFill="1" applyBorder="1"/>
    <xf numFmtId="3" fontId="4" fillId="2" borderId="69" xfId="0" applyNumberFormat="1" applyFont="1" applyFill="1" applyBorder="1"/>
    <xf numFmtId="3" fontId="4" fillId="2" borderId="69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4" fillId="0" borderId="35" xfId="1" applyNumberFormat="1" applyFont="1" applyBorder="1"/>
    <xf numFmtId="3" fontId="0" fillId="0" borderId="37" xfId="0" applyNumberFormat="1" applyBorder="1"/>
    <xf numFmtId="3" fontId="3" fillId="0" borderId="38" xfId="1" applyNumberFormat="1" applyFont="1" applyFill="1" applyBorder="1"/>
    <xf numFmtId="3" fontId="3" fillId="0" borderId="42" xfId="1" applyNumberFormat="1" applyFont="1" applyFill="1" applyBorder="1"/>
    <xf numFmtId="3" fontId="4" fillId="4" borderId="56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3" fontId="4" fillId="0" borderId="71" xfId="0" applyNumberFormat="1" applyFont="1" applyBorder="1" applyAlignment="1">
      <alignment horizontal="right"/>
    </xf>
    <xf numFmtId="3" fontId="4" fillId="2" borderId="60" xfId="0" applyNumberFormat="1" applyFont="1" applyFill="1" applyBorder="1" applyAlignment="1">
      <alignment horizontal="center"/>
    </xf>
    <xf numFmtId="3" fontId="3" fillId="0" borderId="107" xfId="0" applyNumberFormat="1" applyFont="1" applyFill="1" applyBorder="1" applyAlignment="1">
      <alignment horizontal="center"/>
    </xf>
    <xf numFmtId="3" fontId="3" fillId="0" borderId="103" xfId="0" applyNumberFormat="1" applyFont="1" applyFill="1" applyBorder="1" applyAlignment="1">
      <alignment horizontal="center"/>
    </xf>
    <xf numFmtId="3" fontId="3" fillId="0" borderId="108" xfId="0" applyNumberFormat="1" applyFont="1" applyFill="1" applyBorder="1" applyAlignment="1">
      <alignment horizontal="center"/>
    </xf>
    <xf numFmtId="3" fontId="3" fillId="0" borderId="106" xfId="0" applyNumberFormat="1" applyFont="1" applyFill="1" applyBorder="1" applyAlignment="1">
      <alignment horizontal="center"/>
    </xf>
    <xf numFmtId="3" fontId="3" fillId="0" borderId="101" xfId="0" applyNumberFormat="1" applyFont="1" applyFill="1" applyBorder="1" applyAlignment="1">
      <alignment horizontal="center"/>
    </xf>
    <xf numFmtId="3" fontId="3" fillId="0" borderId="109" xfId="0" applyNumberFormat="1" applyFont="1" applyFill="1" applyBorder="1" applyAlignment="1">
      <alignment horizontal="center"/>
    </xf>
    <xf numFmtId="3" fontId="4" fillId="4" borderId="58" xfId="0" applyNumberFormat="1" applyFont="1" applyFill="1" applyBorder="1"/>
    <xf numFmtId="3" fontId="10" fillId="0" borderId="3" xfId="0" applyNumberFormat="1" applyFont="1" applyFill="1" applyBorder="1"/>
    <xf numFmtId="3" fontId="10" fillId="2" borderId="24" xfId="0" applyNumberFormat="1" applyFont="1" applyFill="1" applyBorder="1"/>
    <xf numFmtId="3" fontId="4" fillId="0" borderId="115" xfId="0" applyNumberFormat="1" applyFont="1" applyBorder="1"/>
    <xf numFmtId="3" fontId="10" fillId="27" borderId="30" xfId="0" applyNumberFormat="1" applyFont="1" applyFill="1" applyBorder="1"/>
    <xf numFmtId="3" fontId="4" fillId="27" borderId="53" xfId="0" applyNumberFormat="1" applyFont="1" applyFill="1" applyBorder="1" applyAlignment="1">
      <alignment horizontal="right"/>
    </xf>
    <xf numFmtId="3" fontId="4" fillId="0" borderId="3" xfId="3" applyNumberFormat="1" applyFont="1" applyFill="1" applyBorder="1" applyAlignment="1">
      <alignment horizontal="center"/>
    </xf>
    <xf numFmtId="3" fontId="4" fillId="27" borderId="10" xfId="0" applyNumberFormat="1" applyFont="1" applyFill="1" applyBorder="1" applyAlignment="1">
      <alignment horizontal="center"/>
    </xf>
    <xf numFmtId="3" fontId="4" fillId="27" borderId="3" xfId="3" applyNumberFormat="1" applyFont="1" applyFill="1" applyBorder="1" applyAlignment="1">
      <alignment horizontal="center"/>
    </xf>
    <xf numFmtId="3" fontId="4" fillId="27" borderId="47" xfId="0" applyNumberFormat="1" applyFont="1" applyFill="1" applyBorder="1" applyAlignment="1">
      <alignment horizontal="center"/>
    </xf>
    <xf numFmtId="3" fontId="4" fillId="0" borderId="6" xfId="0" applyNumberFormat="1" applyFont="1" applyBorder="1"/>
    <xf numFmtId="3" fontId="4" fillId="4" borderId="0" xfId="0" applyNumberFormat="1" applyFont="1" applyFill="1" applyBorder="1"/>
    <xf numFmtId="3" fontId="10" fillId="27" borderId="24" xfId="0" applyNumberFormat="1" applyFont="1" applyFill="1" applyBorder="1"/>
    <xf numFmtId="3" fontId="4" fillId="0" borderId="0" xfId="0" applyNumberFormat="1" applyFont="1" applyBorder="1"/>
    <xf numFmtId="3" fontId="10" fillId="0" borderId="36" xfId="0" applyNumberFormat="1" applyFont="1" applyFill="1" applyBorder="1"/>
    <xf numFmtId="3" fontId="10" fillId="27" borderId="69" xfId="0" applyNumberFormat="1" applyFont="1" applyFill="1" applyBorder="1"/>
    <xf numFmtId="0" fontId="3" fillId="0" borderId="58" xfId="0" applyFont="1" applyBorder="1" applyAlignment="1">
      <alignment horizontal="center"/>
    </xf>
    <xf numFmtId="0" fontId="6" fillId="0" borderId="42" xfId="0" applyFont="1" applyBorder="1" applyAlignment="1"/>
    <xf numFmtId="3" fontId="3" fillId="0" borderId="63" xfId="0" applyNumberFormat="1" applyFont="1" applyBorder="1" applyAlignment="1">
      <alignment horizontal="center"/>
    </xf>
    <xf numFmtId="3" fontId="6" fillId="0" borderId="122" xfId="0" applyNumberFormat="1" applyFont="1" applyBorder="1" applyAlignment="1"/>
    <xf numFmtId="0" fontId="3" fillId="0" borderId="125" xfId="0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3" fontId="3" fillId="0" borderId="121" xfId="0" applyNumberFormat="1" applyFont="1" applyFill="1" applyBorder="1" applyAlignment="1">
      <alignment horizontal="center"/>
    </xf>
    <xf numFmtId="3" fontId="3" fillId="0" borderId="120" xfId="0" applyNumberFormat="1" applyFont="1" applyFill="1" applyBorder="1" applyAlignment="1">
      <alignment horizontal="center"/>
    </xf>
    <xf numFmtId="0" fontId="3" fillId="0" borderId="104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/>
    </xf>
    <xf numFmtId="3" fontId="3" fillId="0" borderId="122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75" xfId="0" applyFont="1" applyBorder="1" applyAlignment="1"/>
    <xf numFmtId="0" fontId="3" fillId="0" borderId="74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121" xfId="0" applyFont="1" applyFill="1" applyBorder="1" applyAlignment="1">
      <alignment horizontal="center"/>
    </xf>
    <xf numFmtId="0" fontId="3" fillId="0" borderId="120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98" xfId="0" applyFont="1" applyFill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3" fontId="3" fillId="0" borderId="104" xfId="0" applyNumberFormat="1" applyFont="1" applyFill="1" applyBorder="1" applyAlignment="1">
      <alignment horizontal="center"/>
    </xf>
    <xf numFmtId="3" fontId="3" fillId="0" borderId="103" xfId="0" applyNumberFormat="1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3" fontId="3" fillId="0" borderId="127" xfId="0" applyNumberFormat="1" applyFont="1" applyBorder="1" applyAlignment="1">
      <alignment horizontal="center"/>
    </xf>
    <xf numFmtId="3" fontId="3" fillId="0" borderId="109" xfId="0" applyNumberFormat="1" applyFont="1" applyBorder="1" applyAlignment="1">
      <alignment horizontal="center"/>
    </xf>
    <xf numFmtId="3" fontId="3" fillId="0" borderId="122" xfId="0" applyNumberFormat="1" applyFont="1" applyBorder="1" applyAlignment="1">
      <alignment horizontal="center"/>
    </xf>
    <xf numFmtId="3" fontId="3" fillId="0" borderId="109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3" fontId="3" fillId="0" borderId="80" xfId="0" applyNumberFormat="1" applyFont="1" applyFill="1" applyBorder="1" applyAlignment="1">
      <alignment horizontal="center"/>
    </xf>
    <xf numFmtId="0" fontId="4" fillId="0" borderId="125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3" fontId="3" fillId="0" borderId="125" xfId="0" applyNumberFormat="1" applyFont="1" applyFill="1" applyBorder="1" applyAlignment="1">
      <alignment horizontal="center"/>
    </xf>
    <xf numFmtId="3" fontId="4" fillId="0" borderId="125" xfId="0" applyNumberFormat="1" applyFont="1" applyFill="1" applyBorder="1" applyAlignment="1">
      <alignment horizontal="center"/>
    </xf>
    <xf numFmtId="3" fontId="4" fillId="0" borderId="101" xfId="0" applyNumberFormat="1" applyFont="1" applyFill="1" applyBorder="1" applyAlignment="1">
      <alignment horizontal="center"/>
    </xf>
    <xf numFmtId="0" fontId="3" fillId="0" borderId="75" xfId="0" applyFon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4" borderId="121" xfId="0" applyNumberFormat="1" applyFont="1" applyFill="1" applyBorder="1" applyAlignment="1">
      <alignment horizontal="center"/>
    </xf>
    <xf numFmtId="3" fontId="3" fillId="4" borderId="120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3" fillId="4" borderId="122" xfId="0" applyNumberFormat="1" applyFont="1" applyFill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22" xfId="0" applyFont="1" applyFill="1" applyBorder="1" applyAlignment="1">
      <alignment horizontal="center"/>
    </xf>
    <xf numFmtId="3" fontId="3" fillId="4" borderId="115" xfId="0" applyNumberFormat="1" applyFont="1" applyFill="1" applyBorder="1" applyAlignment="1">
      <alignment horizontal="center"/>
    </xf>
    <xf numFmtId="3" fontId="3" fillId="4" borderId="114" xfId="0" applyNumberFormat="1" applyFont="1" applyFill="1" applyBorder="1" applyAlignment="1">
      <alignment horizontal="center"/>
    </xf>
    <xf numFmtId="3" fontId="3" fillId="4" borderId="116" xfId="0" applyNumberFormat="1" applyFont="1" applyFill="1" applyBorder="1" applyAlignment="1">
      <alignment horizontal="center"/>
    </xf>
    <xf numFmtId="3" fontId="3" fillId="4" borderId="108" xfId="0" applyNumberFormat="1" applyFont="1" applyFill="1" applyBorder="1" applyAlignment="1">
      <alignment horizontal="center"/>
    </xf>
    <xf numFmtId="3" fontId="3" fillId="4" borderId="111" xfId="0" applyNumberFormat="1" applyFont="1" applyFill="1" applyBorder="1" applyAlignment="1">
      <alignment horizontal="center"/>
    </xf>
    <xf numFmtId="3" fontId="3" fillId="4" borderId="112" xfId="0" applyNumberFormat="1" applyFont="1" applyFill="1" applyBorder="1" applyAlignment="1">
      <alignment horizontal="center"/>
    </xf>
    <xf numFmtId="0" fontId="3" fillId="4" borderId="113" xfId="0" applyFont="1" applyFill="1" applyBorder="1" applyAlignment="1">
      <alignment horizontal="center"/>
    </xf>
    <xf numFmtId="0" fontId="3" fillId="4" borderId="114" xfId="0" applyFont="1" applyFill="1" applyBorder="1" applyAlignment="1">
      <alignment horizontal="center"/>
    </xf>
    <xf numFmtId="0" fontId="3" fillId="4" borderId="102" xfId="0" applyFont="1" applyFill="1" applyBorder="1" applyAlignment="1">
      <alignment horizontal="center"/>
    </xf>
    <xf numFmtId="0" fontId="3" fillId="4" borderId="111" xfId="0" applyFont="1" applyFill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0" fontId="3" fillId="0" borderId="111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3" fillId="0" borderId="114" xfId="0" applyFont="1" applyFill="1" applyBorder="1" applyAlignment="1">
      <alignment horizontal="center"/>
    </xf>
    <xf numFmtId="0" fontId="3" fillId="0" borderId="115" xfId="0" applyFont="1" applyFill="1" applyBorder="1" applyAlignment="1">
      <alignment horizontal="center"/>
    </xf>
  </cellXfs>
  <cellStyles count="75"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Comma" xfId="1" builtinId="3"/>
    <cellStyle name="Comma 2" xfId="66"/>
    <cellStyle name="Comma 3" xfId="47"/>
    <cellStyle name="Comma0" xfId="2"/>
    <cellStyle name="Currency" xfId="3" builtinId="4"/>
    <cellStyle name="Currency 2" xfId="67"/>
    <cellStyle name="Currency0" xfId="4"/>
    <cellStyle name="Date" xfId="5"/>
    <cellStyle name="Date 2" xfId="68"/>
    <cellStyle name="Date 3" xfId="48"/>
    <cellStyle name="Explanatory Text 2" xfId="49"/>
    <cellStyle name="Fixed" xfId="6"/>
    <cellStyle name="Fixed 2" xfId="69"/>
    <cellStyle name="Fixed 3" xfId="50"/>
    <cellStyle name="Good 2" xfId="51"/>
    <cellStyle name="Heading 1" xfId="7" builtinId="16" customBuiltin="1"/>
    <cellStyle name="Heading 1 2" xfId="70"/>
    <cellStyle name="Heading 1 3" xfId="52"/>
    <cellStyle name="Heading 2" xfId="8" builtinId="17" customBuiltin="1"/>
    <cellStyle name="Heading 2 2" xfId="71"/>
    <cellStyle name="Heading 2 3" xfId="53"/>
    <cellStyle name="Heading 3 2" xfId="54"/>
    <cellStyle name="Heading 4 2" xfId="55"/>
    <cellStyle name="HEADING1" xfId="9"/>
    <cellStyle name="HEADING2" xfId="10"/>
    <cellStyle name="Input 2" xfId="56"/>
    <cellStyle name="Linked Cell 2" xfId="57"/>
    <cellStyle name="Neutral 2" xfId="58"/>
    <cellStyle name="Normal" xfId="0" builtinId="0"/>
    <cellStyle name="Normal 2" xfId="65"/>
    <cellStyle name="Normal 3" xfId="74"/>
    <cellStyle name="Normal 4" xfId="19"/>
    <cellStyle name="Normal_Ag_Econ" xfId="11"/>
    <cellStyle name="Normal_Agronomy" xfId="12"/>
    <cellStyle name="Normal_Animal_Sci" xfId="13"/>
    <cellStyle name="Normal_Entomology" xfId="14"/>
    <cellStyle name="Normal_Grain_Sci" xfId="15"/>
    <cellStyle name="Normal_Horticulture" xfId="16"/>
    <cellStyle name="Normal_Plant_Path" xfId="17"/>
    <cellStyle name="Note 2" xfId="59"/>
    <cellStyle name="Output 2" xfId="60"/>
    <cellStyle name="Percent 2" xfId="72"/>
    <cellStyle name="Percent 3" xfId="61"/>
    <cellStyle name="Title 2" xfId="62"/>
    <cellStyle name="Total" xfId="18" builtinId="25" customBuiltin="1"/>
    <cellStyle name="Total 2" xfId="73"/>
    <cellStyle name="Total 3" xfId="63"/>
    <cellStyle name="Warning Text 2" xfId="6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Normal="100" zoomScaleSheetLayoutView="100" workbookViewId="0">
      <pane xSplit="1" ySplit="1" topLeftCell="P14" activePane="bottomRight" state="frozen"/>
      <selection activeCell="N10" sqref="N10:AG31"/>
      <selection pane="topRight" activeCell="N10" sqref="N10:AG31"/>
      <selection pane="bottomLeft" activeCell="N10" sqref="N10:AG31"/>
      <selection pane="bottomRight" activeCell="N10" sqref="N10:AG31"/>
    </sheetView>
  </sheetViews>
  <sheetFormatPr defaultColWidth="10.28515625" defaultRowHeight="11.45" customHeight="1" x14ac:dyDescent="0.2"/>
  <cols>
    <col min="1" max="1" width="41" style="1" customWidth="1"/>
    <col min="2" max="2" width="8.5703125" hidden="1" customWidth="1"/>
    <col min="3" max="3" width="11.140625" hidden="1" customWidth="1"/>
    <col min="4" max="4" width="9.28515625" hidden="1" customWidth="1"/>
    <col min="5" max="5" width="11.140625" hidden="1" customWidth="1"/>
    <col min="6" max="6" width="7.85546875" style="62" hidden="1" customWidth="1"/>
    <col min="7" max="7" width="11.140625" style="62" hidden="1" customWidth="1"/>
    <col min="8" max="8" width="8.5703125" style="62" hidden="1" customWidth="1"/>
    <col min="9" max="9" width="11.140625" style="62" hidden="1" customWidth="1"/>
    <col min="10" max="10" width="8.42578125" style="61" hidden="1" customWidth="1"/>
    <col min="11" max="11" width="11.140625" style="61" hidden="1" customWidth="1"/>
    <col min="12" max="12" width="4.7109375" style="61" hidden="1" customWidth="1"/>
    <col min="13" max="13" width="10.7109375" style="61" hidden="1" customWidth="1"/>
    <col min="14" max="14" width="4.7109375" style="10" customWidth="1"/>
    <col min="15" max="15" width="10.7109375" style="66" customWidth="1"/>
    <col min="16" max="16" width="4.7109375" style="10" customWidth="1"/>
    <col min="17" max="17" width="10.7109375" style="66" customWidth="1"/>
    <col min="18" max="18" width="4.7109375" style="10" customWidth="1"/>
    <col min="19" max="19" width="10.7109375" style="66" customWidth="1"/>
    <col min="20" max="20" width="4.7109375" style="10" customWidth="1"/>
    <col min="21" max="21" width="10.7109375" style="66" customWidth="1"/>
    <col min="22" max="22" width="4.7109375" style="10" customWidth="1"/>
    <col min="23" max="23" width="10.7109375" style="66" customWidth="1"/>
    <col min="24" max="24" width="4.7109375" style="10" customWidth="1"/>
    <col min="25" max="25" width="10.7109375" style="66" customWidth="1"/>
    <col min="26" max="26" width="4.7109375" style="10" customWidth="1"/>
    <col min="27" max="27" width="10.7109375" style="66" customWidth="1"/>
    <col min="28" max="28" width="4.7109375" style="10" customWidth="1"/>
    <col min="29" max="29" width="10.7109375" style="66" customWidth="1"/>
    <col min="30" max="30" width="3.5703125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4" ht="15.75" x14ac:dyDescent="0.25">
      <c r="A1" s="419" t="s">
        <v>48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4" ht="15.75" x14ac:dyDescent="0.25">
      <c r="A2" s="419" t="s">
        <v>49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4" ht="5.25" customHeight="1" x14ac:dyDescent="0.25">
      <c r="A3" s="41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4" ht="15.75" x14ac:dyDescent="0.25">
      <c r="A4" s="420" t="s">
        <v>41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4" ht="12.75" customHeight="1" x14ac:dyDescent="0.2">
      <c r="A5" s="2"/>
      <c r="B5" s="10"/>
      <c r="C5" s="10"/>
      <c r="D5" s="10"/>
      <c r="E5" s="10"/>
      <c r="F5" s="66"/>
      <c r="G5" s="66"/>
      <c r="H5" s="66"/>
      <c r="I5" s="66"/>
      <c r="J5" s="66"/>
      <c r="K5" s="66"/>
      <c r="L5" s="66"/>
      <c r="M5" s="66"/>
      <c r="N5" s="66"/>
      <c r="P5" s="66"/>
      <c r="R5" s="66"/>
      <c r="T5" s="66"/>
      <c r="V5" s="66"/>
      <c r="X5" s="66"/>
      <c r="Z5" s="66"/>
      <c r="AB5" s="66"/>
      <c r="AH5" s="10"/>
    </row>
    <row r="6" spans="1:34" ht="12.75" customHeight="1" x14ac:dyDescent="0.2">
      <c r="A6" s="2" t="s">
        <v>5</v>
      </c>
      <c r="B6" s="10"/>
      <c r="C6" s="10"/>
      <c r="D6" s="10"/>
      <c r="E6" s="10"/>
      <c r="F6" s="66"/>
      <c r="G6" s="66"/>
      <c r="H6" s="66"/>
      <c r="I6" s="66"/>
      <c r="J6" s="66"/>
      <c r="K6" s="66"/>
      <c r="L6" s="66"/>
      <c r="M6" s="66"/>
      <c r="N6" s="66"/>
      <c r="P6" s="66"/>
      <c r="R6" s="66"/>
      <c r="T6" s="66"/>
      <c r="V6" s="66"/>
      <c r="X6" s="66"/>
      <c r="Z6" s="66"/>
      <c r="AB6" s="66"/>
      <c r="AH6" s="10"/>
    </row>
    <row r="7" spans="1:34" ht="12.75" customHeight="1" x14ac:dyDescent="0.2">
      <c r="A7" s="22"/>
      <c r="B7" s="10"/>
      <c r="C7" s="10"/>
      <c r="D7" s="10"/>
      <c r="E7" s="10"/>
      <c r="F7" s="66"/>
      <c r="G7" s="66"/>
      <c r="H7" s="66"/>
      <c r="I7" s="66"/>
      <c r="J7" s="66"/>
      <c r="K7" s="66"/>
      <c r="L7" s="66"/>
      <c r="M7" s="66"/>
      <c r="N7" s="66"/>
      <c r="P7" s="66"/>
      <c r="R7" s="66"/>
      <c r="T7" s="66"/>
      <c r="V7" s="66"/>
      <c r="X7" s="66"/>
      <c r="Z7" s="66"/>
      <c r="AB7" s="66"/>
      <c r="AH7" s="10"/>
    </row>
    <row r="8" spans="1:34" ht="13.5" customHeight="1" thickBot="1" x14ac:dyDescent="0.25">
      <c r="A8" s="16"/>
      <c r="B8" s="10"/>
      <c r="C8" s="10"/>
      <c r="D8" s="10"/>
      <c r="E8" s="10"/>
      <c r="F8" s="66"/>
      <c r="G8" s="66"/>
      <c r="H8" s="66"/>
      <c r="I8" s="66"/>
      <c r="J8" s="66"/>
      <c r="K8" s="66"/>
      <c r="L8" s="66"/>
      <c r="M8" s="66"/>
      <c r="N8" s="66"/>
      <c r="P8" s="66"/>
      <c r="R8" s="66"/>
      <c r="T8" s="66"/>
      <c r="V8" s="66"/>
      <c r="X8" s="66"/>
      <c r="Z8" s="66"/>
      <c r="AB8" s="66"/>
      <c r="AE8" s="10"/>
      <c r="AH8" s="10"/>
    </row>
    <row r="9" spans="1:34" ht="30" customHeight="1" thickTop="1" thickBot="1" x14ac:dyDescent="0.25">
      <c r="A9" s="198"/>
      <c r="B9" s="803" t="s">
        <v>7</v>
      </c>
      <c r="C9" s="797"/>
      <c r="D9" s="796" t="s">
        <v>8</v>
      </c>
      <c r="E9" s="796"/>
      <c r="F9" s="794" t="s">
        <v>22</v>
      </c>
      <c r="G9" s="793"/>
      <c r="H9" s="792" t="s">
        <v>24</v>
      </c>
      <c r="I9" s="792"/>
      <c r="J9" s="794" t="s">
        <v>25</v>
      </c>
      <c r="K9" s="792"/>
      <c r="L9" s="794" t="s">
        <v>26</v>
      </c>
      <c r="M9" s="793"/>
      <c r="N9" s="792" t="s">
        <v>28</v>
      </c>
      <c r="O9" s="793"/>
      <c r="P9" s="792" t="s">
        <v>29</v>
      </c>
      <c r="Q9" s="793"/>
      <c r="R9" s="792" t="s">
        <v>34</v>
      </c>
      <c r="S9" s="793"/>
      <c r="T9" s="792" t="s">
        <v>35</v>
      </c>
      <c r="U9" s="793"/>
      <c r="V9" s="792" t="s">
        <v>36</v>
      </c>
      <c r="W9" s="793"/>
      <c r="X9" s="792" t="s">
        <v>37</v>
      </c>
      <c r="Y9" s="793"/>
      <c r="Z9" s="792" t="s">
        <v>38</v>
      </c>
      <c r="AA9" s="793"/>
      <c r="AB9" s="792" t="s">
        <v>60</v>
      </c>
      <c r="AC9" s="795"/>
      <c r="AE9" s="790" t="s">
        <v>27</v>
      </c>
      <c r="AF9" s="791"/>
      <c r="AG9" s="509" t="s">
        <v>43</v>
      </c>
      <c r="AH9" s="10"/>
    </row>
    <row r="10" spans="1:34" ht="18" customHeight="1" x14ac:dyDescent="0.2">
      <c r="A10" s="364" t="s">
        <v>9</v>
      </c>
      <c r="B10" s="7"/>
      <c r="C10" s="430"/>
      <c r="D10" s="7"/>
      <c r="E10" s="7"/>
      <c r="F10" s="431"/>
      <c r="G10" s="432"/>
      <c r="H10" s="433"/>
      <c r="I10" s="433"/>
      <c r="J10" s="431"/>
      <c r="K10" s="433"/>
      <c r="L10" s="519"/>
      <c r="M10" s="520"/>
      <c r="N10" s="433"/>
      <c r="O10" s="432"/>
      <c r="P10" s="433"/>
      <c r="Q10" s="432"/>
      <c r="R10" s="433"/>
      <c r="S10" s="432"/>
      <c r="T10" s="433"/>
      <c r="U10" s="432"/>
      <c r="V10" s="433"/>
      <c r="W10" s="432"/>
      <c r="X10" s="433"/>
      <c r="Y10" s="432"/>
      <c r="Z10" s="433"/>
      <c r="AA10" s="432"/>
      <c r="AB10" s="433"/>
      <c r="AC10" s="434"/>
      <c r="AE10" s="442"/>
      <c r="AF10" s="522"/>
      <c r="AG10" s="510"/>
      <c r="AH10" s="10"/>
    </row>
    <row r="11" spans="1:34" ht="15" customHeight="1" x14ac:dyDescent="0.2">
      <c r="A11" s="181" t="s">
        <v>10</v>
      </c>
      <c r="B11" s="3"/>
      <c r="C11" s="31"/>
      <c r="D11" s="3"/>
      <c r="E11" s="3"/>
      <c r="F11" s="70"/>
      <c r="G11" s="92"/>
      <c r="H11" s="64"/>
      <c r="I11" s="64"/>
      <c r="J11" s="70"/>
      <c r="K11" s="64"/>
      <c r="L11" s="64"/>
      <c r="M11" s="92"/>
      <c r="N11" s="64"/>
      <c r="O11" s="92"/>
      <c r="P11" s="64"/>
      <c r="Q11" s="92"/>
      <c r="R11" s="64"/>
      <c r="S11" s="92"/>
      <c r="T11" s="64"/>
      <c r="U11" s="92"/>
      <c r="V11" s="64"/>
      <c r="W11" s="92"/>
      <c r="X11" s="64"/>
      <c r="Y11" s="92"/>
      <c r="Z11" s="64"/>
      <c r="AA11" s="92"/>
      <c r="AB11" s="64"/>
      <c r="AC11" s="25"/>
      <c r="AD11" s="144"/>
      <c r="AE11" s="152"/>
      <c r="AF11" s="437"/>
      <c r="AG11" s="511"/>
    </row>
    <row r="12" spans="1:34" ht="15" customHeight="1" x14ac:dyDescent="0.2">
      <c r="A12" s="182" t="s">
        <v>11</v>
      </c>
      <c r="B12" s="44"/>
      <c r="C12" s="52">
        <f>223880+307036+598908</f>
        <v>1129824</v>
      </c>
      <c r="D12" s="44"/>
      <c r="E12" s="4">
        <f>275255+322369+627551</f>
        <v>1225175</v>
      </c>
      <c r="F12" s="75"/>
      <c r="G12" s="58">
        <f>276069+388271+659062</f>
        <v>1323402</v>
      </c>
      <c r="H12" s="94"/>
      <c r="I12" s="26">
        <f>416196+293938+718329</f>
        <v>1428463</v>
      </c>
      <c r="J12" s="75"/>
      <c r="K12" s="26">
        <v>1573270</v>
      </c>
      <c r="L12" s="94"/>
      <c r="M12" s="58">
        <f>421461+398537+778589</f>
        <v>1598587</v>
      </c>
      <c r="N12" s="94"/>
      <c r="O12" s="58">
        <f>408769+264977+752483+1202502</f>
        <v>2628731</v>
      </c>
      <c r="P12" s="94"/>
      <c r="Q12" s="58">
        <f>1231903+1059090+750278+333077</f>
        <v>3374348</v>
      </c>
      <c r="R12" s="94"/>
      <c r="S12" s="58">
        <v>3133378</v>
      </c>
      <c r="T12" s="94"/>
      <c r="U12" s="58">
        <v>3173421</v>
      </c>
      <c r="V12" s="94"/>
      <c r="W12" s="58">
        <v>2844241</v>
      </c>
      <c r="X12" s="94"/>
      <c r="Y12" s="58">
        <v>2829803</v>
      </c>
      <c r="Z12" s="94"/>
      <c r="AA12" s="58">
        <f>1032155+309178+449003+1513676</f>
        <v>3304012</v>
      </c>
      <c r="AB12" s="94"/>
      <c r="AC12" s="65">
        <v>3073493</v>
      </c>
      <c r="AD12" s="144"/>
      <c r="AE12" s="152"/>
      <c r="AF12" s="523">
        <f>AVERAGE(U12,Y12,W12,AA12,AC12)</f>
        <v>3044994</v>
      </c>
      <c r="AG12" s="483">
        <f>+(AC12-U12)/U12</f>
        <v>-3.1489046048412739E-2</v>
      </c>
    </row>
    <row r="13" spans="1:34" ht="15" customHeight="1" x14ac:dyDescent="0.2">
      <c r="A13" s="182" t="s">
        <v>30</v>
      </c>
      <c r="B13" s="44"/>
      <c r="C13" s="52"/>
      <c r="D13" s="44"/>
      <c r="E13" s="4"/>
      <c r="F13" s="75"/>
      <c r="G13" s="208"/>
      <c r="H13" s="94"/>
      <c r="I13" s="26"/>
      <c r="J13" s="75"/>
      <c r="K13" s="26"/>
      <c r="L13" s="94"/>
      <c r="M13" s="58"/>
      <c r="N13" s="94"/>
      <c r="O13" s="58"/>
      <c r="P13" s="94"/>
      <c r="Q13" s="58"/>
      <c r="R13" s="94"/>
      <c r="S13" s="58"/>
      <c r="T13" s="94"/>
      <c r="U13" s="58"/>
      <c r="V13" s="94"/>
      <c r="W13" s="58"/>
      <c r="X13" s="94"/>
      <c r="Y13" s="58"/>
      <c r="Z13" s="94"/>
      <c r="AA13" s="58"/>
      <c r="AB13" s="94"/>
      <c r="AC13" s="65"/>
      <c r="AD13" s="144"/>
      <c r="AE13" s="152"/>
      <c r="AF13" s="523"/>
      <c r="AG13" s="511"/>
    </row>
    <row r="14" spans="1:34" ht="24.75" thickBot="1" x14ac:dyDescent="0.25">
      <c r="A14" s="266" t="s">
        <v>31</v>
      </c>
      <c r="B14" s="307"/>
      <c r="C14" s="288">
        <f>15657+12313</f>
        <v>27970</v>
      </c>
      <c r="D14" s="307"/>
      <c r="E14" s="314">
        <f>17365+12984+375000</f>
        <v>405349</v>
      </c>
      <c r="F14" s="315"/>
      <c r="G14" s="286">
        <f>17695+13133+1208134</f>
        <v>1238962</v>
      </c>
      <c r="H14" s="285"/>
      <c r="I14" s="316">
        <f>18667+3988+1188923</f>
        <v>1211578</v>
      </c>
      <c r="J14" s="315"/>
      <c r="K14" s="316">
        <v>881699</v>
      </c>
      <c r="L14" s="285"/>
      <c r="M14" s="286">
        <f>20617+1157942+82187</f>
        <v>1260746</v>
      </c>
      <c r="N14" s="285"/>
      <c r="O14" s="286">
        <f>19565+1157127+82100</f>
        <v>1258792</v>
      </c>
      <c r="P14" s="285"/>
      <c r="Q14" s="286">
        <f>20898+1158612+82264</f>
        <v>1261774</v>
      </c>
      <c r="R14" s="285"/>
      <c r="S14" s="286">
        <v>1261881</v>
      </c>
      <c r="T14" s="285"/>
      <c r="U14" s="286">
        <v>1261898</v>
      </c>
      <c r="V14" s="285"/>
      <c r="W14" s="286">
        <v>954275</v>
      </c>
      <c r="X14" s="285"/>
      <c r="Y14" s="286">
        <v>1146245</v>
      </c>
      <c r="Z14" s="285"/>
      <c r="AA14" s="286">
        <f>27022+845396+355380+242337</f>
        <v>1470135</v>
      </c>
      <c r="AB14" s="285"/>
      <c r="AC14" s="493">
        <v>1065560</v>
      </c>
      <c r="AD14" s="144"/>
      <c r="AE14" s="171"/>
      <c r="AF14" s="583">
        <f t="shared" ref="AF14:AF21" si="0">AVERAGE(U14,Y14,W14,AA14,AC14)</f>
        <v>1179622.6000000001</v>
      </c>
      <c r="AG14" s="483">
        <f t="shared" ref="AG14:AG20" si="1">+(AC14-U14)/U14</f>
        <v>-0.15558943749811791</v>
      </c>
    </row>
    <row r="15" spans="1:34" ht="18.75" customHeight="1" thickBot="1" x14ac:dyDescent="0.25">
      <c r="A15" s="275" t="s">
        <v>12</v>
      </c>
      <c r="B15" s="319"/>
      <c r="C15" s="318">
        <f>SUM(C12:C14)</f>
        <v>1157794</v>
      </c>
      <c r="D15" s="319"/>
      <c r="E15" s="320">
        <f>SUM(E12:E14)</f>
        <v>1630524</v>
      </c>
      <c r="F15" s="321"/>
      <c r="G15" s="290">
        <f>SUM(G12:G14)</f>
        <v>2562364</v>
      </c>
      <c r="H15" s="289"/>
      <c r="I15" s="322">
        <f>SUM(I12:I14)</f>
        <v>2640041</v>
      </c>
      <c r="J15" s="321"/>
      <c r="K15" s="322">
        <f>SUM(K12:K14)</f>
        <v>2454969</v>
      </c>
      <c r="L15" s="289"/>
      <c r="M15" s="290">
        <f>SUM(M12:M14)</f>
        <v>2859333</v>
      </c>
      <c r="N15" s="289"/>
      <c r="O15" s="290">
        <f>SUM(O12:O14)</f>
        <v>3887523</v>
      </c>
      <c r="P15" s="289"/>
      <c r="Q15" s="290">
        <f>SUM(Q12:Q14)</f>
        <v>4636122</v>
      </c>
      <c r="R15" s="289"/>
      <c r="S15" s="290">
        <f>SUM(S12:S14)</f>
        <v>4395259</v>
      </c>
      <c r="T15" s="289"/>
      <c r="U15" s="290">
        <f>SUM(U12:U14)</f>
        <v>4435319</v>
      </c>
      <c r="V15" s="289"/>
      <c r="W15" s="290">
        <f>SUM(W12:W14)</f>
        <v>3798516</v>
      </c>
      <c r="X15" s="289"/>
      <c r="Y15" s="290">
        <f>SUM(Y12:Y14)</f>
        <v>3976048</v>
      </c>
      <c r="Z15" s="289"/>
      <c r="AA15" s="290">
        <f>SUM(AA12:AA14)</f>
        <v>4774147</v>
      </c>
      <c r="AB15" s="289"/>
      <c r="AC15" s="291">
        <f>SUM(AC12:AC14)</f>
        <v>4139053</v>
      </c>
      <c r="AD15" s="144"/>
      <c r="AE15" s="323"/>
      <c r="AF15" s="585">
        <f t="shared" si="0"/>
        <v>4224616.5999999996</v>
      </c>
      <c r="AG15" s="512">
        <f t="shared" si="1"/>
        <v>-6.6796999268823737E-2</v>
      </c>
    </row>
    <row r="16" spans="1:34" ht="15" customHeight="1" x14ac:dyDescent="0.2">
      <c r="A16" s="199" t="s">
        <v>13</v>
      </c>
      <c r="B16" s="8"/>
      <c r="C16" s="33"/>
      <c r="D16" s="8"/>
      <c r="E16" s="39"/>
      <c r="F16" s="69"/>
      <c r="G16" s="59"/>
      <c r="H16" s="91"/>
      <c r="I16" s="107"/>
      <c r="J16" s="69"/>
      <c r="K16" s="107"/>
      <c r="L16" s="91"/>
      <c r="M16" s="59"/>
      <c r="N16" s="91"/>
      <c r="O16" s="59"/>
      <c r="P16" s="91"/>
      <c r="Q16" s="59"/>
      <c r="R16" s="91"/>
      <c r="S16" s="59"/>
      <c r="T16" s="91"/>
      <c r="U16" s="59"/>
      <c r="V16" s="91"/>
      <c r="W16" s="59"/>
      <c r="X16" s="91"/>
      <c r="Y16" s="59"/>
      <c r="Z16" s="91"/>
      <c r="AA16" s="59"/>
      <c r="AB16" s="91"/>
      <c r="AC16" s="218"/>
      <c r="AD16" s="144"/>
      <c r="AE16" s="149"/>
      <c r="AF16" s="524"/>
      <c r="AG16" s="513"/>
    </row>
    <row r="17" spans="1:33" ht="15" customHeight="1" x14ac:dyDescent="0.2">
      <c r="A17" s="182" t="s">
        <v>11</v>
      </c>
      <c r="B17" s="3"/>
      <c r="C17" s="45">
        <v>1158075</v>
      </c>
      <c r="D17" s="3"/>
      <c r="E17" s="50">
        <v>1376018</v>
      </c>
      <c r="F17" s="70"/>
      <c r="G17" s="97">
        <v>1430525</v>
      </c>
      <c r="H17" s="64"/>
      <c r="I17" s="81">
        <v>3467688</v>
      </c>
      <c r="J17" s="70"/>
      <c r="K17" s="81">
        <v>4314843</v>
      </c>
      <c r="L17" s="64"/>
      <c r="M17" s="97">
        <v>3940085</v>
      </c>
      <c r="N17" s="64"/>
      <c r="O17" s="97">
        <v>3436873</v>
      </c>
      <c r="P17" s="64"/>
      <c r="Q17" s="97">
        <f>1199755+1408324</f>
        <v>2608079</v>
      </c>
      <c r="R17" s="64"/>
      <c r="S17" s="97">
        <v>2579487</v>
      </c>
      <c r="T17" s="64"/>
      <c r="U17" s="97">
        <v>2487177</v>
      </c>
      <c r="V17" s="64"/>
      <c r="W17" s="97">
        <v>2613921</v>
      </c>
      <c r="X17" s="64"/>
      <c r="Y17" s="97">
        <v>3149074</v>
      </c>
      <c r="Z17" s="64"/>
      <c r="AA17" s="97">
        <f>1913806+1468136</f>
        <v>3381942</v>
      </c>
      <c r="AB17" s="64"/>
      <c r="AC17" s="215">
        <v>2952142</v>
      </c>
      <c r="AD17" s="144"/>
      <c r="AE17" s="152"/>
      <c r="AF17" s="523">
        <f t="shared" si="0"/>
        <v>2916851.2</v>
      </c>
      <c r="AG17" s="483">
        <f t="shared" si="1"/>
        <v>0.18694487766652715</v>
      </c>
    </row>
    <row r="18" spans="1:33" ht="15" customHeight="1" x14ac:dyDescent="0.2">
      <c r="A18" s="182" t="s">
        <v>30</v>
      </c>
      <c r="B18" s="3"/>
      <c r="C18" s="45"/>
      <c r="D18" s="3"/>
      <c r="E18" s="50"/>
      <c r="F18" s="70"/>
      <c r="G18" s="207"/>
      <c r="H18" s="64"/>
      <c r="I18" s="81">
        <v>621836</v>
      </c>
      <c r="J18" s="70"/>
      <c r="K18" s="81">
        <v>121836</v>
      </c>
      <c r="L18" s="64"/>
      <c r="M18" s="97">
        <v>316322</v>
      </c>
      <c r="N18" s="64"/>
      <c r="O18" s="97">
        <f>23909+194143</f>
        <v>218052</v>
      </c>
      <c r="P18" s="64"/>
      <c r="Q18" s="97">
        <f>24341+194760</f>
        <v>219101</v>
      </c>
      <c r="R18" s="64"/>
      <c r="S18" s="97">
        <v>219444</v>
      </c>
      <c r="T18" s="64"/>
      <c r="U18" s="97">
        <v>220138</v>
      </c>
      <c r="V18" s="64"/>
      <c r="W18" s="97">
        <v>219537</v>
      </c>
      <c r="X18" s="64"/>
      <c r="Y18" s="97">
        <v>219935</v>
      </c>
      <c r="Z18" s="64"/>
      <c r="AA18" s="97">
        <f>26070+193501</f>
        <v>219571</v>
      </c>
      <c r="AB18" s="64"/>
      <c r="AC18" s="215">
        <v>1717071</v>
      </c>
      <c r="AD18" s="144"/>
      <c r="AE18" s="152"/>
      <c r="AF18" s="523">
        <f t="shared" si="0"/>
        <v>519250.4</v>
      </c>
      <c r="AG18" s="483">
        <f t="shared" si="1"/>
        <v>6.7999754699324972</v>
      </c>
    </row>
    <row r="19" spans="1:33" ht="24.75" thickBot="1" x14ac:dyDescent="0.25">
      <c r="A19" s="266" t="s">
        <v>32</v>
      </c>
      <c r="B19" s="307"/>
      <c r="C19" s="288">
        <v>23641</v>
      </c>
      <c r="D19" s="307"/>
      <c r="E19" s="314"/>
      <c r="F19" s="315"/>
      <c r="G19" s="286"/>
      <c r="H19" s="285"/>
      <c r="I19" s="316">
        <v>16865481</v>
      </c>
      <c r="J19" s="315"/>
      <c r="K19" s="316">
        <v>16337748</v>
      </c>
      <c r="L19" s="285"/>
      <c r="M19" s="286">
        <v>14435062</v>
      </c>
      <c r="N19" s="285"/>
      <c r="O19" s="286">
        <v>11107520</v>
      </c>
      <c r="P19" s="285"/>
      <c r="Q19" s="286">
        <v>11117662</v>
      </c>
      <c r="R19" s="285"/>
      <c r="S19" s="286">
        <v>14114510</v>
      </c>
      <c r="T19" s="285"/>
      <c r="U19" s="286">
        <v>15823626</v>
      </c>
      <c r="V19" s="285"/>
      <c r="W19" s="286">
        <v>20779362</v>
      </c>
      <c r="X19" s="285"/>
      <c r="Y19" s="286">
        <v>21208537</v>
      </c>
      <c r="Z19" s="285"/>
      <c r="AA19" s="286">
        <f>483457+21299573</f>
        <v>21783030</v>
      </c>
      <c r="AB19" s="285"/>
      <c r="AC19" s="493">
        <v>32627630</v>
      </c>
      <c r="AD19" s="144"/>
      <c r="AE19" s="171"/>
      <c r="AF19" s="583">
        <f t="shared" si="0"/>
        <v>22444437</v>
      </c>
      <c r="AG19" s="483">
        <f t="shared" si="1"/>
        <v>1.0619565957891068</v>
      </c>
    </row>
    <row r="20" spans="1:33" ht="18.75" customHeight="1" thickBot="1" x14ac:dyDescent="0.25">
      <c r="A20" s="275" t="s">
        <v>14</v>
      </c>
      <c r="B20" s="319"/>
      <c r="C20" s="318">
        <f>SUM(C17:C19)</f>
        <v>1181716</v>
      </c>
      <c r="D20" s="319"/>
      <c r="E20" s="320">
        <f>SUM(E17:E19)</f>
        <v>1376018</v>
      </c>
      <c r="F20" s="321"/>
      <c r="G20" s="290">
        <f>SUM(G17:G19)</f>
        <v>1430525</v>
      </c>
      <c r="H20" s="289"/>
      <c r="I20" s="322">
        <f>SUM(I17:I19)</f>
        <v>20955005</v>
      </c>
      <c r="J20" s="321"/>
      <c r="K20" s="322">
        <f>SUM(K17:K19)</f>
        <v>20774427</v>
      </c>
      <c r="L20" s="289"/>
      <c r="M20" s="290">
        <f>SUM(M17:M19)</f>
        <v>18691469</v>
      </c>
      <c r="N20" s="289"/>
      <c r="O20" s="290">
        <f>SUM(O17:O19)</f>
        <v>14762445</v>
      </c>
      <c r="P20" s="289"/>
      <c r="Q20" s="290">
        <f>SUM(Q17:Q19)</f>
        <v>13944842</v>
      </c>
      <c r="R20" s="289"/>
      <c r="S20" s="290">
        <f>SUM(S17:S19)</f>
        <v>16913441</v>
      </c>
      <c r="T20" s="289"/>
      <c r="U20" s="290">
        <f>SUM(U17:U19)</f>
        <v>18530941</v>
      </c>
      <c r="V20" s="289"/>
      <c r="W20" s="290">
        <f>SUM(W17:W19)</f>
        <v>23612820</v>
      </c>
      <c r="X20" s="289"/>
      <c r="Y20" s="290">
        <f>SUM(Y17:Y19)</f>
        <v>24577546</v>
      </c>
      <c r="Z20" s="289"/>
      <c r="AA20" s="290">
        <f>SUM(AA17:AA19)</f>
        <v>25384543</v>
      </c>
      <c r="AB20" s="289"/>
      <c r="AC20" s="291">
        <f>SUM(AC17:AC19)</f>
        <v>37296843</v>
      </c>
      <c r="AD20" s="144"/>
      <c r="AE20" s="323"/>
      <c r="AF20" s="585">
        <f t="shared" si="0"/>
        <v>25880538.600000001</v>
      </c>
      <c r="AG20" s="512">
        <f t="shared" si="1"/>
        <v>1.0126793884886904</v>
      </c>
    </row>
    <row r="21" spans="1:33" ht="18.75" customHeight="1" thickBot="1" x14ac:dyDescent="0.25">
      <c r="A21" s="516" t="s">
        <v>15</v>
      </c>
      <c r="B21" s="505"/>
      <c r="C21" s="496">
        <f>SUM(C15,C20)</f>
        <v>2339510</v>
      </c>
      <c r="D21" s="505"/>
      <c r="E21" s="498">
        <f>SUM(E15,E20)</f>
        <v>3006542</v>
      </c>
      <c r="F21" s="506"/>
      <c r="G21" s="500">
        <f>SUM(G15,G20)</f>
        <v>3992889</v>
      </c>
      <c r="H21" s="507"/>
      <c r="I21" s="502">
        <f>SUM(I15,I20)</f>
        <v>23595046</v>
      </c>
      <c r="J21" s="506"/>
      <c r="K21" s="502">
        <f>SUM(K15,K20)</f>
        <v>23229396</v>
      </c>
      <c r="L21" s="507"/>
      <c r="M21" s="500">
        <f>SUM(M15,M20)</f>
        <v>21550802</v>
      </c>
      <c r="N21" s="507"/>
      <c r="O21" s="500">
        <f>SUM(O15,O20)</f>
        <v>18649968</v>
      </c>
      <c r="P21" s="507"/>
      <c r="Q21" s="500">
        <f>SUM(Q15,Q20)</f>
        <v>18580964</v>
      </c>
      <c r="R21" s="507"/>
      <c r="S21" s="500">
        <f>SUM(S15,S20)</f>
        <v>21308700</v>
      </c>
      <c r="T21" s="507"/>
      <c r="U21" s="500">
        <f>SUM(U15,U20)</f>
        <v>22966260</v>
      </c>
      <c r="V21" s="507"/>
      <c r="W21" s="500">
        <f>SUM(W15,W20)</f>
        <v>27411336</v>
      </c>
      <c r="X21" s="507"/>
      <c r="Y21" s="500">
        <f>SUM(Y15,Y20)</f>
        <v>28553594</v>
      </c>
      <c r="Z21" s="507"/>
      <c r="AA21" s="500">
        <f>SUM(AA15,AA20)</f>
        <v>30158690</v>
      </c>
      <c r="AB21" s="507"/>
      <c r="AC21" s="503">
        <f>SUM(AC15,AC20)</f>
        <v>41435896</v>
      </c>
      <c r="AD21" s="144"/>
      <c r="AE21" s="508"/>
      <c r="AF21" s="584">
        <f t="shared" si="0"/>
        <v>30105155.199999999</v>
      </c>
      <c r="AG21" s="492">
        <f>+(AC21-U21)/U21</f>
        <v>0.80420738944869563</v>
      </c>
    </row>
    <row r="22" spans="1:33" ht="18" customHeight="1" thickBot="1" x14ac:dyDescent="0.25">
      <c r="A22" s="494" t="s">
        <v>33</v>
      </c>
      <c r="B22" s="804" t="s">
        <v>7</v>
      </c>
      <c r="C22" s="805"/>
      <c r="D22" s="804" t="s">
        <v>8</v>
      </c>
      <c r="E22" s="804"/>
      <c r="F22" s="800" t="s">
        <v>22</v>
      </c>
      <c r="G22" s="801"/>
      <c r="H22" s="802" t="s">
        <v>24</v>
      </c>
      <c r="I22" s="802"/>
      <c r="J22" s="800" t="s">
        <v>25</v>
      </c>
      <c r="K22" s="802"/>
      <c r="L22" s="802"/>
      <c r="M22" s="801"/>
      <c r="N22" s="802"/>
      <c r="O22" s="801"/>
      <c r="P22" s="783"/>
      <c r="Q22" s="784"/>
      <c r="R22" s="787"/>
      <c r="S22" s="784"/>
      <c r="T22" s="787"/>
      <c r="U22" s="784"/>
      <c r="V22" s="787"/>
      <c r="W22" s="784"/>
      <c r="X22" s="787"/>
      <c r="Y22" s="784"/>
      <c r="Z22" s="787"/>
      <c r="AA22" s="784"/>
      <c r="AB22" s="783"/>
      <c r="AC22" s="788"/>
      <c r="AD22" s="144"/>
      <c r="AE22" s="779"/>
      <c r="AF22" s="780"/>
      <c r="AG22" s="600"/>
    </row>
    <row r="23" spans="1:33" ht="15" customHeight="1" x14ac:dyDescent="0.2">
      <c r="A23" s="182" t="s">
        <v>42</v>
      </c>
      <c r="B23" s="3"/>
      <c r="C23" s="53">
        <f>171817+645</f>
        <v>172462</v>
      </c>
      <c r="D23" s="114"/>
      <c r="E23" s="130">
        <v>157855</v>
      </c>
      <c r="F23" s="110"/>
      <c r="G23" s="111">
        <f>1789</f>
        <v>1789</v>
      </c>
      <c r="H23" s="27"/>
      <c r="I23" s="90">
        <f>18163.19</f>
        <v>18163.189999999999</v>
      </c>
      <c r="J23" s="71"/>
      <c r="K23" s="89">
        <f>17264</f>
        <v>17264</v>
      </c>
      <c r="L23" s="64"/>
      <c r="M23" s="209">
        <f>4739</f>
        <v>4739</v>
      </c>
      <c r="N23" s="64"/>
      <c r="O23" s="101">
        <f>7774</f>
        <v>7774</v>
      </c>
      <c r="P23" s="94"/>
      <c r="Q23" s="175">
        <f>12459</f>
        <v>12459</v>
      </c>
      <c r="R23" s="94"/>
      <c r="S23" s="175">
        <f>7679</f>
        <v>7679</v>
      </c>
      <c r="T23" s="94"/>
      <c r="U23" s="175">
        <f>11828</f>
        <v>11828</v>
      </c>
      <c r="V23" s="94"/>
      <c r="W23" s="175">
        <v>12475.52</v>
      </c>
      <c r="X23" s="94"/>
      <c r="Y23" s="632">
        <v>952</v>
      </c>
      <c r="Z23" s="94"/>
      <c r="AA23" s="632">
        <v>1099</v>
      </c>
      <c r="AB23" s="94"/>
      <c r="AC23" s="633"/>
      <c r="AD23" s="634"/>
      <c r="AE23" s="605"/>
      <c r="AF23" s="523">
        <f>AVERAGE(U23,S23,AA23,W23,Y23)</f>
        <v>6806.7040000000006</v>
      </c>
      <c r="AG23" s="483">
        <f>+(AA23-S23)/S23</f>
        <v>-0.85688240656335457</v>
      </c>
    </row>
    <row r="24" spans="1:33" ht="15" customHeight="1" x14ac:dyDescent="0.2">
      <c r="A24" s="182" t="s">
        <v>39</v>
      </c>
      <c r="B24" s="3"/>
      <c r="C24" s="53"/>
      <c r="D24" s="114"/>
      <c r="E24" s="130"/>
      <c r="F24" s="110"/>
      <c r="G24" s="111">
        <v>918414.9</v>
      </c>
      <c r="H24" s="27"/>
      <c r="I24" s="90">
        <v>879007.022</v>
      </c>
      <c r="J24" s="71"/>
      <c r="K24" s="89">
        <v>858675</v>
      </c>
      <c r="L24" s="64"/>
      <c r="M24" s="209">
        <v>805085.87</v>
      </c>
      <c r="N24" s="64"/>
      <c r="O24" s="101">
        <f>787261.17+34432.28</f>
        <v>821693.45000000007</v>
      </c>
      <c r="P24" s="26"/>
      <c r="Q24" s="58">
        <f>874738.02+63245.64</f>
        <v>937983.66</v>
      </c>
      <c r="R24" s="26"/>
      <c r="S24" s="58">
        <f>756004.97+67806.35</f>
        <v>823811.32</v>
      </c>
      <c r="T24" s="26"/>
      <c r="U24" s="58">
        <f>894233.34+70846.36</f>
        <v>965079.7</v>
      </c>
      <c r="V24" s="26"/>
      <c r="W24" s="58">
        <f>882645.62+60079.73</f>
        <v>942725.35</v>
      </c>
      <c r="X24" s="26"/>
      <c r="Y24" s="635">
        <f>2817437+42948</f>
        <v>2860385</v>
      </c>
      <c r="Z24" s="26"/>
      <c r="AA24" s="635">
        <f>4210476+225075+80200</f>
        <v>4515751</v>
      </c>
      <c r="AB24" s="26"/>
      <c r="AC24" s="636"/>
      <c r="AD24" s="634"/>
      <c r="AE24" s="605"/>
      <c r="AF24" s="523">
        <f t="shared" ref="AF24:AF25" si="2">AVERAGE(U24,S24,AA24,W24,Y24)</f>
        <v>2021550.4739999999</v>
      </c>
      <c r="AG24" s="483">
        <f t="shared" ref="AG24:AG25" si="3">+(AA24-S24)/S24</f>
        <v>4.4815355049988881</v>
      </c>
    </row>
    <row r="25" spans="1:33" ht="15" customHeight="1" thickBot="1" x14ac:dyDescent="0.25">
      <c r="A25" s="521" t="s">
        <v>63</v>
      </c>
      <c r="B25" s="6"/>
      <c r="C25" s="339"/>
      <c r="D25" s="293"/>
      <c r="E25" s="109"/>
      <c r="F25" s="132"/>
      <c r="G25" s="227">
        <v>902780.01</v>
      </c>
      <c r="H25" s="126"/>
      <c r="I25" s="109">
        <v>914947.63</v>
      </c>
      <c r="J25" s="340"/>
      <c r="K25" s="109">
        <v>1094092.8700000001</v>
      </c>
      <c r="L25" s="96"/>
      <c r="M25" s="227">
        <f>1182615.99+66795.8</f>
        <v>1249411.79</v>
      </c>
      <c r="N25" s="96"/>
      <c r="O25" s="341">
        <f>1004962.06+6426.94</f>
        <v>1011389</v>
      </c>
      <c r="P25" s="631"/>
      <c r="Q25" s="639">
        <f>1150984.56+73545.69</f>
        <v>1224530.25</v>
      </c>
      <c r="R25" s="631"/>
      <c r="S25" s="639">
        <f>1183568.26+4873.54</f>
        <v>1188441.8</v>
      </c>
      <c r="T25" s="631"/>
      <c r="U25" s="639">
        <v>1044076.36</v>
      </c>
      <c r="V25" s="631"/>
      <c r="W25" s="639">
        <f>1431966.37+66332.72</f>
        <v>1498299.09</v>
      </c>
      <c r="X25" s="631"/>
      <c r="Y25" s="640">
        <f>1987547+69938</f>
        <v>2057485</v>
      </c>
      <c r="Z25" s="631"/>
      <c r="AA25" s="640">
        <f>3939098+65839</f>
        <v>4004937</v>
      </c>
      <c r="AB25" s="631"/>
      <c r="AC25" s="641"/>
      <c r="AD25" s="634"/>
      <c r="AE25" s="611"/>
      <c r="AF25" s="523">
        <f t="shared" si="2"/>
        <v>1958647.85</v>
      </c>
      <c r="AG25" s="483">
        <f t="shared" si="3"/>
        <v>2.3699058717052868</v>
      </c>
    </row>
    <row r="26" spans="1:33" ht="18" customHeight="1" thickTop="1" x14ac:dyDescent="0.2">
      <c r="A26" s="188" t="s">
        <v>55</v>
      </c>
      <c r="B26" s="517" t="s">
        <v>20</v>
      </c>
      <c r="C26" s="229" t="s">
        <v>21</v>
      </c>
      <c r="D26" s="230" t="s">
        <v>20</v>
      </c>
      <c r="E26" s="231" t="s">
        <v>21</v>
      </c>
      <c r="F26" s="232" t="s">
        <v>20</v>
      </c>
      <c r="G26" s="233" t="s">
        <v>21</v>
      </c>
      <c r="H26" s="234" t="s">
        <v>20</v>
      </c>
      <c r="I26" s="282" t="s">
        <v>21</v>
      </c>
      <c r="J26" s="232" t="s">
        <v>20</v>
      </c>
      <c r="K26" s="518" t="s">
        <v>21</v>
      </c>
      <c r="L26" s="472" t="s">
        <v>20</v>
      </c>
      <c r="M26" s="479" t="s">
        <v>21</v>
      </c>
      <c r="N26" s="472" t="s">
        <v>20</v>
      </c>
      <c r="O26" s="479" t="s">
        <v>21</v>
      </c>
      <c r="P26" s="642" t="s">
        <v>20</v>
      </c>
      <c r="Q26" s="643" t="s">
        <v>21</v>
      </c>
      <c r="R26" s="642" t="s">
        <v>20</v>
      </c>
      <c r="S26" s="643" t="s">
        <v>21</v>
      </c>
      <c r="T26" s="642" t="s">
        <v>20</v>
      </c>
      <c r="U26" s="643" t="s">
        <v>21</v>
      </c>
      <c r="V26" s="642" t="s">
        <v>20</v>
      </c>
      <c r="W26" s="643" t="s">
        <v>21</v>
      </c>
      <c r="X26" s="642" t="s">
        <v>20</v>
      </c>
      <c r="Y26" s="643" t="s">
        <v>21</v>
      </c>
      <c r="Z26" s="642" t="s">
        <v>20</v>
      </c>
      <c r="AA26" s="643" t="s">
        <v>21</v>
      </c>
      <c r="AB26" s="644" t="s">
        <v>20</v>
      </c>
      <c r="AC26" s="613" t="s">
        <v>21</v>
      </c>
      <c r="AD26" s="634"/>
      <c r="AE26" s="612" t="s">
        <v>20</v>
      </c>
      <c r="AF26" s="613" t="s">
        <v>21</v>
      </c>
      <c r="AG26" s="482" t="s">
        <v>54</v>
      </c>
    </row>
    <row r="27" spans="1:33" ht="15" customHeight="1" x14ac:dyDescent="0.2">
      <c r="A27" s="182" t="s">
        <v>56</v>
      </c>
      <c r="B27" s="177">
        <v>1</v>
      </c>
      <c r="C27" s="113">
        <v>0</v>
      </c>
      <c r="D27" s="18">
        <v>2</v>
      </c>
      <c r="E27" s="113">
        <v>0</v>
      </c>
      <c r="F27" s="155">
        <v>0</v>
      </c>
      <c r="G27" s="113">
        <v>0</v>
      </c>
      <c r="H27" s="163">
        <v>1</v>
      </c>
      <c r="I27" s="113">
        <v>0</v>
      </c>
      <c r="J27" s="155">
        <v>1</v>
      </c>
      <c r="K27" s="88">
        <v>75000</v>
      </c>
      <c r="L27" s="167">
        <f>1+2</f>
        <v>3</v>
      </c>
      <c r="M27" s="221">
        <f>7076+80334</f>
        <v>87410</v>
      </c>
      <c r="N27" s="165">
        <v>0</v>
      </c>
      <c r="O27" s="221">
        <v>0</v>
      </c>
      <c r="P27" s="645">
        <v>5</v>
      </c>
      <c r="Q27" s="646">
        <f>1402478+74134+18623</f>
        <v>1495235</v>
      </c>
      <c r="R27" s="645">
        <v>1</v>
      </c>
      <c r="S27" s="646">
        <v>144561</v>
      </c>
      <c r="T27" s="645">
        <f>3+1</f>
        <v>4</v>
      </c>
      <c r="U27" s="646">
        <f>150370+10573121</f>
        <v>10723491</v>
      </c>
      <c r="V27" s="645">
        <v>11</v>
      </c>
      <c r="W27" s="646">
        <v>77766</v>
      </c>
      <c r="X27" s="645">
        <v>3</v>
      </c>
      <c r="Y27" s="646">
        <v>18197290</v>
      </c>
      <c r="Z27" s="645">
        <v>4</v>
      </c>
      <c r="AA27" s="646">
        <v>844354</v>
      </c>
      <c r="AB27" s="647"/>
      <c r="AC27" s="648"/>
      <c r="AD27" s="634"/>
      <c r="AE27" s="525">
        <f t="shared" ref="AE27:AE28" si="4">AVERAGE(T27,Z27,V27,X27,R27)</f>
        <v>4.5999999999999996</v>
      </c>
      <c r="AF27" s="649">
        <f>AVERAGE(U27,AA27,W27,Y27,S27)</f>
        <v>5997492.4000000004</v>
      </c>
      <c r="AG27" s="483">
        <f>+(Y27-Q27)/Q27</f>
        <v>11.170187294973699</v>
      </c>
    </row>
    <row r="28" spans="1:33" ht="15" customHeight="1" thickBot="1" x14ac:dyDescent="0.25">
      <c r="A28" s="190" t="s">
        <v>57</v>
      </c>
      <c r="B28" s="296">
        <v>5</v>
      </c>
      <c r="C28" s="299">
        <v>22115</v>
      </c>
      <c r="D28" s="238">
        <v>4</v>
      </c>
      <c r="E28" s="342">
        <v>35742</v>
      </c>
      <c r="F28" s="239">
        <v>3</v>
      </c>
      <c r="G28" s="343">
        <v>18323</v>
      </c>
      <c r="H28" s="241">
        <v>2</v>
      </c>
      <c r="I28" s="344">
        <v>19275</v>
      </c>
      <c r="J28" s="243">
        <f>1+1</f>
        <v>2</v>
      </c>
      <c r="K28" s="242">
        <f>19546+11938</f>
        <v>31484</v>
      </c>
      <c r="L28" s="464">
        <v>1</v>
      </c>
      <c r="M28" s="351">
        <v>74134</v>
      </c>
      <c r="N28" s="348">
        <v>5</v>
      </c>
      <c r="O28" s="351">
        <f>41518+221702</f>
        <v>263220</v>
      </c>
      <c r="P28" s="650">
        <v>3</v>
      </c>
      <c r="Q28" s="626">
        <f>150210+3982</f>
        <v>154192</v>
      </c>
      <c r="R28" s="650">
        <f>2+2+1</f>
        <v>5</v>
      </c>
      <c r="S28" s="626">
        <f>81958+74134+125945</f>
        <v>282037</v>
      </c>
      <c r="T28" s="650">
        <f>2+3</f>
        <v>5</v>
      </c>
      <c r="U28" s="626">
        <f>453714+150737</f>
        <v>604451</v>
      </c>
      <c r="V28" s="650">
        <v>4</v>
      </c>
      <c r="W28" s="626">
        <v>4080119</v>
      </c>
      <c r="X28" s="650">
        <v>6</v>
      </c>
      <c r="Y28" s="626">
        <v>7028301</v>
      </c>
      <c r="Z28" s="650">
        <v>4</v>
      </c>
      <c r="AA28" s="626">
        <v>7936931</v>
      </c>
      <c r="AB28" s="651"/>
      <c r="AC28" s="652"/>
      <c r="AD28" s="634"/>
      <c r="AE28" s="471">
        <f t="shared" si="4"/>
        <v>4.8</v>
      </c>
      <c r="AF28" s="653">
        <f>AVERAGE(U28,AA28,W28,Y28,S28)</f>
        <v>3986367.8</v>
      </c>
      <c r="AG28" s="483">
        <f t="shared" ref="AG28" si="5">+(Y28-Q28)/Q28</f>
        <v>44.581489312026562</v>
      </c>
    </row>
    <row r="29" spans="1:33" ht="18" customHeight="1" thickTop="1" thickBot="1" x14ac:dyDescent="0.25">
      <c r="A29" s="112" t="s">
        <v>17</v>
      </c>
      <c r="B29" s="796" t="s">
        <v>7</v>
      </c>
      <c r="C29" s="797"/>
      <c r="D29" s="796" t="s">
        <v>8</v>
      </c>
      <c r="E29" s="796"/>
      <c r="F29" s="794" t="s">
        <v>22</v>
      </c>
      <c r="G29" s="793"/>
      <c r="H29" s="792" t="s">
        <v>24</v>
      </c>
      <c r="I29" s="792"/>
      <c r="J29" s="794" t="s">
        <v>25</v>
      </c>
      <c r="K29" s="792"/>
      <c r="L29" s="798"/>
      <c r="M29" s="799"/>
      <c r="N29" s="798"/>
      <c r="O29" s="799"/>
      <c r="P29" s="785"/>
      <c r="Q29" s="786"/>
      <c r="R29" s="785"/>
      <c r="S29" s="786"/>
      <c r="T29" s="785"/>
      <c r="U29" s="786"/>
      <c r="V29" s="785"/>
      <c r="W29" s="786"/>
      <c r="X29" s="785"/>
      <c r="Y29" s="786"/>
      <c r="Z29" s="785"/>
      <c r="AA29" s="786"/>
      <c r="AB29" s="785"/>
      <c r="AC29" s="789"/>
      <c r="AD29" s="634"/>
      <c r="AE29" s="781"/>
      <c r="AF29" s="782"/>
      <c r="AG29" s="514"/>
    </row>
    <row r="30" spans="1:33" s="61" customFormat="1" ht="15" customHeight="1" x14ac:dyDescent="0.2">
      <c r="A30" s="200" t="s">
        <v>18</v>
      </c>
      <c r="B30" s="95"/>
      <c r="C30" s="60">
        <f>858945.07+40900.68+525</f>
        <v>900370.75</v>
      </c>
      <c r="D30" s="124"/>
      <c r="E30" s="125">
        <f>50010+34446.41+1392996.24</f>
        <v>1477452.65</v>
      </c>
      <c r="F30" s="131"/>
      <c r="G30" s="60">
        <f>51000+25+619432+16651</f>
        <v>687108</v>
      </c>
      <c r="H30" s="124"/>
      <c r="I30" s="136">
        <f>270755.65+303725+965707+10384.38</f>
        <v>1550572.0299999998</v>
      </c>
      <c r="J30" s="131"/>
      <c r="K30" s="136">
        <f>155566+350+1025646+45221</f>
        <v>1226783</v>
      </c>
      <c r="L30" s="124"/>
      <c r="M30" s="197">
        <v>612716</v>
      </c>
      <c r="N30" s="124"/>
      <c r="O30" s="197">
        <f>198695+60183+981510+39113</f>
        <v>1279501</v>
      </c>
      <c r="P30" s="654"/>
      <c r="Q30" s="655">
        <f>158672.38+92236.64+4302186.61+174292.86</f>
        <v>4727388.4900000012</v>
      </c>
      <c r="R30" s="654"/>
      <c r="S30" s="655">
        <v>1206754.96</v>
      </c>
      <c r="T30" s="654"/>
      <c r="U30" s="655">
        <v>1872256.95</v>
      </c>
      <c r="V30" s="654"/>
      <c r="W30" s="655">
        <f>8100+236608+1076886.82+7803.4</f>
        <v>1329398.22</v>
      </c>
      <c r="X30" s="654"/>
      <c r="Y30" s="655">
        <f>11055.78+212931.36+1587348.14+6164.01</f>
        <v>1817499.2899999998</v>
      </c>
      <c r="Z30" s="654"/>
      <c r="AA30" s="655">
        <f>1142425+56976.59+0.09+7714.13+182593.85+62552.12</f>
        <v>1452261.7800000003</v>
      </c>
      <c r="AB30" s="654"/>
      <c r="AC30" s="656"/>
      <c r="AD30" s="657"/>
      <c r="AE30" s="603"/>
      <c r="AF30" s="604">
        <f>AVERAGE(U30,Y30,W30,AA30,S30)</f>
        <v>1535634.24</v>
      </c>
      <c r="AG30" s="483">
        <f>+(AA30-S30)/S30</f>
        <v>0.20344380436604984</v>
      </c>
    </row>
    <row r="31" spans="1:33" s="61" customFormat="1" ht="15" customHeight="1" thickBot="1" x14ac:dyDescent="0.25">
      <c r="A31" s="201" t="s">
        <v>19</v>
      </c>
      <c r="B31" s="96"/>
      <c r="C31" s="127">
        <f>1899041.88+172105.66</f>
        <v>2071147.5399999998</v>
      </c>
      <c r="D31" s="126"/>
      <c r="E31" s="109">
        <f>2024889.65+188441.1</f>
        <v>2213330.75</v>
      </c>
      <c r="F31" s="132"/>
      <c r="G31" s="102">
        <f>2148424.39+235981.64</f>
        <v>2384406.0300000003</v>
      </c>
      <c r="H31" s="126"/>
      <c r="I31" s="109">
        <f>438238.03+2436105.66</f>
        <v>2874343.6900000004</v>
      </c>
      <c r="J31" s="132"/>
      <c r="K31" s="109">
        <f>534065.07+2353211.71</f>
        <v>2887276.78</v>
      </c>
      <c r="L31" s="126"/>
      <c r="M31" s="102">
        <f>422419.89+1752946.68</f>
        <v>2175366.5699999998</v>
      </c>
      <c r="N31" s="126"/>
      <c r="O31" s="102">
        <f>453514+1892980</f>
        <v>2346494</v>
      </c>
      <c r="P31" s="658"/>
      <c r="Q31" s="630">
        <f>522351.78+2045187.17</f>
        <v>2567538.9500000002</v>
      </c>
      <c r="R31" s="658"/>
      <c r="S31" s="630">
        <v>2448392.42</v>
      </c>
      <c r="T31" s="658"/>
      <c r="U31" s="630">
        <f>524581.07+2100676.97</f>
        <v>2625258.04</v>
      </c>
      <c r="V31" s="658"/>
      <c r="W31" s="630">
        <f>594310.07+2370576.38</f>
        <v>2964886.4499999997</v>
      </c>
      <c r="X31" s="658"/>
      <c r="Y31" s="630">
        <v>2851030.01</v>
      </c>
      <c r="Z31" s="658"/>
      <c r="AA31" s="630">
        <v>3270133</v>
      </c>
      <c r="AB31" s="658"/>
      <c r="AC31" s="659"/>
      <c r="AD31" s="657"/>
      <c r="AE31" s="611"/>
      <c r="AF31" s="615">
        <f t="shared" ref="AF31" si="6">AVERAGE(U31,Y31,W31,AA31,S31)</f>
        <v>2831939.9840000002</v>
      </c>
      <c r="AG31" s="484">
        <f t="shared" ref="AG31" si="7">+(AA31-S31)/S31</f>
        <v>0.33562454012171794</v>
      </c>
    </row>
    <row r="32" spans="1:33" ht="15" customHeight="1" thickTop="1" x14ac:dyDescent="0.2">
      <c r="A32" s="15" t="s">
        <v>23</v>
      </c>
      <c r="B32" s="11"/>
      <c r="C32" s="17"/>
      <c r="D32" s="11"/>
      <c r="E32" s="12"/>
      <c r="F32" s="67"/>
      <c r="G32" s="63"/>
      <c r="H32" s="67"/>
      <c r="I32" s="63"/>
      <c r="J32" s="67"/>
      <c r="K32" s="63"/>
      <c r="L32" s="67"/>
      <c r="M32" s="63"/>
      <c r="N32" s="67"/>
      <c r="O32" s="63"/>
      <c r="P32" s="67"/>
      <c r="Q32" s="63"/>
      <c r="R32" s="67"/>
      <c r="S32" s="63"/>
      <c r="T32" s="67"/>
      <c r="U32" s="63"/>
      <c r="V32" s="67"/>
      <c r="W32" s="63"/>
      <c r="X32" s="67"/>
      <c r="Y32" s="63"/>
      <c r="Z32" s="67"/>
      <c r="AA32" s="63"/>
      <c r="AB32" s="67"/>
      <c r="AC32" s="63"/>
      <c r="AD32" s="10"/>
      <c r="AE32" s="10"/>
      <c r="AF32" s="147"/>
    </row>
    <row r="33" spans="30:30" ht="12" customHeight="1" x14ac:dyDescent="0.2"/>
    <row r="34" spans="30:30" ht="12" customHeight="1" x14ac:dyDescent="0.2"/>
    <row r="35" spans="30:30" ht="12" customHeight="1" x14ac:dyDescent="0.2">
      <c r="AD35" s="1" t="s">
        <v>4</v>
      </c>
    </row>
    <row r="36" spans="30:30" ht="12" customHeight="1" x14ac:dyDescent="0.2"/>
    <row r="37" spans="30:30" ht="12" customHeight="1" x14ac:dyDescent="0.2"/>
    <row r="38" spans="30:30" ht="12" customHeight="1" x14ac:dyDescent="0.2"/>
    <row r="39" spans="30:30" ht="12" customHeight="1" x14ac:dyDescent="0.2"/>
    <row r="40" spans="30:30" ht="12" customHeight="1" x14ac:dyDescent="0.2"/>
    <row r="41" spans="30:30" ht="12" customHeight="1" x14ac:dyDescent="0.2"/>
  </sheetData>
  <mergeCells count="45">
    <mergeCell ref="F22:G22"/>
    <mergeCell ref="H22:I22"/>
    <mergeCell ref="N9:O9"/>
    <mergeCell ref="B9:C9"/>
    <mergeCell ref="F9:G9"/>
    <mergeCell ref="H9:I9"/>
    <mergeCell ref="D9:E9"/>
    <mergeCell ref="B22:C22"/>
    <mergeCell ref="D22:E22"/>
    <mergeCell ref="J22:K22"/>
    <mergeCell ref="L22:M22"/>
    <mergeCell ref="N22:O22"/>
    <mergeCell ref="B29:C29"/>
    <mergeCell ref="D29:E29"/>
    <mergeCell ref="V29:W29"/>
    <mergeCell ref="L29:M29"/>
    <mergeCell ref="N29:O29"/>
    <mergeCell ref="P29:Q29"/>
    <mergeCell ref="F29:G29"/>
    <mergeCell ref="H29:I29"/>
    <mergeCell ref="J29:K29"/>
    <mergeCell ref="AE9:AF9"/>
    <mergeCell ref="R9:S9"/>
    <mergeCell ref="T9:U9"/>
    <mergeCell ref="X9:Y9"/>
    <mergeCell ref="J9:K9"/>
    <mergeCell ref="P9:Q9"/>
    <mergeCell ref="L9:M9"/>
    <mergeCell ref="V9:W9"/>
    <mergeCell ref="Z9:AA9"/>
    <mergeCell ref="AB9:AC9"/>
    <mergeCell ref="AE22:AF22"/>
    <mergeCell ref="AE29:AF29"/>
    <mergeCell ref="P22:Q22"/>
    <mergeCell ref="X29:Y29"/>
    <mergeCell ref="Z29:AA29"/>
    <mergeCell ref="T22:U22"/>
    <mergeCell ref="V22:W22"/>
    <mergeCell ref="X22:Y22"/>
    <mergeCell ref="R29:S29"/>
    <mergeCell ref="T29:U29"/>
    <mergeCell ref="Z22:AA22"/>
    <mergeCell ref="R22:S22"/>
    <mergeCell ref="AB22:AC22"/>
    <mergeCell ref="AB29:AC29"/>
  </mergeCells>
  <phoneticPr fontId="0" type="noConversion"/>
  <printOptions horizontalCentered="1" verticalCentered="1"/>
  <pageMargins left="0.25" right="0.5" top="0.5" bottom="0.5" header="0.5" footer="0.25"/>
  <pageSetup scale="80" orientation="landscape" horizontalDpi="4294967292" verticalDpi="4294967292" r:id="rId1"/>
  <headerFooter alignWithMargins="0">
    <oddFooter>&amp;LPrepared by Planning and Analysis&amp;C&amp;P of &amp;N&amp;RUpdated &amp;D</oddFooter>
  </headerFooter>
  <rowBreaks count="1" manualBreakCount="1">
    <brk id="8" max="30" man="1"/>
  </rowBreaks>
  <colBreaks count="1" manualBreakCount="1">
    <brk id="29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tabSelected="1" zoomScaleNormal="100" zoomScaleSheetLayoutView="100" workbookViewId="0">
      <pane xSplit="1" ySplit="3" topLeftCell="B4" activePane="bottomRight" state="frozen"/>
      <selection activeCell="U15" sqref="U15"/>
      <selection pane="topRight" activeCell="U15" sqref="U15"/>
      <selection pane="bottomLeft" activeCell="U15" sqref="U15"/>
      <selection pane="bottomRight" activeCell="S1" sqref="N1:S1048576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5703125" hidden="1" customWidth="1"/>
    <col min="4" max="4" width="4.7109375" hidden="1" customWidth="1"/>
    <col min="5" max="5" width="10.7109375" hidden="1" customWidth="1"/>
    <col min="6" max="6" width="4.7109375" style="62" hidden="1" customWidth="1"/>
    <col min="7" max="7" width="10.7109375" style="62" hidden="1" customWidth="1"/>
    <col min="8" max="8" width="4.7109375" style="62" hidden="1" customWidth="1"/>
    <col min="9" max="9" width="10.7109375" style="62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1.28515625" style="1" hidden="1" customWidth="1"/>
    <col min="14" max="14" width="4.7109375" style="1" hidden="1" customWidth="1"/>
    <col min="15" max="15" width="11.28515625" style="1" hidden="1" customWidth="1"/>
    <col min="16" max="16" width="4.7109375" style="1" hidden="1" customWidth="1"/>
    <col min="17" max="17" width="11.28515625" style="1" hidden="1" customWidth="1"/>
    <col min="18" max="18" width="4.7109375" style="1" hidden="1" customWidth="1"/>
    <col min="19" max="19" width="11.28515625" style="1" hidden="1" customWidth="1"/>
    <col min="20" max="20" width="4.7109375" style="1" customWidth="1"/>
    <col min="21" max="21" width="11.28515625" style="1" bestFit="1" customWidth="1"/>
    <col min="22" max="22" width="4.7109375" style="1" customWidth="1"/>
    <col min="23" max="23" width="11.28515625" style="1" bestFit="1" customWidth="1"/>
    <col min="24" max="24" width="4.7109375" style="1" customWidth="1"/>
    <col min="25" max="25" width="11.28515625" style="1" bestFit="1" customWidth="1"/>
    <col min="26" max="26" width="4.7109375" style="1" customWidth="1"/>
    <col min="27" max="27" width="11.28515625" style="1" bestFit="1" customWidth="1"/>
    <col min="28" max="28" width="4.7109375" style="1" customWidth="1"/>
    <col min="29" max="29" width="10.7109375" style="1" customWidth="1"/>
    <col min="30" max="30" width="2.7109375" style="1" customWidth="1"/>
    <col min="31" max="31" width="4.7109375" style="1" customWidth="1"/>
    <col min="32" max="32" width="10.85546875" style="1" customWidth="1"/>
    <col min="33" max="33" width="8.7109375" style="1" customWidth="1"/>
    <col min="34" max="16384" width="10.28515625" style="1"/>
  </cols>
  <sheetData>
    <row r="1" spans="1:33" ht="15.75" x14ac:dyDescent="0.25">
      <c r="A1" s="419" t="s">
        <v>48</v>
      </c>
    </row>
    <row r="2" spans="1:33" ht="15.75" x14ac:dyDescent="0.25">
      <c r="A2" s="419" t="s">
        <v>49</v>
      </c>
    </row>
    <row r="3" spans="1:33" ht="5.25" customHeight="1" x14ac:dyDescent="0.25">
      <c r="A3" s="419"/>
    </row>
    <row r="4" spans="1:33" ht="15.75" x14ac:dyDescent="0.25">
      <c r="A4" s="420" t="s">
        <v>41</v>
      </c>
    </row>
    <row r="5" spans="1:33" ht="6" customHeight="1" x14ac:dyDescent="0.25">
      <c r="A5" s="420"/>
    </row>
    <row r="6" spans="1:33" x14ac:dyDescent="0.2">
      <c r="A6" s="2" t="s">
        <v>59</v>
      </c>
      <c r="B6" s="1"/>
      <c r="C6" s="1"/>
      <c r="D6" s="1"/>
      <c r="E6" s="1"/>
      <c r="F6" s="61"/>
      <c r="G6" s="61"/>
      <c r="H6" s="61"/>
      <c r="I6" s="61"/>
    </row>
    <row r="7" spans="1:33" x14ac:dyDescent="0.2">
      <c r="A7" s="421"/>
      <c r="B7" s="1"/>
      <c r="C7" s="1"/>
      <c r="D7" s="1"/>
      <c r="E7" s="1"/>
      <c r="F7" s="61"/>
      <c r="G7" s="61"/>
      <c r="H7" s="61"/>
      <c r="I7" s="61"/>
    </row>
    <row r="8" spans="1:33" ht="12" customHeight="1" thickBot="1" x14ac:dyDescent="0.25">
      <c r="A8" s="16"/>
      <c r="B8" s="10"/>
      <c r="C8" s="10"/>
      <c r="D8" s="10"/>
      <c r="E8" s="10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E8" s="10"/>
      <c r="AF8" s="10"/>
    </row>
    <row r="9" spans="1:33" ht="30" customHeight="1" thickTop="1" thickBot="1" x14ac:dyDescent="0.25">
      <c r="A9" s="363"/>
      <c r="B9" s="803" t="s">
        <v>7</v>
      </c>
      <c r="C9" s="797"/>
      <c r="D9" s="796" t="s">
        <v>8</v>
      </c>
      <c r="E9" s="796"/>
      <c r="F9" s="794" t="s">
        <v>22</v>
      </c>
      <c r="G9" s="793"/>
      <c r="H9" s="794" t="s">
        <v>24</v>
      </c>
      <c r="I9" s="793"/>
      <c r="J9" s="792" t="s">
        <v>25</v>
      </c>
      <c r="K9" s="792"/>
      <c r="L9" s="794" t="s">
        <v>26</v>
      </c>
      <c r="M9" s="793"/>
      <c r="N9" s="792" t="s">
        <v>28</v>
      </c>
      <c r="O9" s="793"/>
      <c r="P9" s="792" t="s">
        <v>29</v>
      </c>
      <c r="Q9" s="793"/>
      <c r="R9" s="792" t="s">
        <v>34</v>
      </c>
      <c r="S9" s="793"/>
      <c r="T9" s="792" t="s">
        <v>35</v>
      </c>
      <c r="U9" s="793"/>
      <c r="V9" s="792" t="s">
        <v>36</v>
      </c>
      <c r="W9" s="793"/>
      <c r="X9" s="792" t="s">
        <v>37</v>
      </c>
      <c r="Y9" s="793"/>
      <c r="Z9" s="792" t="s">
        <v>38</v>
      </c>
      <c r="AA9" s="793"/>
      <c r="AB9" s="792" t="s">
        <v>60</v>
      </c>
      <c r="AC9" s="795"/>
      <c r="AD9" s="146"/>
      <c r="AE9" s="806" t="s">
        <v>27</v>
      </c>
      <c r="AF9" s="807"/>
      <c r="AG9" s="435" t="s">
        <v>43</v>
      </c>
    </row>
    <row r="10" spans="1:33" ht="18" customHeight="1" x14ac:dyDescent="0.2">
      <c r="A10" s="364" t="s">
        <v>9</v>
      </c>
      <c r="B10" s="365"/>
      <c r="C10" s="366"/>
      <c r="D10" s="367"/>
      <c r="E10" s="367"/>
      <c r="F10" s="368"/>
      <c r="G10" s="369"/>
      <c r="H10" s="368"/>
      <c r="I10" s="369"/>
      <c r="J10" s="370"/>
      <c r="K10" s="370"/>
      <c r="L10" s="368"/>
      <c r="M10" s="369"/>
      <c r="N10" s="744"/>
      <c r="O10" s="745"/>
      <c r="P10" s="744"/>
      <c r="Q10" s="745"/>
      <c r="R10" s="744"/>
      <c r="S10" s="745"/>
      <c r="T10" s="744"/>
      <c r="U10" s="745"/>
      <c r="V10" s="744"/>
      <c r="W10" s="745"/>
      <c r="X10" s="744"/>
      <c r="Y10" s="745"/>
      <c r="Z10" s="744"/>
      <c r="AA10" s="745"/>
      <c r="AB10" s="744"/>
      <c r="AC10" s="746"/>
      <c r="AD10" s="609"/>
      <c r="AE10" s="747"/>
      <c r="AF10" s="748"/>
      <c r="AG10" s="436"/>
    </row>
    <row r="11" spans="1:33" ht="15" customHeight="1" x14ac:dyDescent="0.2">
      <c r="A11" s="181" t="s">
        <v>10</v>
      </c>
      <c r="B11" s="371"/>
      <c r="C11" s="372"/>
      <c r="D11" s="373"/>
      <c r="E11" s="373"/>
      <c r="F11" s="374"/>
      <c r="G11" s="101"/>
      <c r="H11" s="374"/>
      <c r="I11" s="101"/>
      <c r="J11" s="88"/>
      <c r="K11" s="88"/>
      <c r="L11" s="374"/>
      <c r="M11" s="101"/>
      <c r="N11" s="26"/>
      <c r="O11" s="58"/>
      <c r="P11" s="26"/>
      <c r="Q11" s="58"/>
      <c r="R11" s="26"/>
      <c r="S11" s="58"/>
      <c r="T11" s="26"/>
      <c r="U11" s="58"/>
      <c r="V11" s="26"/>
      <c r="W11" s="58"/>
      <c r="X11" s="26"/>
      <c r="Y11" s="58"/>
      <c r="Z11" s="26"/>
      <c r="AA11" s="58"/>
      <c r="AB11" s="26"/>
      <c r="AC11" s="65"/>
      <c r="AD11" s="609"/>
      <c r="AE11" s="603"/>
      <c r="AF11" s="604"/>
      <c r="AG11" s="437"/>
    </row>
    <row r="12" spans="1:33" ht="15" customHeight="1" x14ac:dyDescent="0.2">
      <c r="A12" s="182" t="s">
        <v>11</v>
      </c>
      <c r="B12" s="375"/>
      <c r="C12" s="376"/>
      <c r="D12" s="284"/>
      <c r="E12" s="377"/>
      <c r="F12" s="170"/>
      <c r="G12" s="378"/>
      <c r="H12" s="170"/>
      <c r="I12" s="378"/>
      <c r="J12" s="192"/>
      <c r="K12" s="379"/>
      <c r="L12" s="170"/>
      <c r="M12" s="378">
        <f>Dean_Ag!M12+Ag_Econ!M12+Agronomy!M12+Animal_Sci!M12+CommAgEd!M12+Entomology!M12+Grain_Sci!M12+Horticulture!M12+Plant_Path!M12</f>
        <v>9792367</v>
      </c>
      <c r="N12" s="94"/>
      <c r="O12" s="98">
        <f>Dean_Ag!O12+Ag_Econ!O12+Agronomy!O12+Animal_Sci!O12+CommAgEd!O12+Entomology!O12+Grain_Sci!O12+Horticulture!O12+Plant_Path!O12</f>
        <v>10743833</v>
      </c>
      <c r="P12" s="94"/>
      <c r="Q12" s="98">
        <f>Dean_Ag!Q12+Ag_Econ!Q12+Agronomy!Q12+Animal_Sci!Q12+CommAgEd!Q12+Entomology!Q12+Grain_Sci!Q12+Horticulture!Q12+Plant_Path!Q12</f>
        <v>11820412</v>
      </c>
      <c r="R12" s="94"/>
      <c r="S12" s="98">
        <f>Dean_Ag!S12+Ag_Econ!S12+Agronomy!S12+Animal_Sci!S12+CommAgEd!S12+Entomology!S12+Grain_Sci!S12+Horticulture!S12+Plant_Path!S12</f>
        <v>13683600</v>
      </c>
      <c r="T12" s="94"/>
      <c r="U12" s="98">
        <f>Dean_Ag!U12+Ag_Econ!U12+Agronomy!U12+Animal_Sci!U12+CommAgEd!U12+Entomology!U12+Grain_Sci!U12+Horticulture!U12+Plant_Path!U12</f>
        <v>14749957</v>
      </c>
      <c r="V12" s="94"/>
      <c r="W12" s="98">
        <f>Dean_Ag!W12+Ag_Econ!W12+Agronomy!W12+Animal_Sci!W12+CommAgEd!W12+Entomology!W12+Grain_Sci!W12+Horticulture!W12+Plant_Path!W12</f>
        <v>18652989</v>
      </c>
      <c r="X12" s="94"/>
      <c r="Y12" s="98">
        <f>Dean_Ag!Y12+Ag_Econ!Y12+Agronomy!Y12+Animal_Sci!Y12+CommAgEd!Y12+Entomology!Y12+Grain_Sci!Y12+Horticulture!Y12+Plant_Path!Y12</f>
        <v>19310437</v>
      </c>
      <c r="Z12" s="94"/>
      <c r="AA12" s="98">
        <f>Dean_Ag!AA12+Ag_Econ!AA12+Agronomy!AA12+Animal_Sci!AA12+CommAgEd!AA12+Entomology!AA12+Grain_Sci!AA12+Horticulture!AA12+Plant_Path!AA12</f>
        <v>19629025</v>
      </c>
      <c r="AB12" s="94"/>
      <c r="AC12" s="98">
        <f>Dean_Ag!AC12+Ag_Econ!AC12+Agronomy!AC12+Animal_Sci!AC12+CommAgEd!AC12+Entomology!AC12+Grain_Sci!AC12+Horticulture!AC12+Plant_Path!AC12</f>
        <v>19241013</v>
      </c>
      <c r="AD12" s="609"/>
      <c r="AE12" s="605"/>
      <c r="AF12" s="523">
        <f>AVERAGE(U12,AC12,Y12,W12,AA12)</f>
        <v>18316684.199999999</v>
      </c>
      <c r="AG12" s="438">
        <f>+(AC12-U12)/U12</f>
        <v>0.30447926051581031</v>
      </c>
    </row>
    <row r="13" spans="1:33" ht="15" customHeight="1" x14ac:dyDescent="0.2">
      <c r="A13" s="182" t="s">
        <v>30</v>
      </c>
      <c r="B13" s="375"/>
      <c r="C13" s="376"/>
      <c r="D13" s="284"/>
      <c r="E13" s="377"/>
      <c r="F13" s="170"/>
      <c r="G13" s="378"/>
      <c r="H13" s="170"/>
      <c r="I13" s="378"/>
      <c r="J13" s="192"/>
      <c r="K13" s="379"/>
      <c r="L13" s="170"/>
      <c r="M13" s="378">
        <f>Dean_Ag!M13+Ag_Econ!M13+Agronomy!M13+Animal_Sci!M13+CommAgEd!M13+Entomology!M13+Grain_Sci!M13+Horticulture!M13+Plant_Path!M13</f>
        <v>0</v>
      </c>
      <c r="N13" s="94"/>
      <c r="O13" s="98">
        <f>Dean_Ag!O13+Ag_Econ!O13+Agronomy!O13+Animal_Sci!O13+CommAgEd!O13+Entomology!O13+Grain_Sci!O13+Horticulture!O13+Plant_Path!O13</f>
        <v>0</v>
      </c>
      <c r="P13" s="94"/>
      <c r="Q13" s="98">
        <f>Dean_Ag!Q13+Ag_Econ!Q13+Agronomy!Q13+Animal_Sci!Q13+CommAgEd!Q13+Entomology!Q13+Grain_Sci!Q13+Horticulture!Q13+Plant_Path!Q13</f>
        <v>0</v>
      </c>
      <c r="R13" s="94"/>
      <c r="S13" s="98">
        <f>Dean_Ag!S13+Ag_Econ!S13+Agronomy!S13+Animal_Sci!S13+CommAgEd!S13+Entomology!S13+Grain_Sci!S13+Horticulture!S13+Plant_Path!S13</f>
        <v>0</v>
      </c>
      <c r="T13" s="94"/>
      <c r="U13" s="98">
        <f>Dean_Ag!U13+Ag_Econ!U13+Agronomy!U13+Animal_Sci!U13+CommAgEd!U13+Entomology!U13+Grain_Sci!U13+Horticulture!U13+Plant_Path!U13</f>
        <v>0</v>
      </c>
      <c r="V13" s="94"/>
      <c r="W13" s="98">
        <f>Dean_Ag!W13+Ag_Econ!W13+Agronomy!W13+Animal_Sci!W13+CommAgEd!W13+Entomology!W13+Grain_Sci!W13+Horticulture!W13+Plant_Path!W13</f>
        <v>0</v>
      </c>
      <c r="X13" s="94"/>
      <c r="Y13" s="98">
        <f>Dean_Ag!Y13+Ag_Econ!Y13+Agronomy!Y13+Animal_Sci!Y13+CommAgEd!Y13+Entomology!Y13+Grain_Sci!Y13+Horticulture!Y13+Plant_Path!Y13</f>
        <v>0</v>
      </c>
      <c r="Z13" s="94"/>
      <c r="AA13" s="98">
        <f>Dean_Ag!AA13+Ag_Econ!AA13+Agronomy!AA13+Animal_Sci!AA13+CommAgEd!AA13+Entomology!AA13+Grain_Sci!AA13+Horticulture!AA13+Plant_Path!AA13</f>
        <v>0</v>
      </c>
      <c r="AB13" s="94"/>
      <c r="AC13" s="98">
        <f>Dean_Ag!AC13+Ag_Econ!AC13+Agronomy!AC13+Animal_Sci!AC13+CommAgEd!AC13+Entomology!AC13+Grain_Sci!AC13+Horticulture!AC13+Plant_Path!AC13</f>
        <v>0</v>
      </c>
      <c r="AD13" s="609"/>
      <c r="AE13" s="609"/>
      <c r="AF13" s="523">
        <f t="shared" ref="AF13:AF21" si="0">AVERAGE(U13,AC13,Y13,W13,AA13)</f>
        <v>0</v>
      </c>
      <c r="AG13" s="437"/>
    </row>
    <row r="14" spans="1:33" ht="30" customHeight="1" thickBot="1" x14ac:dyDescent="0.25">
      <c r="A14" s="266" t="s">
        <v>31</v>
      </c>
      <c r="B14" s="380"/>
      <c r="C14" s="381"/>
      <c r="D14" s="325"/>
      <c r="E14" s="382"/>
      <c r="F14" s="383"/>
      <c r="G14" s="384"/>
      <c r="H14" s="383"/>
      <c r="I14" s="384"/>
      <c r="J14" s="164"/>
      <c r="K14" s="385"/>
      <c r="L14" s="383"/>
      <c r="M14" s="378">
        <f>Dean_Ag!M14+Ag_Econ!M14+Agronomy!M14+Animal_Sci!M14+CommAgEd!M14+Entomology!M14+Grain_Sci!M14+Horticulture!M14+Plant_Path!M14</f>
        <v>1361898</v>
      </c>
      <c r="N14" s="258"/>
      <c r="O14" s="98">
        <f>Dean_Ag!O14+Ag_Econ!O14+Agronomy!O14+Animal_Sci!O14+CommAgEd!O14+Entomology!O14+Grain_Sci!O14+Horticulture!O14+Plant_Path!O14</f>
        <v>1357463</v>
      </c>
      <c r="P14" s="258"/>
      <c r="Q14" s="98">
        <f>Dean_Ag!Q14+Ag_Econ!Q14+Agronomy!Q14+Animal_Sci!Q14+CommAgEd!Q14+Entomology!Q14+Grain_Sci!Q14+Horticulture!Q14+Plant_Path!Q14</f>
        <v>1408479</v>
      </c>
      <c r="R14" s="258"/>
      <c r="S14" s="98">
        <f>Dean_Ag!S14+Ag_Econ!S14+Agronomy!S14+Animal_Sci!S14+CommAgEd!S14+Entomology!S14+Grain_Sci!S14+Horticulture!S14+Plant_Path!S14</f>
        <v>1460527</v>
      </c>
      <c r="T14" s="258"/>
      <c r="U14" s="98">
        <f>Dean_Ag!U14+Ag_Econ!U14+Agronomy!U14+Animal_Sci!U14+CommAgEd!U14+Entomology!U14+Grain_Sci!U14+Horticulture!U14+Plant_Path!U14</f>
        <v>3082704</v>
      </c>
      <c r="V14" s="258"/>
      <c r="W14" s="98">
        <f>Dean_Ag!W14+Ag_Econ!W14+Agronomy!W14+Animal_Sci!W14+CommAgEd!W14+Entomology!W14+Grain_Sci!W14+Horticulture!W14+Plant_Path!W14</f>
        <v>3408315</v>
      </c>
      <c r="X14" s="258"/>
      <c r="Y14" s="98">
        <f>Dean_Ag!Y14+Ag_Econ!Y14+Agronomy!Y14+Animal_Sci!Y14+CommAgEd!Y14+Entomology!Y14+Grain_Sci!Y14+Horticulture!Y14+Plant_Path!Y14</f>
        <v>3869130</v>
      </c>
      <c r="Z14" s="258"/>
      <c r="AA14" s="98">
        <f>Dean_Ag!AA14+Ag_Econ!AA14+Agronomy!AA14+Animal_Sci!AA14+CommAgEd!AA14+Entomology!AA14+Grain_Sci!AA14+Horticulture!AA14+Plant_Path!AA14</f>
        <v>4657765</v>
      </c>
      <c r="AB14" s="258"/>
      <c r="AC14" s="98">
        <f>Dean_Ag!AC14+Ag_Econ!AC14+Agronomy!AC14+Animal_Sci!AC14+CommAgEd!AC14+Entomology!AC14+Grain_Sci!AC14+Horticulture!AC14+Plant_Path!AC14</f>
        <v>4735225</v>
      </c>
      <c r="AD14" s="609"/>
      <c r="AE14" s="606"/>
      <c r="AF14" s="583">
        <f t="shared" si="0"/>
        <v>3950627.8</v>
      </c>
      <c r="AG14" s="438">
        <f t="shared" ref="AG14:AG21" si="1">+(AC14-U14)/U14</f>
        <v>0.53606217139238799</v>
      </c>
    </row>
    <row r="15" spans="1:33" ht="17.25" customHeight="1" thickBot="1" x14ac:dyDescent="0.25">
      <c r="A15" s="275" t="s">
        <v>12</v>
      </c>
      <c r="B15" s="386"/>
      <c r="C15" s="387">
        <f>SUM(C12:C14)</f>
        <v>0</v>
      </c>
      <c r="D15" s="388"/>
      <c r="E15" s="389">
        <f>SUM(E12:E14)</f>
        <v>0</v>
      </c>
      <c r="F15" s="390"/>
      <c r="G15" s="391">
        <f>SUM(G12:G14)</f>
        <v>0</v>
      </c>
      <c r="H15" s="390"/>
      <c r="I15" s="391">
        <f>SUM(I12:I14)</f>
        <v>0</v>
      </c>
      <c r="J15" s="392"/>
      <c r="K15" s="393">
        <f>SUM(K12:K14)</f>
        <v>0</v>
      </c>
      <c r="L15" s="390"/>
      <c r="M15" s="391">
        <f>SUM(M12:M14)</f>
        <v>11154265</v>
      </c>
      <c r="N15" s="271"/>
      <c r="O15" s="270">
        <f>SUM(O12:O14)</f>
        <v>12101296</v>
      </c>
      <c r="P15" s="271"/>
      <c r="Q15" s="270">
        <f>SUM(Q12:Q14)</f>
        <v>13228891</v>
      </c>
      <c r="R15" s="271"/>
      <c r="S15" s="270">
        <f>SUM(S12:S14)</f>
        <v>15144127</v>
      </c>
      <c r="T15" s="271"/>
      <c r="U15" s="270">
        <f>SUM(U12:U14)</f>
        <v>17832661</v>
      </c>
      <c r="V15" s="271"/>
      <c r="W15" s="270">
        <f>SUM(W12:W14)</f>
        <v>22061304</v>
      </c>
      <c r="X15" s="271"/>
      <c r="Y15" s="270">
        <f>SUM(Y12:Y14)</f>
        <v>23179567</v>
      </c>
      <c r="Z15" s="271"/>
      <c r="AA15" s="270">
        <f>SUM(AA12:AA14)</f>
        <v>24286790</v>
      </c>
      <c r="AB15" s="271"/>
      <c r="AC15" s="272">
        <f>SUM(AC12:AC14)</f>
        <v>23976238</v>
      </c>
      <c r="AD15" s="609"/>
      <c r="AE15" s="660"/>
      <c r="AF15" s="608">
        <f t="shared" si="0"/>
        <v>22267312</v>
      </c>
      <c r="AG15" s="445">
        <f t="shared" si="1"/>
        <v>0.3445126333080632</v>
      </c>
    </row>
    <row r="16" spans="1:33" ht="15" customHeight="1" x14ac:dyDescent="0.2">
      <c r="A16" s="199" t="s">
        <v>13</v>
      </c>
      <c r="B16" s="375"/>
      <c r="C16" s="376"/>
      <c r="D16" s="284"/>
      <c r="E16" s="377"/>
      <c r="F16" s="170"/>
      <c r="G16" s="378"/>
      <c r="H16" s="170"/>
      <c r="I16" s="378"/>
      <c r="J16" s="192"/>
      <c r="K16" s="379"/>
      <c r="L16" s="170"/>
      <c r="M16" s="378"/>
      <c r="N16" s="94"/>
      <c r="O16" s="98"/>
      <c r="P16" s="94"/>
      <c r="Q16" s="98"/>
      <c r="R16" s="94"/>
      <c r="S16" s="98"/>
      <c r="T16" s="94"/>
      <c r="U16" s="98"/>
      <c r="V16" s="94"/>
      <c r="W16" s="98"/>
      <c r="X16" s="94"/>
      <c r="Y16" s="98"/>
      <c r="Z16" s="94"/>
      <c r="AA16" s="98"/>
      <c r="AB16" s="94"/>
      <c r="AC16" s="217"/>
      <c r="AD16" s="609"/>
      <c r="AE16" s="603"/>
      <c r="AF16" s="604"/>
      <c r="AG16" s="440"/>
    </row>
    <row r="17" spans="1:33" ht="15" customHeight="1" x14ac:dyDescent="0.2">
      <c r="A17" s="182" t="s">
        <v>11</v>
      </c>
      <c r="B17" s="371"/>
      <c r="C17" s="395"/>
      <c r="D17" s="373"/>
      <c r="E17" s="396"/>
      <c r="F17" s="374"/>
      <c r="G17" s="397"/>
      <c r="H17" s="374"/>
      <c r="I17" s="397"/>
      <c r="J17" s="88"/>
      <c r="K17" s="398"/>
      <c r="L17" s="374"/>
      <c r="M17" s="397">
        <f>Dean_Ag!M17+Ag_Econ!M17+Agronomy!M17+Animal_Sci!M17+CommAgEd!M17+Entomology!M17+Grain_Sci!M17+Horticulture!M17+Plant_Path!M17</f>
        <v>34616529</v>
      </c>
      <c r="N17" s="26"/>
      <c r="O17" s="99">
        <f>Dean_Ag!O17+Ag_Econ!O17+Agronomy!O17+Animal_Sci!O17+CommAgEd!O17+Entomology!O17+Grain_Sci!O17+Horticulture!O17+Plant_Path!O17</f>
        <v>31914939</v>
      </c>
      <c r="P17" s="26"/>
      <c r="Q17" s="99">
        <f>Dean_Ag!Q17+Ag_Econ!Q17+Agronomy!Q17+Animal_Sci!Q17+CommAgEd!Q17+Entomology!Q17+Grain_Sci!Q17+Horticulture!Q17+Plant_Path!Q17</f>
        <v>31462536</v>
      </c>
      <c r="R17" s="26"/>
      <c r="S17" s="99">
        <f>Dean_Ag!S17+Ag_Econ!S17+Agronomy!S17+Animal_Sci!S17+CommAgEd!S17+Entomology!S17+Grain_Sci!S17+Horticulture!S17+Plant_Path!S17</f>
        <v>30483796</v>
      </c>
      <c r="T17" s="26"/>
      <c r="U17" s="99">
        <f>Dean_Ag!U17+Ag_Econ!U17+Agronomy!U17+Animal_Sci!U17+CommAgEd!U17+Entomology!U17+Grain_Sci!U17+Horticulture!U17+Plant_Path!U17</f>
        <v>30857829</v>
      </c>
      <c r="V17" s="26"/>
      <c r="W17" s="99">
        <f>Dean_Ag!W17+Ag_Econ!W17+Agronomy!W17+Animal_Sci!W17+CommAgEd!W17+Entomology!W17+Grain_Sci!W17+Horticulture!W17+Plant_Path!W17</f>
        <v>27393300</v>
      </c>
      <c r="X17" s="26"/>
      <c r="Y17" s="99">
        <f>Dean_Ag!Y17+Ag_Econ!Y17+Agronomy!Y17+Animal_Sci!Y17+CommAgEd!Y17+Entomology!Y17+Grain_Sci!Y17+Horticulture!Y17+Plant_Path!Y17</f>
        <v>28935257</v>
      </c>
      <c r="Z17" s="26"/>
      <c r="AA17" s="99">
        <f>Dean_Ag!AA17+Ag_Econ!AA17+Agronomy!AA17+Animal_Sci!AA17+CommAgEd!AA17+Entomology!AA17+Grain_Sci!AA17+Horticulture!AA17+Plant_Path!AA17</f>
        <v>27750119</v>
      </c>
      <c r="AB17" s="26"/>
      <c r="AC17" s="99">
        <f>Dean_Ag!AC17+Ag_Econ!AC17+Agronomy!AC17+Animal_Sci!AC17+CommAgEd!AC17+Entomology!AC17+Grain_Sci!AC17+Horticulture!AC17+Plant_Path!AC17</f>
        <v>22981700</v>
      </c>
      <c r="AD17" s="609"/>
      <c r="AE17" s="605"/>
      <c r="AF17" s="523">
        <f>AVERAGE(U17,AC17,Y17,W17,AA17)</f>
        <v>27583641</v>
      </c>
      <c r="AG17" s="438">
        <f t="shared" si="1"/>
        <v>-0.2552392457680675</v>
      </c>
    </row>
    <row r="18" spans="1:33" ht="15" customHeight="1" x14ac:dyDescent="0.2">
      <c r="A18" s="182" t="s">
        <v>30</v>
      </c>
      <c r="B18" s="371"/>
      <c r="C18" s="395"/>
      <c r="D18" s="373"/>
      <c r="E18" s="396"/>
      <c r="F18" s="374"/>
      <c r="G18" s="399"/>
      <c r="H18" s="374"/>
      <c r="I18" s="397"/>
      <c r="J18" s="88"/>
      <c r="K18" s="398"/>
      <c r="L18" s="374"/>
      <c r="M18" s="397">
        <f>Dean_Ag!M18+Ag_Econ!M18+Agronomy!M18+Animal_Sci!M18+CommAgEd!M18+Entomology!M18+Grain_Sci!M18+Horticulture!M18+Plant_Path!M18</f>
        <v>424740</v>
      </c>
      <c r="N18" s="26"/>
      <c r="O18" s="99">
        <f>Dean_Ag!O18+Ag_Econ!O18+Agronomy!O18+Animal_Sci!O18+CommAgEd!O18+Entomology!O18+Grain_Sci!O18+Horticulture!O18+Plant_Path!O18</f>
        <v>326488</v>
      </c>
      <c r="P18" s="26"/>
      <c r="Q18" s="99">
        <f>Dean_Ag!Q18+Ag_Econ!Q18+Agronomy!Q18+Animal_Sci!Q18+CommAgEd!Q18+Entomology!Q18+Grain_Sci!Q18+Horticulture!Q18+Plant_Path!Q18</f>
        <v>427653</v>
      </c>
      <c r="R18" s="26"/>
      <c r="S18" s="99">
        <f>Dean_Ag!S18+Ag_Econ!S18+Agronomy!S18+Animal_Sci!S18+CommAgEd!S18+Entomology!S18+Grain_Sci!S18+Horticulture!S18+Plant_Path!S18</f>
        <v>428799</v>
      </c>
      <c r="T18" s="26"/>
      <c r="U18" s="99">
        <f>Dean_Ag!U18+Ag_Econ!U18+Agronomy!U18+Animal_Sci!U18+CommAgEd!U18+Entomology!U18+Grain_Sci!U18+Horticulture!U18+Plant_Path!U18</f>
        <v>429806</v>
      </c>
      <c r="V18" s="26"/>
      <c r="W18" s="99">
        <f>Dean_Ag!W18+Ag_Econ!W18+Agronomy!W18+Animal_Sci!W18+CommAgEd!W18+Entomology!W18+Grain_Sci!W18+Horticulture!W18+Plant_Path!W18</f>
        <v>429470</v>
      </c>
      <c r="X18" s="26"/>
      <c r="Y18" s="99">
        <f>Dean_Ag!Y18+Ag_Econ!Y18+Agronomy!Y18+Animal_Sci!Y18+CommAgEd!Y18+Entomology!Y18+Grain_Sci!Y18+Horticulture!Y18+Plant_Path!Y18</f>
        <v>430355</v>
      </c>
      <c r="Z18" s="26"/>
      <c r="AA18" s="99">
        <f>Dean_Ag!AA18+Ag_Econ!AA18+Agronomy!AA18+Animal_Sci!AA18+CommAgEd!AA18+Entomology!AA18+Grain_Sci!AA18+Horticulture!AA18+Plant_Path!AA18</f>
        <v>431441</v>
      </c>
      <c r="AB18" s="26"/>
      <c r="AC18" s="99">
        <f>Dean_Ag!AC18+Ag_Econ!AC18+Agronomy!AC18+Animal_Sci!AC18+CommAgEd!AC18+Entomology!AC18+Grain_Sci!AC18+Horticulture!AC18+Plant_Path!AC18</f>
        <v>1928867</v>
      </c>
      <c r="AD18" s="609"/>
      <c r="AE18" s="609"/>
      <c r="AF18" s="523">
        <f t="shared" si="0"/>
        <v>729987.8</v>
      </c>
      <c r="AG18" s="438">
        <f t="shared" si="1"/>
        <v>3.4877619204943624</v>
      </c>
    </row>
    <row r="19" spans="1:33" ht="30" customHeight="1" thickBot="1" x14ac:dyDescent="0.25">
      <c r="A19" s="266" t="s">
        <v>32</v>
      </c>
      <c r="B19" s="380"/>
      <c r="C19" s="400"/>
      <c r="D19" s="401"/>
      <c r="E19" s="402"/>
      <c r="F19" s="403"/>
      <c r="G19" s="404"/>
      <c r="H19" s="403"/>
      <c r="I19" s="400"/>
      <c r="J19" s="164"/>
      <c r="K19" s="382"/>
      <c r="L19" s="383"/>
      <c r="M19" s="397">
        <f>Dean_Ag!M19+Ag_Econ!M19+Agronomy!M19+Animal_Sci!M19+CommAgEd!M19+Entomology!M19+Grain_Sci!M19+Horticulture!M19+Plant_Path!M19</f>
        <v>20724139</v>
      </c>
      <c r="N19" s="258"/>
      <c r="O19" s="99">
        <f>Dean_Ag!O19+Ag_Econ!O19+Agronomy!O19+Animal_Sci!O19+CommAgEd!O19+Entomology!O19+Grain_Sci!O19+Horticulture!O19+Plant_Path!O19</f>
        <v>17469370</v>
      </c>
      <c r="P19" s="258"/>
      <c r="Q19" s="99">
        <f>Dean_Ag!Q19+Ag_Econ!Q19+Agronomy!Q19+Animal_Sci!Q19+CommAgEd!Q19+Entomology!Q19+Grain_Sci!Q19+Horticulture!Q19+Plant_Path!Q19</f>
        <v>17510725</v>
      </c>
      <c r="R19" s="258"/>
      <c r="S19" s="99">
        <f>Dean_Ag!S19+Ag_Econ!S19+Agronomy!S19+Animal_Sci!S19+CommAgEd!S19+Entomology!S19+Grain_Sci!S19+Horticulture!S19+Plant_Path!S19</f>
        <v>20615954</v>
      </c>
      <c r="T19" s="258"/>
      <c r="U19" s="99">
        <f>Dean_Ag!U19+Ag_Econ!U19+Agronomy!U19+Animal_Sci!U19+CommAgEd!U19+Entomology!U19+Grain_Sci!U19+Horticulture!U19+Plant_Path!U19</f>
        <v>22586991</v>
      </c>
      <c r="V19" s="258"/>
      <c r="W19" s="99">
        <f>Dean_Ag!W19+Ag_Econ!W19+Agronomy!W19+Animal_Sci!W19+CommAgEd!W19+Entomology!W19+Grain_Sci!W19+Horticulture!W19+Plant_Path!W19</f>
        <v>28904190</v>
      </c>
      <c r="X19" s="258"/>
      <c r="Y19" s="99">
        <f>Dean_Ag!Y19+Ag_Econ!Y19+Agronomy!Y19+Animal_Sci!Y19+CommAgEd!Y19+Entomology!Y19+Grain_Sci!Y19+Horticulture!Y19+Plant_Path!Y19</f>
        <v>29302912</v>
      </c>
      <c r="Z19" s="258"/>
      <c r="AA19" s="99">
        <f>Dean_Ag!AA19+Ag_Econ!AA19+Agronomy!AA19+Animal_Sci!AA19+CommAgEd!AA19+Entomology!AA19+Grain_Sci!AA19+Horticulture!AA19+Plant_Path!AA19</f>
        <v>30720089</v>
      </c>
      <c r="AB19" s="258"/>
      <c r="AC19" s="99">
        <f>Dean_Ag!AC19+Ag_Econ!AC19+Agronomy!AC19+Animal_Sci!AC19+CommAgEd!AC19+Entomology!AC19+Grain_Sci!AC19+Horticulture!AC19+Plant_Path!AC19</f>
        <v>44965161</v>
      </c>
      <c r="AD19" s="609"/>
      <c r="AE19" s="606"/>
      <c r="AF19" s="523">
        <f t="shared" si="0"/>
        <v>31295868.600000001</v>
      </c>
      <c r="AG19" s="438">
        <f t="shared" si="1"/>
        <v>0.99075481103259833</v>
      </c>
    </row>
    <row r="20" spans="1:33" ht="18.75" customHeight="1" thickBot="1" x14ac:dyDescent="0.25">
      <c r="A20" s="275" t="s">
        <v>14</v>
      </c>
      <c r="B20" s="386"/>
      <c r="C20" s="405">
        <f>SUM(C17:C19)</f>
        <v>0</v>
      </c>
      <c r="D20" s="406"/>
      <c r="E20" s="407">
        <f>SUM(E17:E19)</f>
        <v>0</v>
      </c>
      <c r="F20" s="408"/>
      <c r="G20" s="409">
        <f>SUM(G17:G19)</f>
        <v>0</v>
      </c>
      <c r="H20" s="408"/>
      <c r="I20" s="409">
        <f>SUM(I17:I19)</f>
        <v>0</v>
      </c>
      <c r="J20" s="392"/>
      <c r="K20" s="393">
        <f>SUM(K17:K19)</f>
        <v>0</v>
      </c>
      <c r="L20" s="390"/>
      <c r="M20" s="391">
        <f>SUM(M17:M19)</f>
        <v>55765408</v>
      </c>
      <c r="N20" s="271"/>
      <c r="O20" s="270">
        <f>SUM(O17:O19)</f>
        <v>49710797</v>
      </c>
      <c r="P20" s="271"/>
      <c r="Q20" s="270">
        <f>SUM(Q17:Q19)</f>
        <v>49400914</v>
      </c>
      <c r="R20" s="271"/>
      <c r="S20" s="270">
        <f>SUM(S17:S19)</f>
        <v>51528549</v>
      </c>
      <c r="T20" s="271"/>
      <c r="U20" s="270">
        <f>SUM(U17:U19)</f>
        <v>53874626</v>
      </c>
      <c r="V20" s="271"/>
      <c r="W20" s="270">
        <f>SUM(W17:W19)</f>
        <v>56726960</v>
      </c>
      <c r="X20" s="271"/>
      <c r="Y20" s="270">
        <f>SUM(Y17:Y19)</f>
        <v>58668524</v>
      </c>
      <c r="Z20" s="271"/>
      <c r="AA20" s="270">
        <f>SUM(AA17:AA19)</f>
        <v>58901649</v>
      </c>
      <c r="AB20" s="271"/>
      <c r="AC20" s="272">
        <f>SUM(AC17:AC19)</f>
        <v>69875728</v>
      </c>
      <c r="AD20" s="609"/>
      <c r="AE20" s="660"/>
      <c r="AF20" s="608">
        <f t="shared" si="0"/>
        <v>59609497.399999999</v>
      </c>
      <c r="AG20" s="491">
        <f t="shared" si="1"/>
        <v>0.29700627527326129</v>
      </c>
    </row>
    <row r="21" spans="1:33" ht="18.75" customHeight="1" thickBot="1" x14ac:dyDescent="0.25">
      <c r="A21" s="354" t="s">
        <v>15</v>
      </c>
      <c r="B21" s="410"/>
      <c r="C21" s="411">
        <f>SUM(C15,C20)</f>
        <v>0</v>
      </c>
      <c r="D21" s="223"/>
      <c r="E21" s="412">
        <f>SUM(E15,E20)</f>
        <v>0</v>
      </c>
      <c r="F21" s="413"/>
      <c r="G21" s="414">
        <f>SUM(G15,G20)</f>
        <v>0</v>
      </c>
      <c r="H21" s="413"/>
      <c r="I21" s="414">
        <f>SUM(I15,I20)</f>
        <v>0</v>
      </c>
      <c r="J21" s="262"/>
      <c r="K21" s="415">
        <f>SUM(K15,K20)</f>
        <v>0</v>
      </c>
      <c r="L21" s="416"/>
      <c r="M21" s="417">
        <f>SUM(M15,M20)</f>
        <v>66919673</v>
      </c>
      <c r="N21" s="117"/>
      <c r="O21" s="751">
        <f>SUM(O15,O20)</f>
        <v>61812093</v>
      </c>
      <c r="P21" s="117"/>
      <c r="Q21" s="751">
        <f>SUM(Q15,Q20)</f>
        <v>62629805</v>
      </c>
      <c r="R21" s="117"/>
      <c r="S21" s="751">
        <f>SUM(S15,S20)</f>
        <v>66672676</v>
      </c>
      <c r="T21" s="117"/>
      <c r="U21" s="751">
        <f>SUM(U15,U20)</f>
        <v>71707287</v>
      </c>
      <c r="V21" s="117"/>
      <c r="W21" s="751">
        <f>SUM(W15,W20)</f>
        <v>78788264</v>
      </c>
      <c r="X21" s="117"/>
      <c r="Y21" s="751">
        <f>SUM(Y15,Y20)</f>
        <v>81848091</v>
      </c>
      <c r="Z21" s="117"/>
      <c r="AA21" s="751">
        <f>SUM(AA15,AA20)</f>
        <v>83188439</v>
      </c>
      <c r="AB21" s="117"/>
      <c r="AC21" s="752">
        <f>SUM(AC15,AC20)</f>
        <v>93851966</v>
      </c>
      <c r="AD21" s="609"/>
      <c r="AE21" s="668"/>
      <c r="AF21" s="669">
        <f t="shared" si="0"/>
        <v>81876809.400000006</v>
      </c>
      <c r="AG21" s="492">
        <f t="shared" si="1"/>
        <v>0.30882048291688963</v>
      </c>
    </row>
    <row r="22" spans="1:33" ht="18" customHeight="1" x14ac:dyDescent="0.2">
      <c r="A22" s="355" t="s">
        <v>62</v>
      </c>
      <c r="B22" s="859"/>
      <c r="C22" s="860"/>
      <c r="D22" s="861"/>
      <c r="E22" s="861"/>
      <c r="F22" s="862"/>
      <c r="G22" s="863"/>
      <c r="H22" s="862"/>
      <c r="I22" s="863"/>
      <c r="J22" s="864"/>
      <c r="K22" s="864"/>
      <c r="L22" s="857"/>
      <c r="M22" s="858"/>
      <c r="N22" s="852"/>
      <c r="O22" s="853"/>
      <c r="P22" s="852"/>
      <c r="Q22" s="853"/>
      <c r="R22" s="852"/>
      <c r="S22" s="853"/>
      <c r="T22" s="852"/>
      <c r="U22" s="853"/>
      <c r="V22" s="852"/>
      <c r="W22" s="853"/>
      <c r="X22" s="852"/>
      <c r="Y22" s="853"/>
      <c r="Z22" s="852"/>
      <c r="AA22" s="853"/>
      <c r="AB22" s="852"/>
      <c r="AC22" s="854"/>
      <c r="AD22" s="753"/>
      <c r="AE22" s="817"/>
      <c r="AF22" s="818"/>
      <c r="AG22" s="449"/>
    </row>
    <row r="23" spans="1:33" ht="15" customHeight="1" x14ac:dyDescent="0.2">
      <c r="A23" s="182" t="s">
        <v>42</v>
      </c>
      <c r="B23" s="48"/>
      <c r="C23" s="46"/>
      <c r="D23" s="204"/>
      <c r="E23" s="103"/>
      <c r="F23" s="55"/>
      <c r="G23" s="111"/>
      <c r="H23" s="55"/>
      <c r="I23" s="111"/>
      <c r="J23" s="70"/>
      <c r="K23" s="101"/>
      <c r="L23" s="70"/>
      <c r="M23" s="356">
        <f>Dean_Ag!M23+Ag_Econ!M23+Agronomy!M23+Animal_Sci!M23+CommAgEd!M23+Entomology!M23+Grain_Sci!M23+Horticulture!M23+Plant_Path!M23</f>
        <v>8212362</v>
      </c>
      <c r="N23" s="26"/>
      <c r="O23" s="661">
        <f>Dean_Ag!O23+Ag_Econ!O23+Agronomy!O23+Animal_Sci!O23+CommAgEd!O23+Entomology!O23+Grain_Sci!O23+Horticulture!O23+Plant_Path!O23</f>
        <v>8463928</v>
      </c>
      <c r="P23" s="26"/>
      <c r="Q23" s="661">
        <f>Dean_Ag!Q23+Ag_Econ!Q23+Agronomy!Q23+Animal_Sci!Q23+CommAgEd!Q23+Entomology!Q23+Grain_Sci!Q23+Horticulture!Q23+Plant_Path!Q23</f>
        <v>8346255</v>
      </c>
      <c r="R23" s="26"/>
      <c r="S23" s="661">
        <f>Dean_Ag!S23+Ag_Econ!S23+Agronomy!S23+Animal_Sci!S23+CommAgEd!S23+Entomology!S23+Grain_Sci!S23+Horticulture!S23+Plant_Path!S23</f>
        <v>8851035</v>
      </c>
      <c r="T23" s="26"/>
      <c r="U23" s="661">
        <f>Dean_Ag!U23+Ag_Econ!U23+Agronomy!U23+Animal_Sci!U23+CommAgEd!U23+Entomology!U23+Grain_Sci!U23+Horticulture!U23+Plant_Path!U23</f>
        <v>9934845</v>
      </c>
      <c r="V23" s="26"/>
      <c r="W23" s="661">
        <f>Dean_Ag!W23+Ag_Econ!W23+Agronomy!W23+Animal_Sci!W23+CommAgEd!W23+Entomology!W23+Grain_Sci!W23+Horticulture!W23+Plant_Path!W23</f>
        <v>10286863.18</v>
      </c>
      <c r="X23" s="26"/>
      <c r="Y23" s="661">
        <f>Dean_Ag!Y23+Ag_Econ!Y23+Agronomy!Y23+Animal_Sci!Y23+CommAgEd!Y23+Entomology!Y23+Grain_Sci!Y23+Horticulture!Y23+Plant_Path!Y23</f>
        <v>10561532</v>
      </c>
      <c r="Z23" s="26"/>
      <c r="AA23" s="661">
        <f>Dean_Ag!AA23+Ag_Econ!AA23+Agronomy!AA23+Animal_Sci!AA23+CommAgEd!AA23+Entomology!AA23+Grain_Sci!AA23+Horticulture!AA23+Plant_Path!AA23</f>
        <v>10523675</v>
      </c>
      <c r="AB23" s="26"/>
      <c r="AC23" s="767">
        <f>Dean_Ag!AC23+Ag_Econ!AC23+Agronomy!AC23+Animal_Sci!AC23+CommAgEd!AC23+Entomology!AC23+Grain_Sci!AC23+Horticulture!AC23+Plant_Path!AC23</f>
        <v>0</v>
      </c>
      <c r="AD23" s="634"/>
      <c r="AE23" s="605"/>
      <c r="AF23" s="523">
        <f>AVERAGE(U23,S23,AA23,W23,Y23)</f>
        <v>10031590.036</v>
      </c>
      <c r="AG23" s="438">
        <f>+(AA23-S23)/S23</f>
        <v>0.18897676938346758</v>
      </c>
    </row>
    <row r="24" spans="1:33" ht="15" customHeight="1" x14ac:dyDescent="0.2">
      <c r="A24" s="182" t="s">
        <v>44</v>
      </c>
      <c r="B24" s="34"/>
      <c r="C24" s="47"/>
      <c r="D24" s="205"/>
      <c r="E24" s="103"/>
      <c r="F24" s="205"/>
      <c r="G24" s="347"/>
      <c r="H24" s="205"/>
      <c r="I24" s="103"/>
      <c r="J24" s="205"/>
      <c r="K24" s="103"/>
      <c r="L24" s="205"/>
      <c r="M24" s="356">
        <f>Dean_Ag!M24+Ag_Econ!M24+Agronomy!M24+Animal_Sci!M24+CommAgEd!M24+Entomology!M24+Grain_Sci!M24+Horticulture!M24+Plant_Path!M24</f>
        <v>46725951.430000007</v>
      </c>
      <c r="N24" s="739"/>
      <c r="O24" s="661">
        <f>Dean_Ag!O24+Ag_Econ!O24+Agronomy!O24+Animal_Sci!O24+CommAgEd!O24+Entomology!O24+Grain_Sci!O24+Horticulture!O24+Plant_Path!O24</f>
        <v>44947404.690000035</v>
      </c>
      <c r="P24" s="739"/>
      <c r="Q24" s="661">
        <f>Dean_Ag!Q24+Ag_Econ!Q24+Agronomy!Q24+Animal_Sci!Q24+CommAgEd!Q24+Entomology!Q24+Grain_Sci!Q24+Horticulture!Q24+Plant_Path!Q24</f>
        <v>48227514.870000005</v>
      </c>
      <c r="R24" s="739"/>
      <c r="S24" s="661">
        <f>Dean_Ag!S24+Ag_Econ!S24+Agronomy!S24+Animal_Sci!S24+CommAgEd!S24+Entomology!S24+Grain_Sci!S24+Horticulture!S24+Plant_Path!S24</f>
        <v>49940150.580000013</v>
      </c>
      <c r="T24" s="739"/>
      <c r="U24" s="661">
        <f>Dean_Ag!U24+Ag_Econ!U24+Agronomy!U24+Animal_Sci!U24+CommAgEd!U24+Entomology!U24+Grain_Sci!U24+Horticulture!U24+Plant_Path!U24</f>
        <v>55065398.729999982</v>
      </c>
      <c r="V24" s="739"/>
      <c r="W24" s="661">
        <f>Dean_Ag!W24+Ag_Econ!W24+Agronomy!W24+Animal_Sci!W24+CommAgEd!W24+Entomology!W24+Grain_Sci!W24+Horticulture!W24+Plant_Path!W24</f>
        <v>56271689.61999999</v>
      </c>
      <c r="X24" s="26"/>
      <c r="Y24" s="661">
        <f>Dean_Ag!Y24+Ag_Econ!Y24+Agronomy!Y24+Animal_Sci!Y24+CommAgEd!Y24+Entomology!Y24+Grain_Sci!Y24+Horticulture!Y24+Plant_Path!Y24</f>
        <v>62213331</v>
      </c>
      <c r="Z24" s="26"/>
      <c r="AA24" s="661">
        <f>Dean_Ag!AA24+Ag_Econ!AA24+Agronomy!AA24+Animal_Sci!AA24+CommAgEd!AA24+Entomology!AA24+Grain_Sci!AA24+Horticulture!AA24+Plant_Path!AA24</f>
        <v>60865128</v>
      </c>
      <c r="AB24" s="26"/>
      <c r="AC24" s="767">
        <f>Dean_Ag!AC24+Ag_Econ!AC24+Agronomy!AC24+Animal_Sci!AC24+CommAgEd!AC24+Entomology!AC24+Grain_Sci!AC24+Horticulture!AC24+Plant_Path!AC24</f>
        <v>0</v>
      </c>
      <c r="AD24" s="634"/>
      <c r="AE24" s="605"/>
      <c r="AF24" s="523">
        <f t="shared" ref="AF24:AF25" si="2">AVERAGE(U24,S24,AA24,W24,Y24)</f>
        <v>56871139.586000003</v>
      </c>
      <c r="AG24" s="438">
        <f t="shared" ref="AG24:AG25" si="3">+(AA24-S24)/S24</f>
        <v>0.21876140326207211</v>
      </c>
    </row>
    <row r="25" spans="1:33" ht="15" customHeight="1" thickBot="1" x14ac:dyDescent="0.25">
      <c r="A25" s="190" t="s">
        <v>45</v>
      </c>
      <c r="B25" s="304"/>
      <c r="C25" s="326"/>
      <c r="D25" s="327"/>
      <c r="E25" s="305"/>
      <c r="F25" s="327"/>
      <c r="G25" s="330"/>
      <c r="H25" s="327"/>
      <c r="I25" s="330"/>
      <c r="J25" s="327"/>
      <c r="K25" s="330"/>
      <c r="L25" s="327"/>
      <c r="M25" s="330">
        <f>Dean_Ag!M25+Ag_Econ!M25+Agronomy!M25+Animal_Sci!M25+CommAgEd!M25+Entomology!M25+Grain_Sci!M25+Horticulture!M25+Plant_Path!M25</f>
        <v>14498528.930000003</v>
      </c>
      <c r="N25" s="755"/>
      <c r="O25" s="621">
        <f>Dean_Ag!O25+Ag_Econ!O25+Agronomy!O25+Animal_Sci!O25+CommAgEd!O25+Entomology!O25+Grain_Sci!O25+Horticulture!O25+Plant_Path!O25</f>
        <v>15029403.389999997</v>
      </c>
      <c r="P25" s="755"/>
      <c r="Q25" s="621">
        <f>Dean_Ag!Q25+Ag_Econ!Q25+Agronomy!Q25+Animal_Sci!Q25+CommAgEd!Q25+Entomology!Q25+Grain_Sci!Q25+Horticulture!Q25+Plant_Path!Q25</f>
        <v>14471864.180000002</v>
      </c>
      <c r="R25" s="755"/>
      <c r="S25" s="621">
        <f>Dean_Ag!S25+Ag_Econ!S25+Agronomy!S25+Animal_Sci!S25+CommAgEd!S25+Entomology!S25+Grain_Sci!S25+Horticulture!S25+Plant_Path!S25</f>
        <v>15450961.9</v>
      </c>
      <c r="T25" s="755"/>
      <c r="U25" s="621">
        <f>Dean_Ag!U25+Ag_Econ!U25+Agronomy!U25+Animal_Sci!U25+CommAgEd!U25+Entomology!U25+Grain_Sci!U25+Horticulture!U25+Plant_Path!U25</f>
        <v>15906185.019999998</v>
      </c>
      <c r="V25" s="755"/>
      <c r="W25" s="621">
        <f>Dean_Ag!W25+Ag_Econ!W25+Agronomy!W25+Animal_Sci!W25+CommAgEd!W25+Entomology!W25+Grain_Sci!W25+Horticulture!W25+Plant_Path!W25</f>
        <v>17003396.189999994</v>
      </c>
      <c r="X25" s="623"/>
      <c r="Y25" s="621">
        <f>Dean_Ag!Y25+Ag_Econ!Y25+Agronomy!Y25+Animal_Sci!Y25+CommAgEd!Y25+Entomology!Y25+Grain_Sci!Y25+Horticulture!Y25+Plant_Path!Y25</f>
        <v>18783407</v>
      </c>
      <c r="Z25" s="623"/>
      <c r="AA25" s="621">
        <f>Dean_Ag!AA25+Ag_Econ!AA25+Agronomy!AA25+Animal_Sci!AA25+CommAgEd!AA25+Entomology!AA25+Grain_Sci!AA25+Horticulture!AA25+Plant_Path!AA25</f>
        <v>19268839</v>
      </c>
      <c r="AB25" s="623"/>
      <c r="AC25" s="768">
        <f>Dean_Ag!AC25+Ag_Econ!AC25+Agronomy!AC25+Animal_Sci!AC25+CommAgEd!AC25+Entomology!AC25+Grain_Sci!AC25+Horticulture!AC25+Plant_Path!AC25</f>
        <v>0</v>
      </c>
      <c r="AD25" s="634"/>
      <c r="AE25" s="614"/>
      <c r="AF25" s="523">
        <f t="shared" si="2"/>
        <v>17282557.822000001</v>
      </c>
      <c r="AG25" s="438">
        <f t="shared" si="3"/>
        <v>0.24709640245763595</v>
      </c>
    </row>
    <row r="26" spans="1:33" ht="18" customHeight="1" thickTop="1" x14ac:dyDescent="0.2">
      <c r="A26" s="188" t="s">
        <v>50</v>
      </c>
      <c r="B26" s="489" t="s">
        <v>20</v>
      </c>
      <c r="C26" s="486" t="s">
        <v>21</v>
      </c>
      <c r="D26" s="489" t="s">
        <v>20</v>
      </c>
      <c r="E26" s="486" t="s">
        <v>21</v>
      </c>
      <c r="F26" s="490" t="s">
        <v>20</v>
      </c>
      <c r="G26" s="362" t="s">
        <v>21</v>
      </c>
      <c r="H26" s="359" t="s">
        <v>20</v>
      </c>
      <c r="I26" s="360" t="s">
        <v>21</v>
      </c>
      <c r="J26" s="361" t="s">
        <v>20</v>
      </c>
      <c r="K26" s="427" t="s">
        <v>21</v>
      </c>
      <c r="L26" s="359" t="s">
        <v>20</v>
      </c>
      <c r="M26" s="360" t="s">
        <v>21</v>
      </c>
      <c r="N26" s="757" t="s">
        <v>20</v>
      </c>
      <c r="O26" s="758" t="s">
        <v>21</v>
      </c>
      <c r="P26" s="759" t="s">
        <v>20</v>
      </c>
      <c r="Q26" s="760" t="s">
        <v>21</v>
      </c>
      <c r="R26" s="757" t="s">
        <v>20</v>
      </c>
      <c r="S26" s="758" t="s">
        <v>21</v>
      </c>
      <c r="T26" s="759" t="s">
        <v>20</v>
      </c>
      <c r="U26" s="760" t="s">
        <v>21</v>
      </c>
      <c r="V26" s="757" t="s">
        <v>20</v>
      </c>
      <c r="W26" s="758" t="s">
        <v>21</v>
      </c>
      <c r="X26" s="759" t="s">
        <v>20</v>
      </c>
      <c r="Y26" s="760" t="s">
        <v>21</v>
      </c>
      <c r="Z26" s="759" t="s">
        <v>20</v>
      </c>
      <c r="AA26" s="760" t="s">
        <v>21</v>
      </c>
      <c r="AB26" s="761" t="s">
        <v>20</v>
      </c>
      <c r="AC26" s="762" t="s">
        <v>21</v>
      </c>
      <c r="AD26" s="609"/>
      <c r="AE26" s="612" t="s">
        <v>20</v>
      </c>
      <c r="AF26" s="679" t="s">
        <v>21</v>
      </c>
      <c r="AG26" s="482" t="s">
        <v>54</v>
      </c>
    </row>
    <row r="27" spans="1:33" ht="15" customHeight="1" x14ac:dyDescent="0.2">
      <c r="A27" s="182" t="s">
        <v>56</v>
      </c>
      <c r="B27" s="153"/>
      <c r="C27" s="423"/>
      <c r="D27" s="161"/>
      <c r="E27" s="425"/>
      <c r="F27" s="168"/>
      <c r="G27" s="111"/>
      <c r="H27" s="155"/>
      <c r="I27" s="349"/>
      <c r="J27" s="168"/>
      <c r="K27" s="134"/>
      <c r="L27" s="165">
        <f>Dean_Ag!L27+Ag_Econ!L27+Agronomy!L27+Animal_Sci!L27+CommAgEd!L27+Entomology!L27+Grain_Sci!L27+Horticulture!L27+Plant_Path!L27</f>
        <v>408</v>
      </c>
      <c r="M27" s="336">
        <f>Dean_Ag!M27+Ag_Econ!M27+Agronomy!M27+Animal_Sci!M27+CommAgEd!M27+Entomology!M27+Grain_Sci!M27+Horticulture!M27+Plant_Path!M27</f>
        <v>36329216</v>
      </c>
      <c r="N27" s="627">
        <f>Dean_Ag!N27+Ag_Econ!N27+Agronomy!N27+Animal_Sci!N27+CommAgEd!N27+Entomology!N27+Grain_Sci!N27+Horticulture!N27+Plant_Path!N27</f>
        <v>350</v>
      </c>
      <c r="O27" s="769">
        <f>Dean_Ag!O27+Ag_Econ!O27+Agronomy!O27+Animal_Sci!O27+CommAgEd!O27+Entomology!O27+Grain_Sci!O27+Horticulture!O27+Plant_Path!O27</f>
        <v>37263010</v>
      </c>
      <c r="P27" s="627">
        <f>Dean_Ag!P27+Ag_Econ!P27+Agronomy!P27+Animal_Sci!P27+CommAgEd!P27+Entomology!P27+Grain_Sci!P27+Horticulture!P27+Plant_Path!P27</f>
        <v>420</v>
      </c>
      <c r="Q27" s="769">
        <f>Dean_Ag!Q27+Ag_Econ!Q27+Agronomy!Q27+Animal_Sci!Q27+CommAgEd!Q27+Entomology!Q27+Grain_Sci!Q27+Horticulture!Q27+Plant_Path!Q27</f>
        <v>53126614</v>
      </c>
      <c r="R27" s="627">
        <f>Dean_Ag!R27+Ag_Econ!R27+Agronomy!R27+Animal_Sci!R27+CommAgEd!R27+Entomology!R27+Grain_Sci!R27+Horticulture!R27+Plant_Path!R27</f>
        <v>376</v>
      </c>
      <c r="S27" s="769">
        <f>Dean_Ag!S27+Ag_Econ!S27+Agronomy!S27+Animal_Sci!S27+CommAgEd!S27+Entomology!S27+Grain_Sci!S27+Horticulture!S27+Plant_Path!S27</f>
        <v>30207906</v>
      </c>
      <c r="T27" s="627">
        <f>Dean_Ag!T27+Ag_Econ!T27+Agronomy!T27+Animal_Sci!T27+CommAgEd!T27+Entomology!T27+Grain_Sci!T27+Horticulture!T27+Plant_Path!T27</f>
        <v>427</v>
      </c>
      <c r="U27" s="769">
        <f>Dean_Ag!U27+Ag_Econ!U27+Agronomy!U27+Animal_Sci!U27+CommAgEd!U27+Entomology!U27+Grain_Sci!U27+Horticulture!U27+Plant_Path!U27</f>
        <v>48505254</v>
      </c>
      <c r="V27" s="627">
        <f>Dean_Ag!V27+Ag_Econ!V27+Agronomy!V27+Animal_Sci!V27+CommAgEd!V27+Entomology!V27+Grain_Sci!V27+Horticulture!V27+Plant_Path!V27</f>
        <v>506</v>
      </c>
      <c r="W27" s="769">
        <f>Dean_Ag!W27+Ag_Econ!W27+Agronomy!W27+Animal_Sci!W27+CommAgEd!W27+Entomology!W27+Grain_Sci!W27+Horticulture!W27+Plant_Path!W27</f>
        <v>31515089</v>
      </c>
      <c r="X27" s="627">
        <f>Dean_Ag!X27+Ag_Econ!X27+Agronomy!X27+Animal_Sci!X27+CommAgEd!X27+Entomology!X27+Grain_Sci!X27+Horticulture!X27+Plant_Path!X27</f>
        <v>508</v>
      </c>
      <c r="Y27" s="769">
        <f>Dean_Ag!Y27+Ag_Econ!Y27+Agronomy!Y27+Animal_Sci!Y27+CommAgEd!Y27+Entomology!Y27+Grain_Sci!Y27+Horticulture!Y27+Plant_Path!Y27</f>
        <v>54019803</v>
      </c>
      <c r="Z27" s="627">
        <f>Dean_Ag!Z27+Ag_Econ!Z27+Agronomy!Z27+Animal_Sci!Z27+CommAgEd!Z27+Entomology!Z27+Grain_Sci!Z27+Horticulture!Z27+Plant_Path!Z27</f>
        <v>609</v>
      </c>
      <c r="AA27" s="769">
        <f>Dean_Ag!AA27+Ag_Econ!AA27+Agronomy!AA27+Animal_Sci!AA27+CommAgEd!AA27+Entomology!AA27+Grain_Sci!AA27+Horticulture!AA27+Plant_Path!AA27</f>
        <v>26883702</v>
      </c>
      <c r="AB27" s="770">
        <f>Dean_Ag!AB27+Ag_Econ!AB27+Agronomy!AB27+Animal_Sci!AB27+CommAgEd!AB27+Entomology!AB27+Grain_Sci!AB27+Horticulture!AB27+Plant_Path!AB27</f>
        <v>0</v>
      </c>
      <c r="AC27" s="771">
        <f>Dean_Ag!AC27+Ag_Econ!AC27+Agronomy!AC27+Animal_Sci!AC27+CommAgEd!AC27+Entomology!AC27+Grain_Sci!AC27+Horticulture!AC27+Plant_Path!AC27</f>
        <v>0</v>
      </c>
      <c r="AD27" s="609"/>
      <c r="AE27" s="469">
        <f>AVERAGE(T27,R27,Z27,X27,V27)</f>
        <v>485.2</v>
      </c>
      <c r="AF27" s="4">
        <f t="shared" ref="AF27:AF28" si="4">AVERAGE(U27,S27,AA27,W27,Y27)</f>
        <v>38226350.799999997</v>
      </c>
      <c r="AG27" s="483">
        <f t="shared" ref="AG27:AG28" si="5">+(AA27-S27)/S27</f>
        <v>-0.11004417188003697</v>
      </c>
    </row>
    <row r="28" spans="1:33" ht="15" customHeight="1" thickBot="1" x14ac:dyDescent="0.25">
      <c r="A28" s="190" t="s">
        <v>57</v>
      </c>
      <c r="B28" s="237"/>
      <c r="C28" s="424"/>
      <c r="D28" s="283"/>
      <c r="E28" s="426"/>
      <c r="F28" s="348"/>
      <c r="G28" s="227"/>
      <c r="H28" s="239"/>
      <c r="I28" s="350"/>
      <c r="J28" s="348"/>
      <c r="K28" s="240"/>
      <c r="L28" s="348">
        <f>Dean_Ag!L28+Ag_Econ!L28+Agronomy!L28+Animal_Sci!L28+CommAgEd!L28+Entomology!L28+Grain_Sci!L28+Horticulture!L28+Plant_Path!L28</f>
        <v>282</v>
      </c>
      <c r="M28" s="336">
        <f>Dean_Ag!M28+Ag_Econ!M28+Agronomy!M28+Animal_Sci!M28+CommAgEd!M28+Entomology!M28+Grain_Sci!M28+Horticulture!M28+Plant_Path!M28</f>
        <v>21847791</v>
      </c>
      <c r="N28" s="628">
        <f>Dean_Ag!N28+Ag_Econ!N28+Agronomy!N28+Animal_Sci!N28+CommAgEd!N28+Entomology!N28+Grain_Sci!N28+Horticulture!N28+Plant_Path!N28</f>
        <v>293</v>
      </c>
      <c r="O28" s="769">
        <f>Dean_Ag!O28+Ag_Econ!O28+Agronomy!O28+Animal_Sci!O28+CommAgEd!O28+Entomology!O28+Grain_Sci!O28+Horticulture!O28+Plant_Path!O28</f>
        <v>21605575</v>
      </c>
      <c r="P28" s="628">
        <f>Dean_Ag!P28+Ag_Econ!P28+Agronomy!P28+Animal_Sci!P28+CommAgEd!P28+Entomology!P28+Grain_Sci!P28+Horticulture!P28+Plant_Path!P28</f>
        <v>272</v>
      </c>
      <c r="Q28" s="769">
        <f>Dean_Ag!Q28+Ag_Econ!Q28+Agronomy!Q28+Animal_Sci!Q28+CommAgEd!Q28+Entomology!Q28+Grain_Sci!Q28+Horticulture!Q28+Plant_Path!Q28</f>
        <v>19183843</v>
      </c>
      <c r="R28" s="628">
        <f>Dean_Ag!R28+Ag_Econ!R28+Agronomy!R28+Animal_Sci!R28+CommAgEd!R28+Entomology!R28+Grain_Sci!R28+Horticulture!R28+Plant_Path!R28</f>
        <v>276</v>
      </c>
      <c r="S28" s="769">
        <f>Dean_Ag!S28+Ag_Econ!S28+Agronomy!S28+Animal_Sci!S28+CommAgEd!S28+Entomology!S28+Grain_Sci!S28+Horticulture!S28+Plant_Path!S28</f>
        <v>22865162</v>
      </c>
      <c r="T28" s="628">
        <f>Dean_Ag!T28+Ag_Econ!T28+Agronomy!T28+Animal_Sci!T28+CommAgEd!T28+Entomology!T28+Grain_Sci!T28+Horticulture!T28+Plant_Path!T28</f>
        <v>301</v>
      </c>
      <c r="U28" s="769">
        <f>Dean_Ag!U28+Ag_Econ!U28+Agronomy!U28+Animal_Sci!U28+CommAgEd!U28+Entomology!U28+Grain_Sci!U28+Horticulture!U28+Plant_Path!U28</f>
        <v>33836535</v>
      </c>
      <c r="V28" s="628">
        <f>Dean_Ag!V28+Ag_Econ!V28+Agronomy!V28+Animal_Sci!V28+CommAgEd!V28+Entomology!V28+Grain_Sci!V28+Horticulture!V28+Plant_Path!V28</f>
        <v>338</v>
      </c>
      <c r="W28" s="769">
        <f>Dean_Ag!W28+Ag_Econ!W28+Agronomy!W28+Animal_Sci!W28+CommAgEd!W28+Entomology!W28+Grain_Sci!W28+Horticulture!W28+Plant_Path!W28</f>
        <v>38172246</v>
      </c>
      <c r="X28" s="628">
        <f>Dean_Ag!X28+Ag_Econ!X28+Agronomy!X28+Animal_Sci!X28+CommAgEd!X28+Entomology!X28+Grain_Sci!X28+Horticulture!X28+Plant_Path!X28</f>
        <v>348</v>
      </c>
      <c r="Y28" s="769">
        <f>Dean_Ag!Y28+Ag_Econ!Y28+Agronomy!Y28+Animal_Sci!Y28+CommAgEd!Y28+Entomology!Y28+Grain_Sci!Y28+Horticulture!Y28+Plant_Path!Y28</f>
        <v>31908496</v>
      </c>
      <c r="Z28" s="628">
        <f>Dean_Ag!Z28+Ag_Econ!Z28+Agronomy!Z28+Animal_Sci!Z28+CommAgEd!Z28+Entomology!Z28+Grain_Sci!Z28+Horticulture!Z28+Plant_Path!Z28</f>
        <v>520</v>
      </c>
      <c r="AA28" s="769">
        <f>Dean_Ag!AA28+Ag_Econ!AA28+Agronomy!AA28+Animal_Sci!AA28+CommAgEd!AA28+Entomology!AA28+Grain_Sci!AA28+Horticulture!AA28+Plant_Path!AA28</f>
        <v>39164903</v>
      </c>
      <c r="AB28" s="772">
        <f>Dean_Ag!AB28+Ag_Econ!AB28+Agronomy!AB28+Animal_Sci!AB28+CommAgEd!AB28+Entomology!AB28+Grain_Sci!AB28+Horticulture!AB28+Plant_Path!AB28</f>
        <v>0</v>
      </c>
      <c r="AC28" s="771">
        <f>Dean_Ag!AC28+Ag_Econ!AC28+Agronomy!AC28+Animal_Sci!AC28+CommAgEd!AC28+Entomology!AC28+Grain_Sci!AC28+Horticulture!AC28+Plant_Path!AC28</f>
        <v>0</v>
      </c>
      <c r="AD28" s="609"/>
      <c r="AE28" s="471">
        <f>AVERAGE(T28,R28,Z28,X28,V28)</f>
        <v>356.6</v>
      </c>
      <c r="AF28" s="773">
        <f t="shared" si="4"/>
        <v>33189468.399999999</v>
      </c>
      <c r="AG28" s="483">
        <f t="shared" si="5"/>
        <v>0.71286356947744345</v>
      </c>
    </row>
    <row r="29" spans="1:33" ht="18" customHeight="1" thickTop="1" x14ac:dyDescent="0.2">
      <c r="A29" s="112" t="s">
        <v>17</v>
      </c>
      <c r="B29" s="865"/>
      <c r="C29" s="866"/>
      <c r="D29" s="867"/>
      <c r="E29" s="867"/>
      <c r="F29" s="868"/>
      <c r="G29" s="869"/>
      <c r="H29" s="868"/>
      <c r="I29" s="869"/>
      <c r="J29" s="870"/>
      <c r="K29" s="870"/>
      <c r="L29" s="855"/>
      <c r="M29" s="856"/>
      <c r="N29" s="849"/>
      <c r="O29" s="850"/>
      <c r="P29" s="849"/>
      <c r="Q29" s="850"/>
      <c r="R29" s="849"/>
      <c r="S29" s="850"/>
      <c r="T29" s="849"/>
      <c r="U29" s="850"/>
      <c r="V29" s="849"/>
      <c r="W29" s="850"/>
      <c r="X29" s="849"/>
      <c r="Y29" s="850"/>
      <c r="Z29" s="849"/>
      <c r="AA29" s="850"/>
      <c r="AB29" s="849"/>
      <c r="AC29" s="851"/>
      <c r="AD29" s="774"/>
      <c r="AE29" s="833"/>
      <c r="AF29" s="834"/>
      <c r="AG29" s="441"/>
    </row>
    <row r="30" spans="1:33" ht="15" customHeight="1" x14ac:dyDescent="0.2">
      <c r="A30" s="189" t="s">
        <v>18</v>
      </c>
      <c r="B30" s="48"/>
      <c r="C30" s="54"/>
      <c r="D30" s="48"/>
      <c r="E30" s="203"/>
      <c r="F30" s="76"/>
      <c r="G30" s="422"/>
      <c r="H30" s="76"/>
      <c r="I30" s="418"/>
      <c r="J30" s="357"/>
      <c r="K30" s="418"/>
      <c r="L30" s="357"/>
      <c r="M30" s="356">
        <f>Dean_Ag!M30+Ag_Econ!M30+Agronomy!M30+Animal_Sci!M30+CommAgEd!M30+Entomology!M30+Grain_Sci!M30+Horticulture!M30+Plant_Path!M30</f>
        <v>3128285</v>
      </c>
      <c r="N30" s="764"/>
      <c r="O30" s="661">
        <f>Dean_Ag!O30+Ag_Econ!O30+Agronomy!O30+Animal_Sci!O30+CommAgEd!O30+Entomology!O30+Grain_Sci!O30+Horticulture!O30+Plant_Path!O30</f>
        <v>4999624</v>
      </c>
      <c r="P30" s="764"/>
      <c r="Q30" s="661">
        <f>Dean_Ag!Q30+Ag_Econ!Q30+Agronomy!Q30+Animal_Sci!Q30+CommAgEd!Q30+Entomology!Q30+Grain_Sci!Q30+Horticulture!Q30+Plant_Path!Q30</f>
        <v>8274751.3900000006</v>
      </c>
      <c r="R30" s="764"/>
      <c r="S30" s="661">
        <f>Dean_Ag!S30+Ag_Econ!S30+Agronomy!S30+Animal_Sci!S30+CommAgEd!S30+Entomology!S30+Grain_Sci!S30+Horticulture!S30+Plant_Path!S30</f>
        <v>5199478.13</v>
      </c>
      <c r="T30" s="764"/>
      <c r="U30" s="661">
        <f>Dean_Ag!U30+Ag_Econ!U30+Agronomy!U30+Animal_Sci!U30+CommAgEd!U30+Entomology!U30+Grain_Sci!U30+Horticulture!U30+Plant_Path!U30</f>
        <v>6444495.1399999997</v>
      </c>
      <c r="V30" s="764"/>
      <c r="W30" s="661">
        <f>Dean_Ag!W30+Ag_Econ!W30+Agronomy!W30+Animal_Sci!W30+CommAgEd!W30+Entomology!W30+Grain_Sci!W30+Horticulture!W30+Plant_Path!W30</f>
        <v>6675736.8200000012</v>
      </c>
      <c r="X30" s="764"/>
      <c r="Y30" s="661">
        <f>Dean_Ag!Y30+Ag_Econ!Y30+Agronomy!Y30+Animal_Sci!Y30+CommAgEd!Y30+Entomology!Y30+Grain_Sci!Y30+Horticulture!Y30+Plant_Path!Y30</f>
        <v>6402301.169999999</v>
      </c>
      <c r="Z30" s="764"/>
      <c r="AA30" s="661">
        <f>Dean_Ag!AA30+Ag_Econ!AA30+Agronomy!AA30+Animal_Sci!AA30+CommAgEd!AA30+Entomology!AA30+Grain_Sci!AA30+Horticulture!AA30+Plant_Path!AA30</f>
        <v>5174502.4600000009</v>
      </c>
      <c r="AB30" s="764"/>
      <c r="AC30" s="775">
        <f>Dean_Ag!AC30+Ag_Econ!AC30+Agronomy!AC30+Animal_Sci!AC30+CommAgEd!AC30+Entomology!AC30+Grain_Sci!AC30+Horticulture!AC30+Plant_Path!AC30</f>
        <v>0</v>
      </c>
      <c r="AD30" s="776"/>
      <c r="AE30" s="605"/>
      <c r="AF30" s="4">
        <f t="shared" ref="AF30:AF31" si="6">AVERAGE(U30,S30,AA30,W30,Y30)</f>
        <v>5979302.7439999999</v>
      </c>
      <c r="AG30" s="483">
        <f t="shared" ref="AG30:AG31" si="7">+(AA30-S30)/S30</f>
        <v>-4.8034955385030144E-3</v>
      </c>
    </row>
    <row r="31" spans="1:33" ht="15" customHeight="1" thickBot="1" x14ac:dyDescent="0.25">
      <c r="A31" s="190" t="s">
        <v>19</v>
      </c>
      <c r="B31" s="37"/>
      <c r="C31" s="42"/>
      <c r="D31" s="37"/>
      <c r="E31" s="79"/>
      <c r="F31" s="73"/>
      <c r="G31" s="79"/>
      <c r="H31" s="73"/>
      <c r="I31" s="100"/>
      <c r="J31" s="73"/>
      <c r="K31" s="100"/>
      <c r="L31" s="73"/>
      <c r="M31" s="580">
        <f>Dean_Ag!M31+Ag_Econ!M31+Agronomy!M31+Animal_Sci!M31+CommAgEd!M31+Entomology!M31+Grain_Sci!M31+Horticulture!M31+Plant_Path!M31</f>
        <v>4735866.05</v>
      </c>
      <c r="N31" s="631"/>
      <c r="O31" s="777">
        <f>Dean_Ag!O31+Ag_Econ!O31+Agronomy!O31+Animal_Sci!O31+CommAgEd!O31+Entomology!O31+Grain_Sci!O31+Horticulture!O31+Plant_Path!O31</f>
        <v>5034801</v>
      </c>
      <c r="P31" s="631"/>
      <c r="Q31" s="777">
        <f>Dean_Ag!Q31+Ag_Econ!Q31+Agronomy!Q31+Animal_Sci!Q31+CommAgEd!Q31+Entomology!Q31+Grain_Sci!Q31+Horticulture!Q31+Plant_Path!Q31</f>
        <v>5480323.4100000001</v>
      </c>
      <c r="R31" s="631"/>
      <c r="S31" s="777">
        <f>Dean_Ag!S31+Ag_Econ!S31+Agronomy!S31+Animal_Sci!S31+CommAgEd!S31+Entomology!S31+Grain_Sci!S31+Horticulture!S31+Plant_Path!S31</f>
        <v>5186589.2300000004</v>
      </c>
      <c r="T31" s="631"/>
      <c r="U31" s="777">
        <f>Dean_Ag!U31+Ag_Econ!U31+Agronomy!U31+Animal_Sci!U31+CommAgEd!U31+Entomology!U31+Grain_Sci!U31+Horticulture!U31+Plant_Path!U31</f>
        <v>5555544.4199999999</v>
      </c>
      <c r="V31" s="631"/>
      <c r="W31" s="777">
        <f>Dean_Ag!W31+Ag_Econ!W31+Agronomy!W31+Animal_Sci!W31+CommAgEd!W31+Entomology!W31+Grain_Sci!W31+Horticulture!W31+Plant_Path!W31</f>
        <v>6701250.1600000001</v>
      </c>
      <c r="X31" s="631"/>
      <c r="Y31" s="777">
        <f>Dean_Ag!Y31+Ag_Econ!Y31+Agronomy!Y31+Animal_Sci!Y31+CommAgEd!Y31+Entomology!Y31+Grain_Sci!Y31+Horticulture!Y31+Plant_Path!Y31</f>
        <v>7626192.6799999997</v>
      </c>
      <c r="Z31" s="631"/>
      <c r="AA31" s="777">
        <f>Dean_Ag!AA31+Ag_Econ!AA31+Agronomy!AA31+Animal_Sci!AA31+CommAgEd!AA31+Entomology!AA31+Grain_Sci!AA31+Horticulture!AA31+Plant_Path!AA31</f>
        <v>8249479</v>
      </c>
      <c r="AB31" s="631"/>
      <c r="AC31" s="778">
        <f>Dean_Ag!AC31+Ag_Econ!AC31+Agronomy!AC31+Animal_Sci!AC31+CommAgEd!AC31+Entomology!AC31+Grain_Sci!AC31+Horticulture!AC31+Plant_Path!AC31</f>
        <v>0</v>
      </c>
      <c r="AD31" s="673"/>
      <c r="AE31" s="614"/>
      <c r="AF31" s="615">
        <f t="shared" si="6"/>
        <v>6663811.0979999993</v>
      </c>
      <c r="AG31" s="484">
        <f t="shared" si="7"/>
        <v>0.590540263393868</v>
      </c>
    </row>
    <row r="32" spans="1:33" ht="34.5" thickTop="1" x14ac:dyDescent="0.2">
      <c r="A32" s="596" t="s">
        <v>64</v>
      </c>
      <c r="N32" s="673"/>
      <c r="O32" s="673"/>
      <c r="P32" s="673"/>
      <c r="Q32" s="673"/>
      <c r="R32" s="673"/>
      <c r="S32" s="673"/>
      <c r="T32" s="673"/>
      <c r="U32" s="673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</row>
    <row r="33" spans="1:29" x14ac:dyDescent="0.2">
      <c r="A33" s="15"/>
      <c r="AC33" s="1" t="s">
        <v>4</v>
      </c>
    </row>
  </sheetData>
  <mergeCells count="45"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L22:M22"/>
    <mergeCell ref="N22:O22"/>
    <mergeCell ref="P22:Q22"/>
    <mergeCell ref="N9:O9"/>
    <mergeCell ref="P9:Q9"/>
    <mergeCell ref="B22:C22"/>
    <mergeCell ref="D22:E22"/>
    <mergeCell ref="F22:G22"/>
    <mergeCell ref="H22:I22"/>
    <mergeCell ref="J22:K22"/>
    <mergeCell ref="R22:S22"/>
    <mergeCell ref="T22:U22"/>
    <mergeCell ref="V22:W22"/>
    <mergeCell ref="X22:Y22"/>
    <mergeCell ref="Z22:AA22"/>
    <mergeCell ref="X29:Y29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AB9:AC9"/>
    <mergeCell ref="AB22:AC22"/>
    <mergeCell ref="AB29:AC29"/>
    <mergeCell ref="Z29:AA29"/>
    <mergeCell ref="AE29:AF29"/>
    <mergeCell ref="AE22:AF22"/>
    <mergeCell ref="Z9:AA9"/>
    <mergeCell ref="AE9:AF9"/>
  </mergeCells>
  <printOptions horizontalCentered="1" verticalCentered="1"/>
  <pageMargins left="0.5" right="0.5" top="0.5" bottom="0.5" header="0.5" footer="0.25"/>
  <pageSetup scale="75" fitToHeight="0" orientation="landscape" horizontalDpi="4294967292" verticalDpi="4294967292" r:id="rId1"/>
  <headerFooter alignWithMargins="0">
    <oddFooter>&amp;L&amp;8Prepared by Planning and Analysis&amp;C&amp;8&amp;P of &amp;N&amp;R&amp;8Updated &amp;D</oddFoot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Normal="100" zoomScaleSheetLayoutView="100" workbookViewId="0">
      <pane xSplit="1" ySplit="7" topLeftCell="J17" activePane="bottomRight" state="frozen"/>
      <selection activeCell="N10" sqref="N10:AG31"/>
      <selection pane="topRight" activeCell="N10" sqref="N10:AG31"/>
      <selection pane="bottomLeft" activeCell="N10" sqref="N10:AG31"/>
      <selection pane="bottomRight" activeCell="N10" sqref="N10:AG31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140625" hidden="1" customWidth="1"/>
    <col min="4" max="4" width="4.7109375" hidden="1" customWidth="1"/>
    <col min="5" max="5" width="10.42578125" hidden="1" customWidth="1"/>
    <col min="6" max="6" width="4.7109375" style="62" hidden="1" customWidth="1"/>
    <col min="7" max="7" width="10.42578125" style="62" hidden="1" customWidth="1"/>
    <col min="8" max="8" width="4.7109375" style="62" hidden="1" customWidth="1"/>
    <col min="9" max="9" width="11.5703125" style="62" hidden="1" customWidth="1"/>
    <col min="10" max="10" width="4.7109375" style="1" hidden="1" customWidth="1"/>
    <col min="11" max="11" width="10.2851562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3.140625" style="1" customWidth="1"/>
    <col min="31" max="31" width="4.7109375" style="1" customWidth="1"/>
    <col min="32" max="32" width="10.7109375" style="1" customWidth="1"/>
    <col min="33" max="33" width="8.7109375" style="1" customWidth="1"/>
    <col min="34" max="34" width="3.5703125" style="1" customWidth="1"/>
    <col min="35" max="16384" width="10.28515625" style="1"/>
  </cols>
  <sheetData>
    <row r="1" spans="1:33" customFormat="1" ht="15.75" x14ac:dyDescent="0.25">
      <c r="A1" s="419" t="s">
        <v>48</v>
      </c>
      <c r="AG1" s="1"/>
    </row>
    <row r="2" spans="1:33" customFormat="1" ht="15.75" x14ac:dyDescent="0.25">
      <c r="A2" s="419" t="s">
        <v>49</v>
      </c>
      <c r="AG2" s="1"/>
    </row>
    <row r="3" spans="1:33" customFormat="1" ht="6" customHeight="1" x14ac:dyDescent="0.25">
      <c r="A3" s="419"/>
      <c r="AG3" s="1"/>
    </row>
    <row r="4" spans="1:33" customFormat="1" ht="15.75" x14ac:dyDescent="0.25">
      <c r="A4" s="420" t="s">
        <v>41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AG4" s="1"/>
    </row>
    <row r="5" spans="1:33" customFormat="1" ht="5.25" customHeight="1" x14ac:dyDescent="0.25">
      <c r="A5" s="420"/>
      <c r="AC5" t="s">
        <v>4</v>
      </c>
      <c r="AG5" s="1"/>
    </row>
    <row r="6" spans="1:33" customFormat="1" ht="25.5" x14ac:dyDescent="0.2">
      <c r="A6" s="443" t="s">
        <v>51</v>
      </c>
      <c r="AG6" s="1"/>
    </row>
    <row r="7" spans="1:33" customFormat="1" x14ac:dyDescent="0.2">
      <c r="A7" s="7">
        <v>3670010030</v>
      </c>
      <c r="AG7" s="1"/>
    </row>
    <row r="8" spans="1:33" ht="15" customHeight="1" thickBot="1" x14ac:dyDescent="0.25">
      <c r="A8" s="16"/>
      <c r="B8" s="10"/>
      <c r="C8" s="10"/>
      <c r="D8" s="10"/>
      <c r="E8" s="10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E8" s="10"/>
      <c r="AF8" s="10"/>
    </row>
    <row r="9" spans="1:33" ht="30" customHeight="1" thickTop="1" thickBot="1" x14ac:dyDescent="0.25">
      <c r="A9" s="198"/>
      <c r="B9" s="803" t="s">
        <v>7</v>
      </c>
      <c r="C9" s="797"/>
      <c r="D9" s="803" t="s">
        <v>8</v>
      </c>
      <c r="E9" s="797"/>
      <c r="F9" s="794" t="s">
        <v>22</v>
      </c>
      <c r="G9" s="793"/>
      <c r="H9" s="794" t="s">
        <v>24</v>
      </c>
      <c r="I9" s="793"/>
      <c r="J9" s="794" t="s">
        <v>25</v>
      </c>
      <c r="K9" s="793"/>
      <c r="L9" s="794" t="s">
        <v>26</v>
      </c>
      <c r="M9" s="793"/>
      <c r="N9" s="794" t="s">
        <v>28</v>
      </c>
      <c r="O9" s="793"/>
      <c r="P9" s="794" t="s">
        <v>29</v>
      </c>
      <c r="Q9" s="793"/>
      <c r="R9" s="794" t="s">
        <v>34</v>
      </c>
      <c r="S9" s="793"/>
      <c r="T9" s="794" t="s">
        <v>35</v>
      </c>
      <c r="U9" s="793"/>
      <c r="V9" s="794" t="s">
        <v>36</v>
      </c>
      <c r="W9" s="793"/>
      <c r="X9" s="794" t="s">
        <v>37</v>
      </c>
      <c r="Y9" s="793"/>
      <c r="Z9" s="794" t="s">
        <v>38</v>
      </c>
      <c r="AA9" s="793"/>
      <c r="AB9" s="794" t="s">
        <v>60</v>
      </c>
      <c r="AC9" s="795"/>
      <c r="AD9" s="144"/>
      <c r="AE9" s="806" t="s">
        <v>27</v>
      </c>
      <c r="AF9" s="807"/>
      <c r="AG9" s="435" t="s">
        <v>43</v>
      </c>
    </row>
    <row r="10" spans="1:33" ht="18" customHeight="1" x14ac:dyDescent="0.2">
      <c r="A10" s="206" t="s">
        <v>9</v>
      </c>
      <c r="B10" s="429"/>
      <c r="C10" s="430"/>
      <c r="D10" s="7"/>
      <c r="E10" s="7"/>
      <c r="F10" s="431"/>
      <c r="G10" s="432"/>
      <c r="H10" s="433"/>
      <c r="I10" s="433"/>
      <c r="J10" s="431"/>
      <c r="K10" s="433"/>
      <c r="L10" s="431"/>
      <c r="M10" s="432"/>
      <c r="N10" s="433"/>
      <c r="O10" s="432"/>
      <c r="P10" s="433"/>
      <c r="Q10" s="432"/>
      <c r="R10" s="433"/>
      <c r="S10" s="432"/>
      <c r="T10" s="433"/>
      <c r="U10" s="432"/>
      <c r="V10" s="433"/>
      <c r="W10" s="432"/>
      <c r="X10" s="433"/>
      <c r="Y10" s="432"/>
      <c r="Z10" s="433"/>
      <c r="AA10" s="432"/>
      <c r="AB10" s="433"/>
      <c r="AC10" s="434"/>
      <c r="AD10" s="144"/>
      <c r="AE10" s="442"/>
      <c r="AF10" s="446"/>
      <c r="AG10" s="436"/>
    </row>
    <row r="11" spans="1:33" ht="15" customHeight="1" x14ac:dyDescent="0.2">
      <c r="A11" s="181" t="s">
        <v>10</v>
      </c>
      <c r="B11" s="43"/>
      <c r="C11" s="32"/>
      <c r="D11" s="4"/>
      <c r="E11" s="4"/>
      <c r="F11" s="80"/>
      <c r="G11" s="58"/>
      <c r="H11" s="26"/>
      <c r="I11" s="26"/>
      <c r="J11" s="80"/>
      <c r="K11" s="26"/>
      <c r="L11" s="80"/>
      <c r="M11" s="58"/>
      <c r="N11" s="26"/>
      <c r="O11" s="58"/>
      <c r="P11" s="26"/>
      <c r="Q11" s="58"/>
      <c r="R11" s="26"/>
      <c r="S11" s="58"/>
      <c r="T11" s="26"/>
      <c r="U11" s="58"/>
      <c r="V11" s="26"/>
      <c r="W11" s="58"/>
      <c r="X11" s="26"/>
      <c r="Y11" s="58"/>
      <c r="Z11" s="26"/>
      <c r="AA11" s="58"/>
      <c r="AB11" s="26"/>
      <c r="AC11" s="65"/>
      <c r="AD11" s="634"/>
      <c r="AE11" s="603"/>
      <c r="AF11" s="604"/>
      <c r="AG11" s="437"/>
    </row>
    <row r="12" spans="1:33" ht="15" customHeight="1" x14ac:dyDescent="0.2">
      <c r="A12" s="182" t="s">
        <v>11</v>
      </c>
      <c r="B12" s="51"/>
      <c r="C12" s="376">
        <v>1159733</v>
      </c>
      <c r="D12" s="284"/>
      <c r="E12" s="377">
        <v>1232221</v>
      </c>
      <c r="F12" s="170"/>
      <c r="G12" s="378">
        <v>1285832</v>
      </c>
      <c r="H12" s="192"/>
      <c r="I12" s="398">
        <v>1333586</v>
      </c>
      <c r="J12" s="170"/>
      <c r="K12" s="398">
        <v>1328273</v>
      </c>
      <c r="L12" s="170"/>
      <c r="M12" s="397">
        <v>1373797</v>
      </c>
      <c r="N12" s="94"/>
      <c r="O12" s="99">
        <v>1380010</v>
      </c>
      <c r="P12" s="94"/>
      <c r="Q12" s="99">
        <v>1376918</v>
      </c>
      <c r="R12" s="94"/>
      <c r="S12" s="99">
        <v>1443239</v>
      </c>
      <c r="T12" s="94"/>
      <c r="U12" s="99">
        <v>1494404</v>
      </c>
      <c r="V12" s="94"/>
      <c r="W12" s="99">
        <v>1513325</v>
      </c>
      <c r="X12" s="94"/>
      <c r="Y12" s="99">
        <v>1628357</v>
      </c>
      <c r="Z12" s="94"/>
      <c r="AA12" s="99">
        <v>1609170</v>
      </c>
      <c r="AB12" s="94"/>
      <c r="AC12" s="216">
        <v>1524140</v>
      </c>
      <c r="AD12" s="634"/>
      <c r="AE12" s="605"/>
      <c r="AF12" s="523">
        <f>AVERAGE(U12,AC12,Y12,W12,AA12)</f>
        <v>1553879.2</v>
      </c>
      <c r="AG12" s="438">
        <f>+(AC12-U12)/S12</f>
        <v>2.0603656081910202E-2</v>
      </c>
    </row>
    <row r="13" spans="1:33" ht="15" customHeight="1" x14ac:dyDescent="0.2">
      <c r="A13" s="182" t="s">
        <v>30</v>
      </c>
      <c r="B13" s="51"/>
      <c r="C13" s="376"/>
      <c r="D13" s="284"/>
      <c r="E13" s="377"/>
      <c r="F13" s="170"/>
      <c r="G13" s="378"/>
      <c r="H13" s="192"/>
      <c r="I13" s="398"/>
      <c r="J13" s="170"/>
      <c r="K13" s="398"/>
      <c r="L13" s="170"/>
      <c r="M13" s="397"/>
      <c r="N13" s="94"/>
      <c r="O13" s="99"/>
      <c r="P13" s="94"/>
      <c r="Q13" s="99"/>
      <c r="R13" s="94"/>
      <c r="S13" s="99"/>
      <c r="T13" s="94"/>
      <c r="U13" s="99"/>
      <c r="V13" s="94"/>
      <c r="W13" s="99"/>
      <c r="X13" s="94"/>
      <c r="Y13" s="99"/>
      <c r="Z13" s="94"/>
      <c r="AA13" s="99"/>
      <c r="AB13" s="94"/>
      <c r="AC13" s="216"/>
      <c r="AD13" s="634"/>
      <c r="AE13" s="609"/>
      <c r="AF13" s="523"/>
      <c r="AG13" s="437"/>
    </row>
    <row r="14" spans="1:33" ht="30" customHeight="1" thickBot="1" x14ac:dyDescent="0.25">
      <c r="A14" s="266" t="s">
        <v>32</v>
      </c>
      <c r="B14" s="255"/>
      <c r="C14" s="381"/>
      <c r="D14" s="325"/>
      <c r="E14" s="382"/>
      <c r="F14" s="383"/>
      <c r="G14" s="384"/>
      <c r="H14" s="164"/>
      <c r="I14" s="385"/>
      <c r="J14" s="383"/>
      <c r="K14" s="385">
        <v>5856</v>
      </c>
      <c r="L14" s="383"/>
      <c r="M14" s="384">
        <v>6182</v>
      </c>
      <c r="N14" s="258"/>
      <c r="O14" s="264">
        <v>3232</v>
      </c>
      <c r="P14" s="258"/>
      <c r="Q14" s="264">
        <v>3273</v>
      </c>
      <c r="R14" s="258"/>
      <c r="S14" s="264">
        <v>3311</v>
      </c>
      <c r="T14" s="258"/>
      <c r="U14" s="264">
        <v>8788</v>
      </c>
      <c r="V14" s="258"/>
      <c r="W14" s="264">
        <v>12448</v>
      </c>
      <c r="X14" s="258"/>
      <c r="Y14" s="264">
        <v>74866</v>
      </c>
      <c r="Z14" s="258"/>
      <c r="AA14" s="264">
        <v>159593</v>
      </c>
      <c r="AB14" s="258"/>
      <c r="AC14" s="265">
        <v>283475</v>
      </c>
      <c r="AD14" s="634"/>
      <c r="AE14" s="606"/>
      <c r="AF14" s="523">
        <f t="shared" ref="AF14:AF21" si="0">AVERAGE(U14,AC14,Y14,W14,AA14)</f>
        <v>107834</v>
      </c>
      <c r="AG14" s="588">
        <f t="shared" ref="AG14:AG21" si="1">+(AC14-U14)/S14</f>
        <v>82.961945031712474</v>
      </c>
    </row>
    <row r="15" spans="1:33" ht="18.75" customHeight="1" thickBot="1" x14ac:dyDescent="0.25">
      <c r="A15" s="275" t="s">
        <v>12</v>
      </c>
      <c r="B15" s="276"/>
      <c r="C15" s="387">
        <f>SUM(C12:C14)</f>
        <v>1159733</v>
      </c>
      <c r="D15" s="388"/>
      <c r="E15" s="389">
        <f>SUM(E12:E14)</f>
        <v>1232221</v>
      </c>
      <c r="F15" s="390"/>
      <c r="G15" s="391">
        <f>SUM(G12:G14)</f>
        <v>1285832</v>
      </c>
      <c r="H15" s="392"/>
      <c r="I15" s="393">
        <f>SUM(I12:I14)</f>
        <v>1333586</v>
      </c>
      <c r="J15" s="390"/>
      <c r="K15" s="393">
        <f>SUM(K12:K14)</f>
        <v>1334129</v>
      </c>
      <c r="L15" s="390"/>
      <c r="M15" s="391">
        <f>SUM(M12:M14)</f>
        <v>1379979</v>
      </c>
      <c r="N15" s="271"/>
      <c r="O15" s="270">
        <f>SUM(O12:O14)</f>
        <v>1383242</v>
      </c>
      <c r="P15" s="271"/>
      <c r="Q15" s="270">
        <f>SUM(Q12:Q14)</f>
        <v>1380191</v>
      </c>
      <c r="R15" s="271"/>
      <c r="S15" s="270">
        <f>SUM(S12:S14)</f>
        <v>1446550</v>
      </c>
      <c r="T15" s="271"/>
      <c r="U15" s="270">
        <f>SUM(U12:U14)</f>
        <v>1503192</v>
      </c>
      <c r="V15" s="271"/>
      <c r="W15" s="270">
        <f>SUM(W12:W14)</f>
        <v>1525773</v>
      </c>
      <c r="X15" s="271"/>
      <c r="Y15" s="270">
        <f>SUM(Y12:Y14)</f>
        <v>1703223</v>
      </c>
      <c r="Z15" s="271"/>
      <c r="AA15" s="270">
        <f>SUM(AA12:AA14)</f>
        <v>1768763</v>
      </c>
      <c r="AB15" s="271"/>
      <c r="AC15" s="272">
        <f>SUM(AC12:AC14)</f>
        <v>1807615</v>
      </c>
      <c r="AD15" s="634"/>
      <c r="AE15" s="660"/>
      <c r="AF15" s="608">
        <f t="shared" si="0"/>
        <v>1661713.2</v>
      </c>
      <c r="AG15" s="445">
        <f t="shared" si="1"/>
        <v>0.21044761674328574</v>
      </c>
    </row>
    <row r="16" spans="1:33" ht="15" customHeight="1" x14ac:dyDescent="0.2">
      <c r="A16" s="199" t="s">
        <v>13</v>
      </c>
      <c r="B16" s="51"/>
      <c r="C16" s="376"/>
      <c r="D16" s="284"/>
      <c r="E16" s="377"/>
      <c r="F16" s="170"/>
      <c r="G16" s="378"/>
      <c r="H16" s="192"/>
      <c r="I16" s="379"/>
      <c r="J16" s="170"/>
      <c r="K16" s="379"/>
      <c r="L16" s="170"/>
      <c r="M16" s="378"/>
      <c r="N16" s="94"/>
      <c r="O16" s="98"/>
      <c r="P16" s="94"/>
      <c r="Q16" s="98"/>
      <c r="R16" s="94"/>
      <c r="S16" s="98"/>
      <c r="T16" s="94"/>
      <c r="U16" s="98"/>
      <c r="V16" s="94"/>
      <c r="W16" s="98"/>
      <c r="X16" s="94"/>
      <c r="Y16" s="98"/>
      <c r="Z16" s="94"/>
      <c r="AA16" s="98"/>
      <c r="AB16" s="94"/>
      <c r="AC16" s="217"/>
      <c r="AD16" s="634"/>
      <c r="AE16" s="603"/>
      <c r="AF16" s="604"/>
      <c r="AG16" s="440"/>
    </row>
    <row r="17" spans="1:35" ht="15" customHeight="1" x14ac:dyDescent="0.2">
      <c r="A17" s="182" t="s">
        <v>11</v>
      </c>
      <c r="B17" s="43"/>
      <c r="C17" s="395">
        <v>2947756</v>
      </c>
      <c r="D17" s="373"/>
      <c r="E17" s="396">
        <v>2998300</v>
      </c>
      <c r="F17" s="374"/>
      <c r="G17" s="397">
        <v>3075095</v>
      </c>
      <c r="H17" s="88"/>
      <c r="I17" s="358">
        <v>3162798</v>
      </c>
      <c r="J17" s="374"/>
      <c r="K17" s="358">
        <v>3238686</v>
      </c>
      <c r="L17" s="374"/>
      <c r="M17" s="356">
        <v>3386164</v>
      </c>
      <c r="N17" s="26"/>
      <c r="O17" s="661">
        <v>3331875</v>
      </c>
      <c r="P17" s="26"/>
      <c r="Q17" s="661">
        <v>3340716</v>
      </c>
      <c r="R17" s="26"/>
      <c r="S17" s="661">
        <v>3441514</v>
      </c>
      <c r="T17" s="26"/>
      <c r="U17" s="661">
        <v>3558255</v>
      </c>
      <c r="V17" s="26"/>
      <c r="W17" s="661">
        <v>3570470</v>
      </c>
      <c r="X17" s="26"/>
      <c r="Y17" s="661">
        <v>3812402</v>
      </c>
      <c r="Z17" s="26"/>
      <c r="AA17" s="661">
        <v>3702161</v>
      </c>
      <c r="AB17" s="26"/>
      <c r="AC17" s="662">
        <v>3290439</v>
      </c>
      <c r="AD17" s="634"/>
      <c r="AE17" s="605"/>
      <c r="AF17" s="523">
        <f t="shared" si="0"/>
        <v>3586745.4</v>
      </c>
      <c r="AG17" s="438">
        <f t="shared" si="1"/>
        <v>-7.7819238858246695E-2</v>
      </c>
    </row>
    <row r="18" spans="1:35" ht="15" customHeight="1" x14ac:dyDescent="0.2">
      <c r="A18" s="182" t="s">
        <v>30</v>
      </c>
      <c r="B18" s="43"/>
      <c r="C18" s="395"/>
      <c r="D18" s="373"/>
      <c r="E18" s="396"/>
      <c r="F18" s="374"/>
      <c r="G18" s="397"/>
      <c r="H18" s="88"/>
      <c r="I18" s="292"/>
      <c r="J18" s="170"/>
      <c r="K18" s="292"/>
      <c r="L18" s="170"/>
      <c r="M18" s="176"/>
      <c r="N18" s="94"/>
      <c r="O18" s="663"/>
      <c r="P18" s="94"/>
      <c r="Q18" s="663"/>
      <c r="R18" s="94"/>
      <c r="S18" s="663"/>
      <c r="T18" s="94"/>
      <c r="U18" s="663"/>
      <c r="V18" s="94"/>
      <c r="W18" s="663"/>
      <c r="X18" s="94"/>
      <c r="Y18" s="663"/>
      <c r="Z18" s="94"/>
      <c r="AA18" s="663"/>
      <c r="AB18" s="94"/>
      <c r="AC18" s="664"/>
      <c r="AD18" s="634"/>
      <c r="AE18" s="609"/>
      <c r="AF18" s="523"/>
      <c r="AG18" s="438"/>
    </row>
    <row r="19" spans="1:35" ht="30" customHeight="1" thickBot="1" x14ac:dyDescent="0.25">
      <c r="A19" s="266" t="s">
        <v>32</v>
      </c>
      <c r="B19" s="255"/>
      <c r="C19" s="381">
        <v>287229</v>
      </c>
      <c r="D19" s="325"/>
      <c r="E19" s="382">
        <v>294041</v>
      </c>
      <c r="F19" s="383"/>
      <c r="G19" s="384">
        <v>322559</v>
      </c>
      <c r="H19" s="164"/>
      <c r="I19" s="385">
        <v>391114</v>
      </c>
      <c r="J19" s="383"/>
      <c r="K19" s="385">
        <v>459202</v>
      </c>
      <c r="L19" s="383"/>
      <c r="M19" s="384">
        <v>251987</v>
      </c>
      <c r="N19" s="258"/>
      <c r="O19" s="264">
        <v>243947</v>
      </c>
      <c r="P19" s="258"/>
      <c r="Q19" s="264">
        <v>245367</v>
      </c>
      <c r="R19" s="258"/>
      <c r="S19" s="264">
        <v>230094</v>
      </c>
      <c r="T19" s="258"/>
      <c r="U19" s="264">
        <v>240729</v>
      </c>
      <c r="V19" s="258"/>
      <c r="W19" s="264">
        <v>187446</v>
      </c>
      <c r="X19" s="258"/>
      <c r="Y19" s="264">
        <v>816444</v>
      </c>
      <c r="Z19" s="258"/>
      <c r="AA19" s="264">
        <v>876804</v>
      </c>
      <c r="AB19" s="258"/>
      <c r="AC19" s="265">
        <v>1517450</v>
      </c>
      <c r="AD19" s="634"/>
      <c r="AE19" s="606"/>
      <c r="AF19" s="523">
        <f t="shared" si="0"/>
        <v>727774.6</v>
      </c>
      <c r="AG19" s="439">
        <f t="shared" si="1"/>
        <v>5.5486931428025068</v>
      </c>
    </row>
    <row r="20" spans="1:35" ht="18.75" customHeight="1" thickBot="1" x14ac:dyDescent="0.25">
      <c r="A20" s="275" t="s">
        <v>14</v>
      </c>
      <c r="B20" s="276"/>
      <c r="C20" s="387">
        <f>SUM(C17:C19)</f>
        <v>3234985</v>
      </c>
      <c r="D20" s="388"/>
      <c r="E20" s="389">
        <f>SUM(E17:E19)</f>
        <v>3292341</v>
      </c>
      <c r="F20" s="390"/>
      <c r="G20" s="391">
        <f>SUM(G17:G19)</f>
        <v>3397654</v>
      </c>
      <c r="H20" s="392"/>
      <c r="I20" s="394">
        <f>SUM(I17:I19)</f>
        <v>3553912</v>
      </c>
      <c r="J20" s="390"/>
      <c r="K20" s="391">
        <f>SUM(K17:K19)</f>
        <v>3697888</v>
      </c>
      <c r="L20" s="390"/>
      <c r="M20" s="391">
        <f>SUM(M17:M19)</f>
        <v>3638151</v>
      </c>
      <c r="N20" s="271"/>
      <c r="O20" s="270">
        <f>SUM(O17:O19)</f>
        <v>3575822</v>
      </c>
      <c r="P20" s="271"/>
      <c r="Q20" s="270">
        <f>SUM(Q17:Q19)</f>
        <v>3586083</v>
      </c>
      <c r="R20" s="271"/>
      <c r="S20" s="270">
        <f>SUM(S17:S19)</f>
        <v>3671608</v>
      </c>
      <c r="T20" s="271"/>
      <c r="U20" s="270">
        <f>SUM(U17:U19)</f>
        <v>3798984</v>
      </c>
      <c r="V20" s="271"/>
      <c r="W20" s="270">
        <f>SUM(W17:W19)</f>
        <v>3757916</v>
      </c>
      <c r="X20" s="271"/>
      <c r="Y20" s="270">
        <f>SUM(Y17:Y19)</f>
        <v>4628846</v>
      </c>
      <c r="Z20" s="271"/>
      <c r="AA20" s="270">
        <f>SUM(AA17:AA19)</f>
        <v>4578965</v>
      </c>
      <c r="AB20" s="271"/>
      <c r="AC20" s="272">
        <f>SUM(AC17:AC19)</f>
        <v>4807889</v>
      </c>
      <c r="AD20" s="634"/>
      <c r="AE20" s="660"/>
      <c r="AF20" s="608">
        <f t="shared" si="0"/>
        <v>4314520</v>
      </c>
      <c r="AG20" s="491">
        <f t="shared" si="1"/>
        <v>0.27478559802680458</v>
      </c>
    </row>
    <row r="21" spans="1:35" ht="18.75" customHeight="1" thickBot="1" x14ac:dyDescent="0.25">
      <c r="A21" s="447" t="s">
        <v>15</v>
      </c>
      <c r="B21" s="448"/>
      <c r="C21" s="452">
        <f>SUM(C15,C20)</f>
        <v>4394718</v>
      </c>
      <c r="D21" s="453"/>
      <c r="E21" s="454">
        <f>SUM(E15,E20)</f>
        <v>4524562</v>
      </c>
      <c r="F21" s="455"/>
      <c r="G21" s="456">
        <f>SUM(G15,G20)</f>
        <v>4683486</v>
      </c>
      <c r="H21" s="457"/>
      <c r="I21" s="458">
        <f>SUM(I15,I20)</f>
        <v>4887498</v>
      </c>
      <c r="J21" s="455"/>
      <c r="K21" s="458">
        <f>SUM(K15,K20)</f>
        <v>5032017</v>
      </c>
      <c r="L21" s="455"/>
      <c r="M21" s="456">
        <f>SUM(M15,M20)</f>
        <v>5018130</v>
      </c>
      <c r="N21" s="665"/>
      <c r="O21" s="666">
        <f>SUM(O15,O20)</f>
        <v>4959064</v>
      </c>
      <c r="P21" s="665"/>
      <c r="Q21" s="666">
        <f>SUM(Q15,Q20)</f>
        <v>4966274</v>
      </c>
      <c r="R21" s="665"/>
      <c r="S21" s="666">
        <f>SUM(S15,S20)</f>
        <v>5118158</v>
      </c>
      <c r="T21" s="665"/>
      <c r="U21" s="666">
        <f>SUM(U15,U20)</f>
        <v>5302176</v>
      </c>
      <c r="V21" s="665"/>
      <c r="W21" s="666">
        <f>SUM(W15,W20)</f>
        <v>5283689</v>
      </c>
      <c r="X21" s="665"/>
      <c r="Y21" s="666">
        <f>SUM(Y15,Y20)</f>
        <v>6332069</v>
      </c>
      <c r="Z21" s="665"/>
      <c r="AA21" s="666">
        <f>SUM(AA15,AA20)</f>
        <v>6347728</v>
      </c>
      <c r="AB21" s="665"/>
      <c r="AC21" s="667">
        <f>SUM(AC15,AC20)</f>
        <v>6615504</v>
      </c>
      <c r="AD21" s="634"/>
      <c r="AE21" s="668"/>
      <c r="AF21" s="669">
        <f t="shared" si="0"/>
        <v>5976233.2000000002</v>
      </c>
      <c r="AG21" s="492">
        <f t="shared" si="1"/>
        <v>0.25660169146790701</v>
      </c>
    </row>
    <row r="22" spans="1:35" ht="18" customHeight="1" x14ac:dyDescent="0.2">
      <c r="A22" s="355" t="s">
        <v>33</v>
      </c>
      <c r="B22" s="808"/>
      <c r="C22" s="809"/>
      <c r="D22" s="810"/>
      <c r="E22" s="810"/>
      <c r="F22" s="783"/>
      <c r="G22" s="784"/>
      <c r="H22" s="787"/>
      <c r="I22" s="787"/>
      <c r="J22" s="783"/>
      <c r="K22" s="787"/>
      <c r="L22" s="783"/>
      <c r="M22" s="784"/>
      <c r="N22" s="811"/>
      <c r="O22" s="812"/>
      <c r="P22" s="811"/>
      <c r="Q22" s="812"/>
      <c r="R22" s="811"/>
      <c r="S22" s="812"/>
      <c r="T22" s="811"/>
      <c r="U22" s="812"/>
      <c r="V22" s="811"/>
      <c r="W22" s="812"/>
      <c r="X22" s="811"/>
      <c r="Y22" s="812"/>
      <c r="Z22" s="811"/>
      <c r="AA22" s="812"/>
      <c r="AB22" s="811"/>
      <c r="AC22" s="820"/>
      <c r="AD22" s="634"/>
      <c r="AE22" s="817"/>
      <c r="AF22" s="818"/>
      <c r="AG22" s="449"/>
    </row>
    <row r="23" spans="1:35" ht="15" customHeight="1" x14ac:dyDescent="0.2">
      <c r="A23" s="182" t="s">
        <v>42</v>
      </c>
      <c r="B23" s="3"/>
      <c r="C23" s="53">
        <f>1169416+62483</f>
        <v>1231899</v>
      </c>
      <c r="D23" s="114"/>
      <c r="E23" s="130">
        <v>1201569</v>
      </c>
      <c r="F23" s="110"/>
      <c r="G23" s="111">
        <v>1381064</v>
      </c>
      <c r="H23" s="27"/>
      <c r="I23" s="90">
        <v>1304392.46</v>
      </c>
      <c r="J23" s="71"/>
      <c r="K23" s="89">
        <v>1381903</v>
      </c>
      <c r="L23" s="64"/>
      <c r="M23" s="209">
        <v>1376225</v>
      </c>
      <c r="N23" s="26"/>
      <c r="O23" s="58">
        <v>1435156</v>
      </c>
      <c r="P23" s="94"/>
      <c r="Q23" s="175">
        <v>1346233</v>
      </c>
      <c r="R23" s="94"/>
      <c r="S23" s="175">
        <v>1538112</v>
      </c>
      <c r="T23" s="94"/>
      <c r="U23" s="175">
        <v>1654260</v>
      </c>
      <c r="V23" s="94"/>
      <c r="W23" s="175">
        <v>1578627.75</v>
      </c>
      <c r="X23" s="94"/>
      <c r="Y23" s="632">
        <v>1665841</v>
      </c>
      <c r="Z23" s="94"/>
      <c r="AA23" s="632">
        <v>1621263</v>
      </c>
      <c r="AB23" s="94"/>
      <c r="AC23" s="633"/>
      <c r="AD23" s="634"/>
      <c r="AE23" s="605"/>
      <c r="AF23" s="523">
        <f>AVERAGE(U23,S23,AA23,W23,Y23)</f>
        <v>1611620.75</v>
      </c>
      <c r="AG23" s="483">
        <f>+(AA23-S23)/S23</f>
        <v>5.4060432530270874E-2</v>
      </c>
    </row>
    <row r="24" spans="1:35" ht="15" customHeight="1" x14ac:dyDescent="0.2">
      <c r="A24" s="182" t="s">
        <v>44</v>
      </c>
      <c r="B24" s="34"/>
      <c r="C24" s="47"/>
      <c r="D24" s="5"/>
      <c r="E24" s="130"/>
      <c r="F24" s="48"/>
      <c r="G24" s="324">
        <v>2573530.3899999997</v>
      </c>
      <c r="H24" s="5"/>
      <c r="I24" s="130">
        <v>2712955.7000000011</v>
      </c>
      <c r="J24" s="48"/>
      <c r="K24" s="324">
        <v>2989741.8199999984</v>
      </c>
      <c r="L24" s="48"/>
      <c r="M24" s="324">
        <v>2807629.2799999993</v>
      </c>
      <c r="N24" s="43"/>
      <c r="O24" s="670">
        <v>2914494.6600000043</v>
      </c>
      <c r="P24" s="43"/>
      <c r="Q24" s="670">
        <v>3133736.6399999997</v>
      </c>
      <c r="R24" s="43"/>
      <c r="S24" s="670">
        <v>3734715.91</v>
      </c>
      <c r="T24" s="43"/>
      <c r="U24" s="670">
        <v>3942058.5299999989</v>
      </c>
      <c r="V24" s="43"/>
      <c r="W24" s="670">
        <v>3739305.5299999993</v>
      </c>
      <c r="X24" s="26"/>
      <c r="Y24" s="671">
        <v>4111881</v>
      </c>
      <c r="Z24" s="26"/>
      <c r="AA24" s="671">
        <v>3847806</v>
      </c>
      <c r="AB24" s="26"/>
      <c r="AC24" s="672"/>
      <c r="AD24" s="673"/>
      <c r="AE24" s="605"/>
      <c r="AF24" s="523">
        <f t="shared" ref="AF24:AF25" si="2">AVERAGE(U24,S24,AA24,W24,Y24)</f>
        <v>3875153.3939999999</v>
      </c>
      <c r="AG24" s="438">
        <f t="shared" ref="AG24:AG25" si="3">+(AA24-S24)/S24</f>
        <v>3.0280774421741718E-2</v>
      </c>
    </row>
    <row r="25" spans="1:35" ht="15" customHeight="1" thickBot="1" x14ac:dyDescent="0.25">
      <c r="A25" s="190" t="s">
        <v>45</v>
      </c>
      <c r="B25" s="304"/>
      <c r="C25" s="326"/>
      <c r="D25" s="331"/>
      <c r="E25" s="337"/>
      <c r="F25" s="304"/>
      <c r="G25" s="338">
        <v>2180249.7600000016</v>
      </c>
      <c r="H25" s="304"/>
      <c r="I25" s="338">
        <v>2304282.5300000017</v>
      </c>
      <c r="J25" s="304"/>
      <c r="K25" s="338">
        <v>2402696.0999999996</v>
      </c>
      <c r="L25" s="304"/>
      <c r="M25" s="338">
        <v>2701063.1300000004</v>
      </c>
      <c r="N25" s="622"/>
      <c r="O25" s="674">
        <v>2695234.2100000014</v>
      </c>
      <c r="P25" s="622"/>
      <c r="Q25" s="674">
        <v>2657800.419999999</v>
      </c>
      <c r="R25" s="622"/>
      <c r="S25" s="674">
        <v>3294293.6300000045</v>
      </c>
      <c r="T25" s="622"/>
      <c r="U25" s="674">
        <v>3031268.9600000032</v>
      </c>
      <c r="V25" s="622"/>
      <c r="W25" s="674">
        <v>3038991.0999999978</v>
      </c>
      <c r="X25" s="623"/>
      <c r="Y25" s="675">
        <v>3305415</v>
      </c>
      <c r="Z25" s="623"/>
      <c r="AA25" s="675">
        <v>3585606</v>
      </c>
      <c r="AB25" s="623"/>
      <c r="AC25" s="676"/>
      <c r="AD25" s="673"/>
      <c r="AE25" s="614"/>
      <c r="AF25" s="523">
        <f t="shared" si="2"/>
        <v>3251114.938000001</v>
      </c>
      <c r="AG25" s="438">
        <f t="shared" si="3"/>
        <v>8.8429388123485234E-2</v>
      </c>
    </row>
    <row r="26" spans="1:35" ht="18" customHeight="1" thickTop="1" x14ac:dyDescent="0.2">
      <c r="A26" s="444" t="s">
        <v>53</v>
      </c>
      <c r="B26" s="485" t="s">
        <v>20</v>
      </c>
      <c r="C26" s="486" t="s">
        <v>21</v>
      </c>
      <c r="D26" s="487" t="s">
        <v>20</v>
      </c>
      <c r="E26" s="488" t="s">
        <v>21</v>
      </c>
      <c r="F26" s="474" t="s">
        <v>20</v>
      </c>
      <c r="G26" s="479" t="s">
        <v>21</v>
      </c>
      <c r="H26" s="472" t="s">
        <v>20</v>
      </c>
      <c r="I26" s="473" t="s">
        <v>21</v>
      </c>
      <c r="J26" s="474" t="s">
        <v>20</v>
      </c>
      <c r="K26" s="475" t="s">
        <v>21</v>
      </c>
      <c r="L26" s="476" t="s">
        <v>20</v>
      </c>
      <c r="M26" s="477" t="s">
        <v>21</v>
      </c>
      <c r="N26" s="677" t="s">
        <v>20</v>
      </c>
      <c r="O26" s="643" t="s">
        <v>21</v>
      </c>
      <c r="P26" s="642" t="s">
        <v>20</v>
      </c>
      <c r="Q26" s="678" t="s">
        <v>21</v>
      </c>
      <c r="R26" s="677" t="s">
        <v>20</v>
      </c>
      <c r="S26" s="643" t="s">
        <v>21</v>
      </c>
      <c r="T26" s="642" t="s">
        <v>20</v>
      </c>
      <c r="U26" s="678" t="s">
        <v>21</v>
      </c>
      <c r="V26" s="677" t="s">
        <v>20</v>
      </c>
      <c r="W26" s="643" t="s">
        <v>21</v>
      </c>
      <c r="X26" s="642" t="s">
        <v>20</v>
      </c>
      <c r="Y26" s="678" t="s">
        <v>21</v>
      </c>
      <c r="Z26" s="642" t="s">
        <v>20</v>
      </c>
      <c r="AA26" s="678" t="s">
        <v>21</v>
      </c>
      <c r="AB26" s="677" t="s">
        <v>20</v>
      </c>
      <c r="AC26" s="613" t="s">
        <v>21</v>
      </c>
      <c r="AD26" s="21"/>
      <c r="AE26" s="612" t="s">
        <v>20</v>
      </c>
      <c r="AF26" s="679" t="s">
        <v>21</v>
      </c>
      <c r="AG26" s="482" t="s">
        <v>54</v>
      </c>
      <c r="AI26" s="1" t="s">
        <v>4</v>
      </c>
    </row>
    <row r="27" spans="1:35" ht="15" customHeight="1" x14ac:dyDescent="0.2">
      <c r="A27" s="182" t="s">
        <v>56</v>
      </c>
      <c r="B27" s="153">
        <v>25</v>
      </c>
      <c r="C27" s="462">
        <v>2796663.06</v>
      </c>
      <c r="D27" s="169">
        <v>25</v>
      </c>
      <c r="E27" s="236">
        <v>2640893.63</v>
      </c>
      <c r="F27" s="155">
        <v>34</v>
      </c>
      <c r="G27" s="221">
        <v>2219985</v>
      </c>
      <c r="H27" s="222">
        <v>55</v>
      </c>
      <c r="I27" s="235">
        <v>4402021.3499999996</v>
      </c>
      <c r="J27" s="155">
        <v>37</v>
      </c>
      <c r="K27" s="174">
        <v>1351880</v>
      </c>
      <c r="L27" s="168">
        <v>53</v>
      </c>
      <c r="M27" s="101">
        <v>3934386</v>
      </c>
      <c r="N27" s="637">
        <v>48</v>
      </c>
      <c r="O27" s="646">
        <v>3840774</v>
      </c>
      <c r="P27" s="645">
        <v>44</v>
      </c>
      <c r="Q27" s="58">
        <v>4036617</v>
      </c>
      <c r="R27" s="680">
        <v>29</v>
      </c>
      <c r="S27" s="646">
        <v>1801775</v>
      </c>
      <c r="T27" s="645">
        <v>29</v>
      </c>
      <c r="U27" s="58">
        <v>4525803</v>
      </c>
      <c r="V27" s="680">
        <v>58</v>
      </c>
      <c r="W27" s="646">
        <v>5575531</v>
      </c>
      <c r="X27" s="645">
        <v>57</v>
      </c>
      <c r="Y27" s="58">
        <v>2983077</v>
      </c>
      <c r="Z27" s="645">
        <v>69</v>
      </c>
      <c r="AA27" s="58">
        <v>3310285</v>
      </c>
      <c r="AB27" s="681"/>
      <c r="AC27" s="648"/>
      <c r="AD27" s="634"/>
      <c r="AE27" s="469">
        <f>AVERAGE(T27,R27,Z27,X27,V27)</f>
        <v>48.4</v>
      </c>
      <c r="AF27" s="523">
        <f>AVERAGE(U27,S27,Y27,W27,AA27)</f>
        <v>3639294.2</v>
      </c>
      <c r="AG27" s="483">
        <f t="shared" ref="AG27:AG28" si="4">+(AA27-S27)/S27</f>
        <v>0.83723550387812018</v>
      </c>
    </row>
    <row r="28" spans="1:35" ht="15" customHeight="1" thickBot="1" x14ac:dyDescent="0.25">
      <c r="A28" s="190" t="s">
        <v>57</v>
      </c>
      <c r="B28" s="237">
        <v>17</v>
      </c>
      <c r="C28" s="424">
        <v>1439771</v>
      </c>
      <c r="D28" s="463">
        <v>14</v>
      </c>
      <c r="E28" s="226">
        <v>1773946.78</v>
      </c>
      <c r="F28" s="239">
        <v>25</v>
      </c>
      <c r="G28" s="350">
        <v>2028126</v>
      </c>
      <c r="H28" s="464">
        <v>33</v>
      </c>
      <c r="I28" s="242">
        <v>2292428</v>
      </c>
      <c r="J28" s="243">
        <v>26</v>
      </c>
      <c r="K28" s="465">
        <v>2529003</v>
      </c>
      <c r="L28" s="466">
        <v>21</v>
      </c>
      <c r="M28" s="227">
        <v>1350847</v>
      </c>
      <c r="N28" s="682">
        <v>24</v>
      </c>
      <c r="O28" s="626">
        <v>2408959</v>
      </c>
      <c r="P28" s="650">
        <v>23</v>
      </c>
      <c r="Q28" s="639">
        <v>2179162</v>
      </c>
      <c r="R28" s="683">
        <v>24</v>
      </c>
      <c r="S28" s="626">
        <v>3275769</v>
      </c>
      <c r="T28" s="650">
        <v>17</v>
      </c>
      <c r="U28" s="684">
        <v>1879073</v>
      </c>
      <c r="V28" s="683">
        <v>21</v>
      </c>
      <c r="W28" s="626">
        <v>2701748</v>
      </c>
      <c r="X28" s="650">
        <v>29</v>
      </c>
      <c r="Y28" s="684">
        <v>4499667</v>
      </c>
      <c r="Z28" s="650">
        <v>40</v>
      </c>
      <c r="AA28" s="684">
        <v>4987123</v>
      </c>
      <c r="AB28" s="685"/>
      <c r="AC28" s="652"/>
      <c r="AD28" s="634"/>
      <c r="AE28" s="471">
        <f>AVERAGE(T28,R28,Z28,X28,V28)</f>
        <v>26.2</v>
      </c>
      <c r="AF28" s="523">
        <f>AVERAGE(U28,S28,Y28,W28,AA28)</f>
        <v>3468676</v>
      </c>
      <c r="AG28" s="483">
        <f t="shared" si="4"/>
        <v>0.52242816877502651</v>
      </c>
    </row>
    <row r="29" spans="1:35" ht="18" customHeight="1" thickTop="1" x14ac:dyDescent="0.2">
      <c r="A29" s="112" t="s">
        <v>17</v>
      </c>
      <c r="B29" s="814"/>
      <c r="C29" s="815"/>
      <c r="D29" s="816"/>
      <c r="E29" s="816"/>
      <c r="F29" s="813"/>
      <c r="G29" s="799"/>
      <c r="H29" s="798"/>
      <c r="I29" s="798"/>
      <c r="J29" s="813"/>
      <c r="K29" s="798"/>
      <c r="L29" s="813"/>
      <c r="M29" s="799"/>
      <c r="N29" s="785"/>
      <c r="O29" s="786"/>
      <c r="P29" s="785"/>
      <c r="Q29" s="786"/>
      <c r="R29" s="785"/>
      <c r="S29" s="786"/>
      <c r="T29" s="785"/>
      <c r="U29" s="786"/>
      <c r="V29" s="785"/>
      <c r="W29" s="786"/>
      <c r="X29" s="785"/>
      <c r="Y29" s="786"/>
      <c r="Z29" s="785"/>
      <c r="AA29" s="786"/>
      <c r="AB29" s="785"/>
      <c r="AC29" s="789"/>
      <c r="AD29" s="686"/>
      <c r="AE29" s="781"/>
      <c r="AF29" s="819"/>
      <c r="AG29" s="441"/>
      <c r="AI29" s="1" t="s">
        <v>4</v>
      </c>
    </row>
    <row r="30" spans="1:35" ht="15" customHeight="1" x14ac:dyDescent="0.2">
      <c r="A30" s="189" t="s">
        <v>18</v>
      </c>
      <c r="B30" s="35"/>
      <c r="C30" s="41">
        <v>118454.33</v>
      </c>
      <c r="D30" s="9"/>
      <c r="E30" s="74">
        <v>228382.49</v>
      </c>
      <c r="F30" s="72"/>
      <c r="G30" s="115">
        <v>306340.03999999998</v>
      </c>
      <c r="H30" s="123"/>
      <c r="I30" s="121">
        <v>577817.67000000004</v>
      </c>
      <c r="J30" s="72"/>
      <c r="K30" s="121">
        <v>368982.32</v>
      </c>
      <c r="L30" s="72"/>
      <c r="M30" s="179">
        <v>337319</v>
      </c>
      <c r="N30" s="94"/>
      <c r="O30" s="629">
        <v>205216</v>
      </c>
      <c r="P30" s="94"/>
      <c r="Q30" s="629">
        <v>189776</v>
      </c>
      <c r="R30" s="94"/>
      <c r="S30" s="629">
        <v>243418.68</v>
      </c>
      <c r="T30" s="94"/>
      <c r="U30" s="629">
        <v>559353.02</v>
      </c>
      <c r="V30" s="94"/>
      <c r="W30" s="629">
        <v>874538.15</v>
      </c>
      <c r="X30" s="94"/>
      <c r="Y30" s="629">
        <v>866365.07</v>
      </c>
      <c r="Z30" s="94"/>
      <c r="AA30" s="629">
        <v>808171.03</v>
      </c>
      <c r="AB30" s="94"/>
      <c r="AC30" s="687"/>
      <c r="AD30" s="634"/>
      <c r="AE30" s="603"/>
      <c r="AF30" s="629">
        <f t="shared" ref="AF30:AF31" si="5">AVERAGE(U30,S30,Y30,W30,AA30)</f>
        <v>670369.19000000006</v>
      </c>
      <c r="AG30" s="483">
        <f t="shared" ref="AG30" si="6">+(AA30-S30)/S30</f>
        <v>2.3200863220521946</v>
      </c>
    </row>
    <row r="31" spans="1:35" ht="15" customHeight="1" thickBot="1" x14ac:dyDescent="0.25">
      <c r="A31" s="190" t="s">
        <v>19</v>
      </c>
      <c r="B31" s="37"/>
      <c r="C31" s="42">
        <v>0</v>
      </c>
      <c r="D31" s="6"/>
      <c r="E31" s="79">
        <v>0</v>
      </c>
      <c r="F31" s="73"/>
      <c r="G31" s="100">
        <v>0</v>
      </c>
      <c r="H31" s="96"/>
      <c r="I31" s="100">
        <v>0</v>
      </c>
      <c r="J31" s="73"/>
      <c r="K31" s="100">
        <v>0</v>
      </c>
      <c r="L31" s="73"/>
      <c r="M31" s="102">
        <v>0</v>
      </c>
      <c r="N31" s="631"/>
      <c r="O31" s="630">
        <v>0</v>
      </c>
      <c r="P31" s="631"/>
      <c r="Q31" s="630">
        <v>0</v>
      </c>
      <c r="R31" s="631"/>
      <c r="S31" s="630">
        <v>0</v>
      </c>
      <c r="T31" s="631"/>
      <c r="U31" s="630">
        <v>0</v>
      </c>
      <c r="V31" s="631"/>
      <c r="W31" s="630">
        <v>71715.73</v>
      </c>
      <c r="X31" s="631"/>
      <c r="Y31" s="630">
        <v>118597.82</v>
      </c>
      <c r="Z31" s="631"/>
      <c r="AA31" s="630">
        <v>200098</v>
      </c>
      <c r="AB31" s="631"/>
      <c r="AC31" s="659"/>
      <c r="AD31" s="673"/>
      <c r="AE31" s="614"/>
      <c r="AF31" s="630">
        <f t="shared" si="5"/>
        <v>78082.31</v>
      </c>
      <c r="AG31" s="484">
        <v>1</v>
      </c>
    </row>
    <row r="32" spans="1:35" s="10" customFormat="1" ht="15" customHeight="1" thickTop="1" x14ac:dyDescent="0.2">
      <c r="A32" s="13"/>
      <c r="B32" s="11"/>
      <c r="C32" s="259"/>
      <c r="D32" s="11"/>
      <c r="E32" s="260"/>
      <c r="F32" s="67"/>
      <c r="G32" s="259"/>
      <c r="H32" s="67"/>
      <c r="I32" s="261"/>
      <c r="J32" s="67"/>
      <c r="K32" s="223"/>
      <c r="L32" s="67"/>
      <c r="M32" s="136"/>
      <c r="N32" s="67"/>
      <c r="O32" s="224"/>
      <c r="P32" s="262"/>
      <c r="Q32" s="224"/>
      <c r="R32" s="262"/>
      <c r="S32" s="224"/>
      <c r="T32" s="262"/>
      <c r="U32" s="224"/>
      <c r="V32" s="262"/>
      <c r="W32" s="263"/>
      <c r="X32" s="262"/>
      <c r="Y32" s="263"/>
      <c r="Z32" s="262"/>
      <c r="AA32" s="263"/>
      <c r="AB32" s="280"/>
      <c r="AC32" s="263"/>
      <c r="AF32" s="254"/>
      <c r="AG32" s="1"/>
    </row>
    <row r="33" spans="1:29" ht="33.75" x14ac:dyDescent="0.2">
      <c r="A33" s="596" t="s">
        <v>47</v>
      </c>
      <c r="AC33" s="1" t="s">
        <v>4</v>
      </c>
    </row>
  </sheetData>
  <mergeCells count="45">
    <mergeCell ref="AE22:AF22"/>
    <mergeCell ref="AE29:AF29"/>
    <mergeCell ref="V22:W22"/>
    <mergeCell ref="X22:Y22"/>
    <mergeCell ref="Z22:AA22"/>
    <mergeCell ref="V29:W29"/>
    <mergeCell ref="X29:Y29"/>
    <mergeCell ref="Z29:AA29"/>
    <mergeCell ref="AB22:AC22"/>
    <mergeCell ref="AB29:AC29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  <mergeCell ref="AE9:AF9"/>
    <mergeCell ref="N9:O9"/>
    <mergeCell ref="R9:S9"/>
    <mergeCell ref="T9:U9"/>
    <mergeCell ref="Z9:AA9"/>
    <mergeCell ref="V9:W9"/>
    <mergeCell ref="X9:Y9"/>
    <mergeCell ref="P9:Q9"/>
    <mergeCell ref="AB9:AC9"/>
    <mergeCell ref="L9:M9"/>
    <mergeCell ref="B9:C9"/>
    <mergeCell ref="F9:G9"/>
    <mergeCell ref="H9:I9"/>
    <mergeCell ref="J9:K9"/>
    <mergeCell ref="D9:E9"/>
  </mergeCells>
  <phoneticPr fontId="0" type="noConversion"/>
  <printOptions horizontalCentered="1" verticalCentered="1"/>
  <pageMargins left="0.5" right="0.5" top="0.5" bottom="0.5" header="0.5" footer="0.25"/>
  <pageSetup scale="83" orientation="landscape" horizontalDpi="4294967292" verticalDpi="4294967292" r:id="rId1"/>
  <headerFooter alignWithMargins="0">
    <oddFooter>&amp;L&amp;9Prepared by Planning and Analysis&amp;C&amp;9&amp;P of &amp;N&amp;R&amp;9Updated &amp;D</oddFooter>
  </headerFooter>
  <colBreaks count="1" manualBreakCount="1"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Normal="100" zoomScaleSheetLayoutView="70" workbookViewId="0">
      <pane xSplit="1" ySplit="6" topLeftCell="N19" activePane="bottomRight" state="frozen"/>
      <selection activeCell="N10" sqref="N10:AG31"/>
      <selection pane="topRight" activeCell="N10" sqref="N10:AG31"/>
      <selection pane="bottomLeft" activeCell="N10" sqref="N10:AG31"/>
      <selection pane="bottomRight" activeCell="N10" sqref="N10:AG31"/>
    </sheetView>
  </sheetViews>
  <sheetFormatPr defaultColWidth="10.28515625" defaultRowHeight="12.75" x14ac:dyDescent="0.2"/>
  <cols>
    <col min="1" max="1" width="31.7109375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style="62" hidden="1" customWidth="1"/>
    <col min="7" max="7" width="10.7109375" style="62" hidden="1" customWidth="1"/>
    <col min="8" max="8" width="4.7109375" style="62" hidden="1" customWidth="1"/>
    <col min="9" max="9" width="10.7109375" style="62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61" hidden="1" customWidth="1"/>
    <col min="14" max="14" width="4.7109375" style="1" customWidth="1"/>
    <col min="15" max="15" width="10.7109375" style="61" customWidth="1"/>
    <col min="16" max="16" width="4.7109375" style="1" customWidth="1"/>
    <col min="17" max="17" width="10.7109375" style="61" customWidth="1"/>
    <col min="18" max="18" width="4.7109375" style="1" customWidth="1"/>
    <col min="19" max="19" width="10.7109375" style="61" customWidth="1"/>
    <col min="20" max="20" width="4.7109375" style="1" customWidth="1"/>
    <col min="21" max="21" width="10.7109375" style="61" customWidth="1"/>
    <col min="22" max="22" width="4.7109375" style="1" customWidth="1"/>
    <col min="23" max="23" width="10.7109375" style="61" customWidth="1"/>
    <col min="24" max="24" width="4.7109375" style="1" customWidth="1"/>
    <col min="25" max="25" width="10.7109375" style="61" customWidth="1"/>
    <col min="26" max="26" width="4.7109375" style="1" customWidth="1"/>
    <col min="27" max="27" width="10.7109375" style="61" customWidth="1"/>
    <col min="28" max="28" width="4.7109375" style="1" customWidth="1"/>
    <col min="29" max="29" width="10.7109375" style="61" customWidth="1"/>
    <col min="30" max="30" width="2.5703125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5" ht="15.75" x14ac:dyDescent="0.25">
      <c r="A1" s="419" t="s">
        <v>48</v>
      </c>
      <c r="M1" s="1"/>
      <c r="O1" s="1"/>
      <c r="Q1" s="1"/>
      <c r="S1" s="1"/>
      <c r="U1" s="1"/>
      <c r="W1" s="1"/>
      <c r="Y1" s="1"/>
      <c r="AA1" s="1"/>
      <c r="AC1" s="1"/>
    </row>
    <row r="2" spans="1:35" ht="15.75" x14ac:dyDescent="0.25">
      <c r="A2" s="419" t="s">
        <v>49</v>
      </c>
      <c r="M2" s="1"/>
      <c r="O2" s="1"/>
      <c r="Q2" s="1"/>
      <c r="S2" s="1"/>
      <c r="U2" s="1"/>
      <c r="W2" s="1"/>
      <c r="Y2" s="1"/>
      <c r="AA2" s="1"/>
      <c r="AC2" s="1"/>
    </row>
    <row r="3" spans="1:35" ht="5.25" customHeight="1" x14ac:dyDescent="0.25">
      <c r="A3" s="419"/>
      <c r="M3" s="1"/>
      <c r="O3" s="1"/>
      <c r="Q3" s="1"/>
      <c r="S3" s="1"/>
      <c r="U3" s="1"/>
      <c r="W3" s="1"/>
      <c r="Y3" s="1"/>
      <c r="AA3" s="1"/>
      <c r="AC3" s="1"/>
    </row>
    <row r="4" spans="1:35" ht="15.75" x14ac:dyDescent="0.25">
      <c r="A4" s="420" t="s">
        <v>41</v>
      </c>
      <c r="M4" s="1"/>
      <c r="O4" s="1"/>
      <c r="Q4" s="1"/>
      <c r="S4" s="1"/>
      <c r="U4" s="1"/>
      <c r="W4" s="1"/>
      <c r="Y4" s="1"/>
      <c r="AA4" s="1"/>
      <c r="AC4" s="1"/>
    </row>
    <row r="5" spans="1:35" ht="6" customHeight="1" x14ac:dyDescent="0.25">
      <c r="A5" s="420"/>
      <c r="M5" s="1"/>
      <c r="O5" s="1"/>
      <c r="Q5" s="1"/>
      <c r="S5" s="1"/>
      <c r="U5" s="1"/>
      <c r="W5" s="1"/>
      <c r="Y5" s="1"/>
      <c r="AA5" s="1"/>
      <c r="AC5" s="1"/>
    </row>
    <row r="6" spans="1:35" s="10" customFormat="1" x14ac:dyDescent="0.2">
      <c r="A6" s="2" t="s">
        <v>0</v>
      </c>
      <c r="I6" s="21"/>
      <c r="AG6" s="1"/>
      <c r="AH6" s="1"/>
    </row>
    <row r="7" spans="1:35" x14ac:dyDescent="0.2">
      <c r="A7" s="579">
        <v>367001040</v>
      </c>
      <c r="B7" s="10"/>
      <c r="C7" s="10"/>
      <c r="D7" s="10"/>
      <c r="E7" s="10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I7" s="10"/>
    </row>
    <row r="8" spans="1:35" ht="12.75" customHeight="1" thickBot="1" x14ac:dyDescent="0.25">
      <c r="A8" s="16"/>
      <c r="B8" s="10"/>
      <c r="C8" s="10"/>
      <c r="D8" s="10"/>
      <c r="E8" s="10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E8" s="10"/>
      <c r="AF8" s="10"/>
      <c r="AI8" s="10"/>
    </row>
    <row r="9" spans="1:35" ht="30" customHeight="1" thickTop="1" thickBot="1" x14ac:dyDescent="0.25">
      <c r="A9" s="198"/>
      <c r="B9" s="796" t="s">
        <v>7</v>
      </c>
      <c r="C9" s="797"/>
      <c r="D9" s="803" t="s">
        <v>8</v>
      </c>
      <c r="E9" s="796"/>
      <c r="F9" s="794" t="s">
        <v>22</v>
      </c>
      <c r="G9" s="793"/>
      <c r="H9" s="792" t="s">
        <v>24</v>
      </c>
      <c r="I9" s="792"/>
      <c r="J9" s="794" t="s">
        <v>25</v>
      </c>
      <c r="K9" s="792"/>
      <c r="L9" s="794" t="s">
        <v>26</v>
      </c>
      <c r="M9" s="793"/>
      <c r="N9" s="794" t="s">
        <v>28</v>
      </c>
      <c r="O9" s="828"/>
      <c r="P9" s="794" t="s">
        <v>29</v>
      </c>
      <c r="Q9" s="793"/>
      <c r="R9" s="792" t="s">
        <v>34</v>
      </c>
      <c r="S9" s="793"/>
      <c r="T9" s="792" t="s">
        <v>35</v>
      </c>
      <c r="U9" s="793"/>
      <c r="V9" s="792" t="s">
        <v>36</v>
      </c>
      <c r="W9" s="793"/>
      <c r="X9" s="792" t="s">
        <v>37</v>
      </c>
      <c r="Y9" s="793"/>
      <c r="Z9" s="792" t="s">
        <v>38</v>
      </c>
      <c r="AA9" s="793"/>
      <c r="AB9" s="792" t="s">
        <v>60</v>
      </c>
      <c r="AC9" s="795"/>
      <c r="AE9" s="790" t="s">
        <v>27</v>
      </c>
      <c r="AF9" s="832"/>
      <c r="AG9" s="435" t="s">
        <v>43</v>
      </c>
    </row>
    <row r="10" spans="1:35" ht="18" customHeight="1" x14ac:dyDescent="0.2">
      <c r="A10" s="494" t="s">
        <v>9</v>
      </c>
      <c r="B10" s="526"/>
      <c r="C10" s="526"/>
      <c r="D10" s="527"/>
      <c r="E10" s="526"/>
      <c r="F10" s="528"/>
      <c r="G10" s="529"/>
      <c r="H10" s="530"/>
      <c r="I10" s="530"/>
      <c r="J10" s="528"/>
      <c r="K10" s="530"/>
      <c r="L10" s="528"/>
      <c r="M10" s="529"/>
      <c r="N10" s="530"/>
      <c r="O10" s="597"/>
      <c r="P10" s="530"/>
      <c r="Q10" s="529"/>
      <c r="R10" s="530"/>
      <c r="S10" s="529"/>
      <c r="T10" s="530"/>
      <c r="U10" s="529"/>
      <c r="V10" s="530"/>
      <c r="W10" s="529"/>
      <c r="X10" s="530"/>
      <c r="Y10" s="529"/>
      <c r="Z10" s="586"/>
      <c r="AA10" s="587"/>
      <c r="AB10" s="581"/>
      <c r="AC10" s="582"/>
      <c r="AE10" s="531"/>
      <c r="AF10" s="532"/>
      <c r="AG10" s="436"/>
    </row>
    <row r="11" spans="1:35" ht="15" customHeight="1" x14ac:dyDescent="0.2">
      <c r="A11" s="199" t="s">
        <v>10</v>
      </c>
      <c r="B11" s="44"/>
      <c r="C11" s="44"/>
      <c r="D11" s="51"/>
      <c r="E11" s="44"/>
      <c r="F11" s="75"/>
      <c r="G11" s="175"/>
      <c r="H11" s="94"/>
      <c r="I11" s="94"/>
      <c r="J11" s="75"/>
      <c r="K11" s="94"/>
      <c r="L11" s="75"/>
      <c r="M11" s="175"/>
      <c r="N11" s="94"/>
      <c r="O11" s="175"/>
      <c r="P11" s="94"/>
      <c r="Q11" s="175"/>
      <c r="R11" s="94"/>
      <c r="S11" s="175"/>
      <c r="T11" s="94"/>
      <c r="U11" s="175"/>
      <c r="V11" s="94"/>
      <c r="W11" s="175"/>
      <c r="X11" s="94"/>
      <c r="Y11" s="175"/>
      <c r="Z11" s="94"/>
      <c r="AA11" s="175"/>
      <c r="AB11" s="94"/>
      <c r="AC11" s="140"/>
      <c r="AE11" s="85"/>
      <c r="AF11" s="440"/>
      <c r="AG11" s="437"/>
    </row>
    <row r="12" spans="1:35" ht="15" customHeight="1" x14ac:dyDescent="0.2">
      <c r="A12" s="182" t="s">
        <v>11</v>
      </c>
      <c r="B12" s="44"/>
      <c r="C12" s="56">
        <v>810136</v>
      </c>
      <c r="D12" s="51"/>
      <c r="E12" s="56">
        <v>843642</v>
      </c>
      <c r="F12" s="75"/>
      <c r="G12" s="98">
        <v>846168</v>
      </c>
      <c r="H12" s="94"/>
      <c r="I12" s="106">
        <v>959967</v>
      </c>
      <c r="J12" s="75"/>
      <c r="K12" s="106">
        <v>983220</v>
      </c>
      <c r="L12" s="75"/>
      <c r="M12" s="98">
        <v>1056894</v>
      </c>
      <c r="N12" s="94"/>
      <c r="O12" s="98">
        <v>1067039</v>
      </c>
      <c r="P12" s="94"/>
      <c r="Q12" s="98">
        <v>1332091</v>
      </c>
      <c r="R12" s="94"/>
      <c r="S12" s="98">
        <v>1130918</v>
      </c>
      <c r="T12" s="94"/>
      <c r="U12" s="98">
        <v>1152814</v>
      </c>
      <c r="V12" s="94"/>
      <c r="W12" s="98">
        <v>5212183</v>
      </c>
      <c r="X12" s="94"/>
      <c r="Y12" s="98">
        <v>5401483</v>
      </c>
      <c r="Z12" s="94"/>
      <c r="AA12" s="98">
        <v>5411180</v>
      </c>
      <c r="AB12" s="94"/>
      <c r="AC12" s="217">
        <v>5355201</v>
      </c>
      <c r="AD12" s="144"/>
      <c r="AE12" s="152"/>
      <c r="AF12" s="150">
        <f>AVERAGE(W12,U12,AC12,AA12,Y12)</f>
        <v>4506572.2</v>
      </c>
      <c r="AG12" s="438">
        <f>+(AC12-U12)/S12</f>
        <v>3.7159077846492847</v>
      </c>
    </row>
    <row r="13" spans="1:35" ht="15" customHeight="1" x14ac:dyDescent="0.2">
      <c r="A13" s="182" t="s">
        <v>30</v>
      </c>
      <c r="B13" s="44"/>
      <c r="C13" s="56"/>
      <c r="D13" s="51"/>
      <c r="E13" s="56"/>
      <c r="F13" s="75"/>
      <c r="G13" s="98"/>
      <c r="H13" s="94"/>
      <c r="I13" s="106"/>
      <c r="J13" s="75"/>
      <c r="K13" s="106"/>
      <c r="L13" s="75"/>
      <c r="M13" s="98"/>
      <c r="N13" s="94"/>
      <c r="O13" s="98"/>
      <c r="P13" s="94"/>
      <c r="Q13" s="98"/>
      <c r="R13" s="94"/>
      <c r="S13" s="98"/>
      <c r="T13" s="94"/>
      <c r="U13" s="98"/>
      <c r="V13" s="94"/>
      <c r="W13" s="98"/>
      <c r="X13" s="94"/>
      <c r="Y13" s="98"/>
      <c r="Z13" s="94"/>
      <c r="AA13" s="98"/>
      <c r="AB13" s="94"/>
      <c r="AC13" s="217"/>
      <c r="AD13" s="144"/>
      <c r="AE13" s="191"/>
      <c r="AF13" s="150"/>
      <c r="AG13" s="437"/>
    </row>
    <row r="14" spans="1:35" ht="36.75" thickBot="1" x14ac:dyDescent="0.25">
      <c r="A14" s="266" t="s">
        <v>32</v>
      </c>
      <c r="B14" s="256"/>
      <c r="C14" s="267">
        <v>12000</v>
      </c>
      <c r="D14" s="255"/>
      <c r="E14" s="267">
        <v>12000</v>
      </c>
      <c r="F14" s="257"/>
      <c r="G14" s="264">
        <v>12000</v>
      </c>
      <c r="H14" s="258"/>
      <c r="I14" s="268">
        <v>12000</v>
      </c>
      <c r="J14" s="257"/>
      <c r="K14" s="268">
        <v>12000</v>
      </c>
      <c r="L14" s="257"/>
      <c r="M14" s="264">
        <v>12000</v>
      </c>
      <c r="N14" s="258"/>
      <c r="O14" s="264">
        <v>12000</v>
      </c>
      <c r="P14" s="258"/>
      <c r="Q14" s="264">
        <v>12000</v>
      </c>
      <c r="R14" s="258"/>
      <c r="S14" s="264">
        <v>12000</v>
      </c>
      <c r="T14" s="258"/>
      <c r="U14" s="264">
        <v>12000</v>
      </c>
      <c r="V14" s="258"/>
      <c r="W14" s="264">
        <v>62742</v>
      </c>
      <c r="X14" s="258"/>
      <c r="Y14" s="264">
        <v>12000</v>
      </c>
      <c r="Z14" s="258"/>
      <c r="AA14" s="264">
        <v>30731</v>
      </c>
      <c r="AB14" s="258"/>
      <c r="AC14" s="265">
        <v>67014</v>
      </c>
      <c r="AD14" s="144"/>
      <c r="AE14" s="191"/>
      <c r="AF14" s="150">
        <f t="shared" ref="AF14:AF21" si="0">AVERAGE(W14,U14,AC14,AA14,Y14)</f>
        <v>36897.4</v>
      </c>
      <c r="AG14" s="438">
        <f t="shared" ref="AG14:AG21" si="1">+(AC14-U14)/S14</f>
        <v>4.5845000000000002</v>
      </c>
    </row>
    <row r="15" spans="1:35" ht="18.75" customHeight="1" thickBot="1" x14ac:dyDescent="0.25">
      <c r="A15" s="275" t="s">
        <v>12</v>
      </c>
      <c r="B15" s="277"/>
      <c r="C15" s="278">
        <f>SUM(C12:C14)</f>
        <v>822136</v>
      </c>
      <c r="D15" s="276"/>
      <c r="E15" s="278">
        <f>SUM(E12:E14)</f>
        <v>855642</v>
      </c>
      <c r="F15" s="269"/>
      <c r="G15" s="270">
        <f>SUM(G12:G14)</f>
        <v>858168</v>
      </c>
      <c r="H15" s="271"/>
      <c r="I15" s="279">
        <f>SUM(I12:I14)</f>
        <v>971967</v>
      </c>
      <c r="J15" s="269"/>
      <c r="K15" s="279">
        <f>SUM(K12:K14)</f>
        <v>995220</v>
      </c>
      <c r="L15" s="269"/>
      <c r="M15" s="270">
        <f>SUM(M12:M14)</f>
        <v>1068894</v>
      </c>
      <c r="N15" s="271"/>
      <c r="O15" s="270">
        <f>SUM(O12:O14)</f>
        <v>1079039</v>
      </c>
      <c r="P15" s="271"/>
      <c r="Q15" s="270">
        <f>SUM(Q12:Q14)</f>
        <v>1344091</v>
      </c>
      <c r="R15" s="271"/>
      <c r="S15" s="270">
        <f>SUM(S12:S14)</f>
        <v>1142918</v>
      </c>
      <c r="T15" s="271"/>
      <c r="U15" s="270">
        <f>SUM(U12:U14)</f>
        <v>1164814</v>
      </c>
      <c r="V15" s="271"/>
      <c r="W15" s="270">
        <f>SUM(W12:W14)</f>
        <v>5274925</v>
      </c>
      <c r="X15" s="271"/>
      <c r="Y15" s="270">
        <f>SUM(Y12:Y14)</f>
        <v>5413483</v>
      </c>
      <c r="Z15" s="271"/>
      <c r="AA15" s="270">
        <f>SUM(AA12:AA14)</f>
        <v>5441911</v>
      </c>
      <c r="AB15" s="271"/>
      <c r="AC15" s="272">
        <f>SUM(AC12:AC14)</f>
        <v>5422215</v>
      </c>
      <c r="AD15" s="144"/>
      <c r="AE15" s="273"/>
      <c r="AF15" s="274">
        <f t="shared" si="0"/>
        <v>4543469.5999999996</v>
      </c>
      <c r="AG15" s="445">
        <f t="shared" si="1"/>
        <v>3.7250275172847047</v>
      </c>
    </row>
    <row r="16" spans="1:35" ht="15" customHeight="1" x14ac:dyDescent="0.2">
      <c r="A16" s="199" t="s">
        <v>13</v>
      </c>
      <c r="B16" s="44"/>
      <c r="C16" s="56"/>
      <c r="D16" s="51"/>
      <c r="E16" s="56"/>
      <c r="F16" s="75"/>
      <c r="G16" s="98"/>
      <c r="H16" s="94"/>
      <c r="I16" s="106"/>
      <c r="J16" s="75"/>
      <c r="K16" s="106"/>
      <c r="L16" s="75"/>
      <c r="M16" s="98"/>
      <c r="N16" s="94"/>
      <c r="O16" s="98"/>
      <c r="P16" s="94"/>
      <c r="Q16" s="98"/>
      <c r="R16" s="94"/>
      <c r="S16" s="98"/>
      <c r="T16" s="94"/>
      <c r="U16" s="98"/>
      <c r="V16" s="94"/>
      <c r="W16" s="98"/>
      <c r="X16" s="94"/>
      <c r="Y16" s="98"/>
      <c r="Z16" s="94"/>
      <c r="AA16" s="98"/>
      <c r="AB16" s="94"/>
      <c r="AC16" s="533"/>
      <c r="AD16" s="144"/>
      <c r="AE16" s="85"/>
      <c r="AF16" s="151"/>
      <c r="AG16" s="440"/>
    </row>
    <row r="17" spans="1:33" ht="15" customHeight="1" x14ac:dyDescent="0.2">
      <c r="A17" s="182" t="s">
        <v>11</v>
      </c>
      <c r="B17" s="4"/>
      <c r="C17" s="57">
        <v>4706761</v>
      </c>
      <c r="D17" s="43"/>
      <c r="E17" s="57">
        <v>4942935</v>
      </c>
      <c r="F17" s="80"/>
      <c r="G17" s="99">
        <v>4919903</v>
      </c>
      <c r="H17" s="26"/>
      <c r="I17" s="105">
        <v>5468159</v>
      </c>
      <c r="J17" s="80"/>
      <c r="K17" s="105">
        <v>5625505</v>
      </c>
      <c r="L17" s="80"/>
      <c r="M17" s="99">
        <v>5790104</v>
      </c>
      <c r="N17" s="26"/>
      <c r="O17" s="99">
        <v>5350681</v>
      </c>
      <c r="P17" s="26"/>
      <c r="Q17" s="99">
        <v>5226995</v>
      </c>
      <c r="R17" s="26"/>
      <c r="S17" s="99">
        <v>5491204</v>
      </c>
      <c r="T17" s="26"/>
      <c r="U17" s="99">
        <v>5860023</v>
      </c>
      <c r="V17" s="26"/>
      <c r="W17" s="99">
        <v>1867314</v>
      </c>
      <c r="X17" s="26"/>
      <c r="Y17" s="99">
        <v>1771041</v>
      </c>
      <c r="Z17" s="26"/>
      <c r="AA17" s="99">
        <v>1792926</v>
      </c>
      <c r="AB17" s="26"/>
      <c r="AC17" s="217">
        <v>1271714</v>
      </c>
      <c r="AD17" s="144"/>
      <c r="AE17" s="152"/>
      <c r="AF17" s="150">
        <f t="shared" si="0"/>
        <v>2512603.6</v>
      </c>
      <c r="AG17" s="438">
        <f t="shared" si="1"/>
        <v>-0.8355743112075239</v>
      </c>
    </row>
    <row r="18" spans="1:33" ht="15" customHeight="1" x14ac:dyDescent="0.2">
      <c r="A18" s="182" t="s">
        <v>30</v>
      </c>
      <c r="B18" s="4"/>
      <c r="C18" s="57"/>
      <c r="D18" s="43"/>
      <c r="E18" s="57"/>
      <c r="F18" s="80"/>
      <c r="G18" s="99"/>
      <c r="H18" s="26"/>
      <c r="I18" s="105">
        <v>12000</v>
      </c>
      <c r="J18" s="80"/>
      <c r="K18" s="105">
        <v>12000</v>
      </c>
      <c r="L18" s="80"/>
      <c r="M18" s="99">
        <v>12000</v>
      </c>
      <c r="N18" s="26"/>
      <c r="O18" s="99">
        <v>12000</v>
      </c>
      <c r="P18" s="26"/>
      <c r="Q18" s="99">
        <v>12000</v>
      </c>
      <c r="R18" s="26"/>
      <c r="S18" s="99">
        <v>12000</v>
      </c>
      <c r="T18" s="26"/>
      <c r="U18" s="99">
        <v>12000</v>
      </c>
      <c r="V18" s="26"/>
      <c r="W18" s="99">
        <v>12000</v>
      </c>
      <c r="X18" s="26"/>
      <c r="Y18" s="99">
        <v>12000</v>
      </c>
      <c r="Z18" s="26"/>
      <c r="AA18" s="99">
        <v>12000</v>
      </c>
      <c r="AB18" s="26"/>
      <c r="AC18" s="216">
        <v>12000</v>
      </c>
      <c r="AD18" s="144"/>
      <c r="AE18" s="152"/>
      <c r="AF18" s="150">
        <f t="shared" si="0"/>
        <v>12000</v>
      </c>
      <c r="AG18" s="438">
        <f t="shared" si="1"/>
        <v>0</v>
      </c>
    </row>
    <row r="19" spans="1:33" ht="36.75" thickBot="1" x14ac:dyDescent="0.25">
      <c r="A19" s="266" t="s">
        <v>32</v>
      </c>
      <c r="B19" s="256"/>
      <c r="C19" s="267">
        <v>3252835</v>
      </c>
      <c r="D19" s="255"/>
      <c r="E19" s="267">
        <v>4848697</v>
      </c>
      <c r="F19" s="257"/>
      <c r="G19" s="264">
        <v>4807792</v>
      </c>
      <c r="H19" s="258"/>
      <c r="I19" s="268">
        <v>2379447</v>
      </c>
      <c r="J19" s="257"/>
      <c r="K19" s="268">
        <v>2674058</v>
      </c>
      <c r="L19" s="257"/>
      <c r="M19" s="264">
        <v>1563460</v>
      </c>
      <c r="N19" s="258"/>
      <c r="O19" s="264">
        <v>1581342</v>
      </c>
      <c r="P19" s="258"/>
      <c r="Q19" s="264">
        <v>1644798</v>
      </c>
      <c r="R19" s="258"/>
      <c r="S19" s="264">
        <v>1620878</v>
      </c>
      <c r="T19" s="258"/>
      <c r="U19" s="264">
        <v>1620379</v>
      </c>
      <c r="V19" s="258"/>
      <c r="W19" s="264">
        <v>1786976</v>
      </c>
      <c r="X19" s="258"/>
      <c r="Y19" s="264">
        <v>1757561</v>
      </c>
      <c r="Z19" s="258"/>
      <c r="AA19" s="264">
        <v>1687617</v>
      </c>
      <c r="AB19" s="258"/>
      <c r="AC19" s="265">
        <v>2063747</v>
      </c>
      <c r="AD19" s="144"/>
      <c r="AE19" s="191"/>
      <c r="AF19" s="150">
        <f t="shared" si="0"/>
        <v>1783256</v>
      </c>
      <c r="AG19" s="438">
        <f t="shared" si="1"/>
        <v>0.27353570102129832</v>
      </c>
    </row>
    <row r="20" spans="1:33" ht="18.75" customHeight="1" thickBot="1" x14ac:dyDescent="0.25">
      <c r="A20" s="275" t="s">
        <v>14</v>
      </c>
      <c r="B20" s="277"/>
      <c r="C20" s="278">
        <f>SUM(C17:C19)</f>
        <v>7959596</v>
      </c>
      <c r="D20" s="276"/>
      <c r="E20" s="278">
        <f>SUM(E17:E19)</f>
        <v>9791632</v>
      </c>
      <c r="F20" s="269"/>
      <c r="G20" s="270">
        <f>SUM(G17:G19)</f>
        <v>9727695</v>
      </c>
      <c r="H20" s="271"/>
      <c r="I20" s="279">
        <f>SUM(I17:I19)</f>
        <v>7859606</v>
      </c>
      <c r="J20" s="269"/>
      <c r="K20" s="279">
        <f>SUM(K17:K19)</f>
        <v>8311563</v>
      </c>
      <c r="L20" s="269"/>
      <c r="M20" s="270">
        <f>SUM(M17:M19)</f>
        <v>7365564</v>
      </c>
      <c r="N20" s="271"/>
      <c r="O20" s="270">
        <f>SUM(O17:O19)</f>
        <v>6944023</v>
      </c>
      <c r="P20" s="271"/>
      <c r="Q20" s="270">
        <f>SUM(Q17:Q19)</f>
        <v>6883793</v>
      </c>
      <c r="R20" s="271"/>
      <c r="S20" s="270">
        <f>SUM(S17:S19)</f>
        <v>7124082</v>
      </c>
      <c r="T20" s="271"/>
      <c r="U20" s="270">
        <f>SUM(U17:U19)</f>
        <v>7492402</v>
      </c>
      <c r="V20" s="271"/>
      <c r="W20" s="270">
        <f>SUM(W17:W19)</f>
        <v>3666290</v>
      </c>
      <c r="X20" s="271"/>
      <c r="Y20" s="270">
        <f>SUM(Y17:Y19)</f>
        <v>3540602</v>
      </c>
      <c r="Z20" s="271"/>
      <c r="AA20" s="270">
        <f>SUM(AA17:AA19)</f>
        <v>3492543</v>
      </c>
      <c r="AB20" s="271"/>
      <c r="AC20" s="272">
        <f>SUM(AC17:AC19)</f>
        <v>3347461</v>
      </c>
      <c r="AD20" s="144"/>
      <c r="AE20" s="273"/>
      <c r="AF20" s="274">
        <f t="shared" si="0"/>
        <v>4307859.5999999996</v>
      </c>
      <c r="AG20" s="445">
        <f t="shared" si="1"/>
        <v>-0.58182106831448599</v>
      </c>
    </row>
    <row r="21" spans="1:33" ht="18.75" customHeight="1" thickBot="1" x14ac:dyDescent="0.25">
      <c r="A21" s="516" t="s">
        <v>15</v>
      </c>
      <c r="B21" s="536"/>
      <c r="C21" s="537">
        <f>SUM(C15,C20)</f>
        <v>8781732</v>
      </c>
      <c r="D21" s="538"/>
      <c r="E21" s="537">
        <f>SUM(E15,E20)</f>
        <v>10647274</v>
      </c>
      <c r="F21" s="539"/>
      <c r="G21" s="540">
        <f>SUM(G15,G20)</f>
        <v>10585863</v>
      </c>
      <c r="H21" s="541"/>
      <c r="I21" s="542">
        <f>SUM(I15,I20)</f>
        <v>8831573</v>
      </c>
      <c r="J21" s="539"/>
      <c r="K21" s="542">
        <f>SUM(K15,K20)</f>
        <v>9306783</v>
      </c>
      <c r="L21" s="539"/>
      <c r="M21" s="540">
        <f>SUM(M15,M20)</f>
        <v>8434458</v>
      </c>
      <c r="N21" s="541"/>
      <c r="O21" s="540">
        <f>SUM(O15,O20)</f>
        <v>8023062</v>
      </c>
      <c r="P21" s="541"/>
      <c r="Q21" s="540">
        <f>SUM(Q15,Q20)</f>
        <v>8227884</v>
      </c>
      <c r="R21" s="541"/>
      <c r="S21" s="540">
        <f>SUM(S15,S20)</f>
        <v>8267000</v>
      </c>
      <c r="T21" s="541"/>
      <c r="U21" s="540">
        <f>SUM(U15,U20)</f>
        <v>8657216</v>
      </c>
      <c r="V21" s="541"/>
      <c r="W21" s="540">
        <f>SUM(W15,W20)</f>
        <v>8941215</v>
      </c>
      <c r="X21" s="541"/>
      <c r="Y21" s="540">
        <f>SUM(Y15,Y20)</f>
        <v>8954085</v>
      </c>
      <c r="Z21" s="541"/>
      <c r="AA21" s="540">
        <f>SUM(AA15,AA20)</f>
        <v>8934454</v>
      </c>
      <c r="AB21" s="541"/>
      <c r="AC21" s="543">
        <f>SUM(AC15,AC20)</f>
        <v>8769676</v>
      </c>
      <c r="AD21" s="144"/>
      <c r="AE21" s="504"/>
      <c r="AF21" s="535">
        <f t="shared" si="0"/>
        <v>8851329.1999999993</v>
      </c>
      <c r="AG21" s="492">
        <f t="shared" si="1"/>
        <v>1.3603483730494739E-2</v>
      </c>
    </row>
    <row r="22" spans="1:33" ht="18" customHeight="1" x14ac:dyDescent="0.2">
      <c r="A22" s="355" t="s">
        <v>40</v>
      </c>
      <c r="B22" s="461"/>
      <c r="C22" s="461"/>
      <c r="D22" s="459"/>
      <c r="E22" s="461"/>
      <c r="F22" s="825"/>
      <c r="G22" s="826"/>
      <c r="H22" s="827"/>
      <c r="I22" s="827"/>
      <c r="J22" s="825"/>
      <c r="K22" s="827"/>
      <c r="L22" s="825"/>
      <c r="M22" s="826"/>
      <c r="N22" s="830"/>
      <c r="O22" s="831"/>
      <c r="P22" s="829"/>
      <c r="Q22" s="812"/>
      <c r="R22" s="811"/>
      <c r="S22" s="812"/>
      <c r="T22" s="811"/>
      <c r="U22" s="812"/>
      <c r="V22" s="811"/>
      <c r="W22" s="812"/>
      <c r="X22" s="811"/>
      <c r="Y22" s="812"/>
      <c r="Z22" s="811"/>
      <c r="AA22" s="812"/>
      <c r="AB22" s="811"/>
      <c r="AC22" s="820"/>
      <c r="AD22" s="144"/>
      <c r="AE22" s="779"/>
      <c r="AF22" s="821"/>
      <c r="AG22" s="449"/>
    </row>
    <row r="23" spans="1:33" ht="15" customHeight="1" x14ac:dyDescent="0.2">
      <c r="A23" s="189" t="s">
        <v>42</v>
      </c>
      <c r="B23" s="9"/>
      <c r="C23" s="24">
        <f>799548+32240</f>
        <v>831788</v>
      </c>
      <c r="D23" s="29"/>
      <c r="E23" s="544">
        <v>882409</v>
      </c>
      <c r="F23" s="69"/>
      <c r="G23" s="36">
        <v>950849</v>
      </c>
      <c r="H23" s="91"/>
      <c r="I23" s="292">
        <v>982613.99</v>
      </c>
      <c r="J23" s="69"/>
      <c r="K23" s="148">
        <v>1027120</v>
      </c>
      <c r="L23" s="69"/>
      <c r="M23" s="176">
        <v>1043370</v>
      </c>
      <c r="N23" s="94"/>
      <c r="O23" s="616">
        <v>1162259</v>
      </c>
      <c r="P23" s="94"/>
      <c r="Q23" s="616">
        <v>1082631</v>
      </c>
      <c r="R23" s="94"/>
      <c r="S23" s="616">
        <v>1149590</v>
      </c>
      <c r="T23" s="94"/>
      <c r="U23" s="616">
        <v>1129175</v>
      </c>
      <c r="V23" s="94"/>
      <c r="W23" s="616">
        <v>1325253.48</v>
      </c>
      <c r="X23" s="94"/>
      <c r="Y23" s="616">
        <v>1296793</v>
      </c>
      <c r="Z23" s="94"/>
      <c r="AA23" s="616">
        <v>1297578</v>
      </c>
      <c r="AB23" s="94"/>
      <c r="AC23" s="688"/>
      <c r="AE23" s="152"/>
      <c r="AF23" s="150">
        <f>AVERAGE(U23,S23,AA23,W23,Y23)</f>
        <v>1239677.8960000002</v>
      </c>
      <c r="AG23" s="438">
        <f>+(AA23-S23)/S23</f>
        <v>0.12873111283153124</v>
      </c>
    </row>
    <row r="24" spans="1:33" ht="15" customHeight="1" x14ac:dyDescent="0.2">
      <c r="A24" s="182" t="s">
        <v>39</v>
      </c>
      <c r="B24" s="11"/>
      <c r="C24" s="202"/>
      <c r="D24" s="30"/>
      <c r="E24" s="89"/>
      <c r="F24" s="30"/>
      <c r="G24" s="312">
        <f>222044.76+8233670.18999999</f>
        <v>8455714.9499999899</v>
      </c>
      <c r="H24" s="30"/>
      <c r="I24" s="128">
        <f>283129.9+8586920.34</f>
        <v>8870050.2400000002</v>
      </c>
      <c r="J24" s="30"/>
      <c r="K24" s="128">
        <f>349115.63+9498757.74</f>
        <v>9847873.370000001</v>
      </c>
      <c r="L24" s="30"/>
      <c r="M24" s="128">
        <f>320558.41+10099582.98</f>
        <v>10420141.390000001</v>
      </c>
      <c r="N24" s="43"/>
      <c r="O24" s="689">
        <f>289969.06+9992925.68000002</f>
        <v>10282894.740000021</v>
      </c>
      <c r="P24" s="43"/>
      <c r="Q24" s="689">
        <f>285702.12+10438753.92</f>
        <v>10724456.039999999</v>
      </c>
      <c r="R24" s="43"/>
      <c r="S24" s="689">
        <f>290334.23+11738780.81</f>
        <v>12029115.040000001</v>
      </c>
      <c r="T24" s="43"/>
      <c r="U24" s="689">
        <f>344399.57+12605253.92</f>
        <v>12949653.49</v>
      </c>
      <c r="V24" s="43"/>
      <c r="W24" s="689">
        <f>304442.56+12308131.35</f>
        <v>12612573.91</v>
      </c>
      <c r="X24" s="26"/>
      <c r="Y24" s="689">
        <f>12598733+318551</f>
        <v>12917284</v>
      </c>
      <c r="Z24" s="26"/>
      <c r="AA24" s="689">
        <f>11583926+218977</f>
        <v>11802903</v>
      </c>
      <c r="AB24" s="26"/>
      <c r="AC24" s="690"/>
      <c r="AE24" s="85"/>
      <c r="AF24" s="150">
        <f t="shared" ref="AF24:AF25" si="2">AVERAGE(U24,S24,AA24,W24,Y24)</f>
        <v>12462305.888</v>
      </c>
      <c r="AG24" s="438">
        <f t="shared" ref="AG24:AG25" si="3">+(AA24-S24)/S24</f>
        <v>-1.8805376725368896E-2</v>
      </c>
    </row>
    <row r="25" spans="1:33" s="10" customFormat="1" ht="15" customHeight="1" thickBot="1" x14ac:dyDescent="0.25">
      <c r="A25" s="190" t="s">
        <v>45</v>
      </c>
      <c r="B25" s="331"/>
      <c r="C25" s="333"/>
      <c r="D25" s="304"/>
      <c r="E25" s="334"/>
      <c r="F25" s="304"/>
      <c r="G25" s="346">
        <f>1407401.1</f>
        <v>1407401.1</v>
      </c>
      <c r="H25" s="304"/>
      <c r="I25" s="335">
        <v>1309193.5</v>
      </c>
      <c r="J25" s="304"/>
      <c r="K25" s="335">
        <v>1485111.580000001</v>
      </c>
      <c r="L25" s="304"/>
      <c r="M25" s="335">
        <v>1484502.1999999988</v>
      </c>
      <c r="N25" s="622"/>
      <c r="O25" s="691">
        <v>1723190.4500000004</v>
      </c>
      <c r="P25" s="622"/>
      <c r="Q25" s="691">
        <v>1350428.1700000002</v>
      </c>
      <c r="R25" s="622"/>
      <c r="S25" s="691">
        <v>1252342.0400000005</v>
      </c>
      <c r="T25" s="622"/>
      <c r="U25" s="691">
        <v>1409803.2499999991</v>
      </c>
      <c r="V25" s="622"/>
      <c r="W25" s="691">
        <v>1774981.3300000005</v>
      </c>
      <c r="X25" s="623"/>
      <c r="Y25" s="691">
        <v>2213455</v>
      </c>
      <c r="Z25" s="623"/>
      <c r="AA25" s="691">
        <v>1917665</v>
      </c>
      <c r="AB25" s="623"/>
      <c r="AC25" s="676"/>
      <c r="AE25" s="196"/>
      <c r="AF25" s="150">
        <f t="shared" si="2"/>
        <v>1713649.3239999998</v>
      </c>
      <c r="AG25" s="438">
        <f t="shared" si="3"/>
        <v>0.53126297668646438</v>
      </c>
    </row>
    <row r="26" spans="1:33" ht="18" customHeight="1" thickTop="1" x14ac:dyDescent="0.2">
      <c r="A26" s="444" t="s">
        <v>53</v>
      </c>
      <c r="B26" s="230" t="s">
        <v>20</v>
      </c>
      <c r="C26" s="231" t="s">
        <v>21</v>
      </c>
      <c r="D26" s="228" t="s">
        <v>20</v>
      </c>
      <c r="E26" s="231" t="s">
        <v>21</v>
      </c>
      <c r="F26" s="232" t="s">
        <v>20</v>
      </c>
      <c r="G26" s="233" t="s">
        <v>21</v>
      </c>
      <c r="H26" s="234" t="s">
        <v>20</v>
      </c>
      <c r="I26" s="282" t="s">
        <v>21</v>
      </c>
      <c r="J26" s="232" t="s">
        <v>20</v>
      </c>
      <c r="K26" s="282" t="s">
        <v>21</v>
      </c>
      <c r="L26" s="476" t="s">
        <v>20</v>
      </c>
      <c r="M26" s="479" t="s">
        <v>21</v>
      </c>
      <c r="N26" s="644" t="s">
        <v>20</v>
      </c>
      <c r="O26" s="643" t="s">
        <v>21</v>
      </c>
      <c r="P26" s="644" t="s">
        <v>20</v>
      </c>
      <c r="Q26" s="643" t="s">
        <v>21</v>
      </c>
      <c r="R26" s="642" t="s">
        <v>20</v>
      </c>
      <c r="S26" s="643" t="s">
        <v>21</v>
      </c>
      <c r="T26" s="642" t="s">
        <v>20</v>
      </c>
      <c r="U26" s="643" t="s">
        <v>21</v>
      </c>
      <c r="V26" s="642" t="s">
        <v>20</v>
      </c>
      <c r="W26" s="643" t="s">
        <v>21</v>
      </c>
      <c r="X26" s="642" t="s">
        <v>20</v>
      </c>
      <c r="Y26" s="643" t="s">
        <v>21</v>
      </c>
      <c r="Z26" s="642" t="s">
        <v>20</v>
      </c>
      <c r="AA26" s="643" t="s">
        <v>21</v>
      </c>
      <c r="AB26" s="642" t="s">
        <v>20</v>
      </c>
      <c r="AC26" s="613" t="s">
        <v>21</v>
      </c>
      <c r="AD26" s="173"/>
      <c r="AE26" s="481" t="s">
        <v>20</v>
      </c>
      <c r="AF26" s="480" t="s">
        <v>21</v>
      </c>
      <c r="AG26" s="482" t="s">
        <v>54</v>
      </c>
    </row>
    <row r="27" spans="1:33" ht="15" customHeight="1" x14ac:dyDescent="0.2">
      <c r="A27" s="182" t="s">
        <v>56</v>
      </c>
      <c r="B27" s="177">
        <v>58</v>
      </c>
      <c r="C27" s="294">
        <v>4591026.6100000003</v>
      </c>
      <c r="D27" s="161">
        <v>66</v>
      </c>
      <c r="E27" s="295">
        <v>2379370.36</v>
      </c>
      <c r="F27" s="155">
        <v>70</v>
      </c>
      <c r="G27" s="111">
        <v>3440901</v>
      </c>
      <c r="H27" s="163">
        <v>84</v>
      </c>
      <c r="I27" s="178">
        <v>2691440.76</v>
      </c>
      <c r="J27" s="155">
        <v>82</v>
      </c>
      <c r="K27" s="103">
        <v>6336384</v>
      </c>
      <c r="L27" s="165">
        <v>105</v>
      </c>
      <c r="M27" s="221">
        <v>10019627</v>
      </c>
      <c r="N27" s="627">
        <v>87</v>
      </c>
      <c r="O27" s="625">
        <v>10207729</v>
      </c>
      <c r="P27" s="627">
        <v>94</v>
      </c>
      <c r="Q27" s="625">
        <v>10569610</v>
      </c>
      <c r="R27" s="627">
        <v>103</v>
      </c>
      <c r="S27" s="625">
        <v>7562996</v>
      </c>
      <c r="T27" s="627">
        <v>106</v>
      </c>
      <c r="U27" s="625">
        <v>9136424</v>
      </c>
      <c r="V27" s="627">
        <v>149</v>
      </c>
      <c r="W27" s="625">
        <v>6277833</v>
      </c>
      <c r="X27" s="627">
        <v>129</v>
      </c>
      <c r="Y27" s="625">
        <v>9054857</v>
      </c>
      <c r="Z27" s="627">
        <v>225</v>
      </c>
      <c r="AA27" s="625">
        <v>7903961</v>
      </c>
      <c r="AB27" s="692"/>
      <c r="AC27" s="648"/>
      <c r="AD27" s="144"/>
      <c r="AE27" s="469">
        <f>AVERAGE(V27,T27,Z27,R27,X27)</f>
        <v>142.4</v>
      </c>
      <c r="AF27" s="150">
        <f>AVERAGE(W27,U27,S27,AA27,Y27)</f>
        <v>7987214.2000000002</v>
      </c>
      <c r="AG27" s="438">
        <f t="shared" ref="AG27:AG28" si="4">+(AA27-S27)/S27</f>
        <v>4.5083324121816273E-2</v>
      </c>
    </row>
    <row r="28" spans="1:33" ht="15" customHeight="1" thickBot="1" x14ac:dyDescent="0.25">
      <c r="A28" s="190" t="s">
        <v>57</v>
      </c>
      <c r="B28" s="296">
        <v>72</v>
      </c>
      <c r="C28" s="82">
        <v>3150195</v>
      </c>
      <c r="D28" s="283">
        <v>75</v>
      </c>
      <c r="E28" s="297">
        <v>3069983.48</v>
      </c>
      <c r="F28" s="239">
        <v>58</v>
      </c>
      <c r="G28" s="227">
        <v>3732199</v>
      </c>
      <c r="H28" s="241">
        <v>97</v>
      </c>
      <c r="I28" s="242">
        <v>7031838</v>
      </c>
      <c r="J28" s="243">
        <v>64</v>
      </c>
      <c r="K28" s="242">
        <v>3402577</v>
      </c>
      <c r="L28" s="348">
        <v>70</v>
      </c>
      <c r="M28" s="351">
        <v>4892905</v>
      </c>
      <c r="N28" s="628">
        <v>90</v>
      </c>
      <c r="O28" s="626">
        <v>6779713</v>
      </c>
      <c r="P28" s="628">
        <v>76</v>
      </c>
      <c r="Q28" s="626">
        <v>4911685</v>
      </c>
      <c r="R28" s="628">
        <v>77</v>
      </c>
      <c r="S28" s="626">
        <v>6135014</v>
      </c>
      <c r="T28" s="628">
        <v>76</v>
      </c>
      <c r="U28" s="626">
        <v>6317145</v>
      </c>
      <c r="V28" s="628">
        <v>91</v>
      </c>
      <c r="W28" s="626">
        <v>9047246</v>
      </c>
      <c r="X28" s="628">
        <v>82</v>
      </c>
      <c r="Y28" s="626">
        <v>4282708</v>
      </c>
      <c r="Z28" s="628">
        <v>135</v>
      </c>
      <c r="AA28" s="626">
        <v>7460995</v>
      </c>
      <c r="AB28" s="693"/>
      <c r="AC28" s="652"/>
      <c r="AD28" s="144"/>
      <c r="AE28" s="469">
        <f>AVERAGE(V28,T28,Z28,R28,X28)</f>
        <v>92.2</v>
      </c>
      <c r="AF28" s="150">
        <f t="shared" ref="AF28" si="5">AVERAGE(W28,U28,S28,AA28,Y28)</f>
        <v>6648621.5999999996</v>
      </c>
      <c r="AG28" s="438">
        <f t="shared" si="4"/>
        <v>0.21613332911709737</v>
      </c>
    </row>
    <row r="29" spans="1:33" ht="18" customHeight="1" thickTop="1" x14ac:dyDescent="0.2">
      <c r="A29" s="112" t="s">
        <v>17</v>
      </c>
      <c r="B29" s="246"/>
      <c r="C29" s="298"/>
      <c r="D29" s="244"/>
      <c r="E29" s="247"/>
      <c r="F29" s="248"/>
      <c r="G29" s="249"/>
      <c r="H29" s="250"/>
      <c r="I29" s="251"/>
      <c r="J29" s="248"/>
      <c r="K29" s="251"/>
      <c r="L29" s="248"/>
      <c r="M29" s="534"/>
      <c r="N29" s="694"/>
      <c r="O29" s="695"/>
      <c r="P29" s="824"/>
      <c r="Q29" s="786"/>
      <c r="R29" s="785"/>
      <c r="S29" s="786"/>
      <c r="T29" s="785"/>
      <c r="U29" s="786"/>
      <c r="V29" s="785"/>
      <c r="W29" s="786"/>
      <c r="X29" s="785"/>
      <c r="Y29" s="786"/>
      <c r="Z29" s="785"/>
      <c r="AA29" s="786"/>
      <c r="AB29" s="785"/>
      <c r="AC29" s="789"/>
      <c r="AD29" s="144"/>
      <c r="AE29" s="822"/>
      <c r="AF29" s="823"/>
      <c r="AG29" s="441"/>
    </row>
    <row r="30" spans="1:33" ht="15" customHeight="1" x14ac:dyDescent="0.2">
      <c r="A30" s="189" t="s">
        <v>18</v>
      </c>
      <c r="B30" s="9"/>
      <c r="C30" s="74">
        <v>428569.79</v>
      </c>
      <c r="D30" s="35"/>
      <c r="E30" s="141">
        <v>327924.45</v>
      </c>
      <c r="F30" s="72"/>
      <c r="G30" s="115">
        <v>259085.87</v>
      </c>
      <c r="H30" s="95"/>
      <c r="I30" s="137">
        <v>466897.22</v>
      </c>
      <c r="J30" s="72"/>
      <c r="K30" s="137">
        <v>264955.83</v>
      </c>
      <c r="L30" s="72"/>
      <c r="M30" s="176">
        <v>325445</v>
      </c>
      <c r="N30" s="94"/>
      <c r="O30" s="663">
        <v>655155</v>
      </c>
      <c r="P30" s="94"/>
      <c r="Q30" s="663">
        <v>530826.79</v>
      </c>
      <c r="R30" s="94"/>
      <c r="S30" s="663">
        <v>354979.87</v>
      </c>
      <c r="T30" s="94"/>
      <c r="U30" s="663">
        <v>402625.08</v>
      </c>
      <c r="V30" s="94"/>
      <c r="W30" s="663">
        <v>421418.02</v>
      </c>
      <c r="X30" s="94"/>
      <c r="Y30" s="663">
        <v>369401.03</v>
      </c>
      <c r="Z30" s="94"/>
      <c r="AA30" s="663">
        <v>509751.03</v>
      </c>
      <c r="AB30" s="94"/>
      <c r="AC30" s="696"/>
      <c r="AD30" s="144"/>
      <c r="AE30" s="85"/>
      <c r="AF30" s="150">
        <f t="shared" ref="AF30:AF31" si="6">AVERAGE(W30,U30,S30,AA30,Y30)</f>
        <v>411635.00600000005</v>
      </c>
      <c r="AG30" s="483">
        <f t="shared" ref="AG30:AG31" si="7">+(AA30-S30)/S30</f>
        <v>0.43599982162368822</v>
      </c>
    </row>
    <row r="31" spans="1:33" ht="15" customHeight="1" thickBot="1" x14ac:dyDescent="0.25">
      <c r="A31" s="190" t="s">
        <v>19</v>
      </c>
      <c r="B31" s="6"/>
      <c r="C31" s="82">
        <v>0</v>
      </c>
      <c r="D31" s="37"/>
      <c r="E31" s="79">
        <v>0</v>
      </c>
      <c r="F31" s="73"/>
      <c r="G31" s="100">
        <v>0</v>
      </c>
      <c r="H31" s="73"/>
      <c r="I31" s="79">
        <v>0</v>
      </c>
      <c r="J31" s="73"/>
      <c r="K31" s="79">
        <v>0</v>
      </c>
      <c r="L31" s="73"/>
      <c r="M31" s="102">
        <v>0</v>
      </c>
      <c r="N31" s="631"/>
      <c r="O31" s="630">
        <v>0</v>
      </c>
      <c r="P31" s="631"/>
      <c r="Q31" s="630">
        <v>0</v>
      </c>
      <c r="R31" s="631"/>
      <c r="S31" s="630">
        <v>0</v>
      </c>
      <c r="T31" s="631"/>
      <c r="U31" s="630">
        <v>0</v>
      </c>
      <c r="V31" s="631"/>
      <c r="W31" s="630">
        <v>0</v>
      </c>
      <c r="X31" s="631"/>
      <c r="Y31" s="630">
        <v>0</v>
      </c>
      <c r="Z31" s="631"/>
      <c r="AA31" s="630">
        <v>0</v>
      </c>
      <c r="AB31" s="631"/>
      <c r="AC31" s="659"/>
      <c r="AD31" s="144"/>
      <c r="AE31" s="145"/>
      <c r="AF31" s="592">
        <f t="shared" si="6"/>
        <v>0</v>
      </c>
      <c r="AG31" s="484" t="e">
        <f t="shared" si="7"/>
        <v>#DIV/0!</v>
      </c>
    </row>
    <row r="32" spans="1:33" ht="35.25" customHeight="1" thickTop="1" x14ac:dyDescent="0.2">
      <c r="A32" s="596" t="s">
        <v>47</v>
      </c>
      <c r="B32" s="11"/>
      <c r="C32" s="17"/>
      <c r="D32" s="11"/>
      <c r="E32" s="12"/>
      <c r="F32" s="67"/>
      <c r="G32" s="63"/>
      <c r="H32" s="67"/>
      <c r="I32" s="63"/>
      <c r="J32" s="67"/>
      <c r="K32" s="63"/>
      <c r="L32" s="67"/>
      <c r="M32" s="63"/>
      <c r="N32" s="67"/>
      <c r="O32" s="63"/>
      <c r="P32" s="67"/>
      <c r="Q32" s="63"/>
      <c r="R32" s="67"/>
      <c r="S32" s="63"/>
      <c r="T32" s="67"/>
      <c r="U32" s="63"/>
      <c r="V32" s="67"/>
      <c r="W32" s="63"/>
      <c r="X32" s="67"/>
      <c r="Y32" s="63"/>
      <c r="Z32" s="67"/>
      <c r="AA32" s="63"/>
      <c r="AB32" s="67"/>
      <c r="AC32" s="63"/>
      <c r="AD32" s="1" t="s">
        <v>4</v>
      </c>
      <c r="AE32" s="10"/>
      <c r="AF32" s="254"/>
    </row>
    <row r="33" spans="2:31" ht="12" x14ac:dyDescent="0.2">
      <c r="B33" s="1"/>
      <c r="C33" s="1"/>
      <c r="D33" s="1"/>
      <c r="E33" s="1"/>
      <c r="F33" s="61"/>
      <c r="G33" s="61"/>
      <c r="H33" s="61"/>
      <c r="I33" s="61"/>
      <c r="AE33" s="1" t="s">
        <v>4</v>
      </c>
    </row>
  </sheetData>
  <mergeCells count="36">
    <mergeCell ref="AE9:AF9"/>
    <mergeCell ref="Z22:AA22"/>
    <mergeCell ref="H9:I9"/>
    <mergeCell ref="V9:W9"/>
    <mergeCell ref="Z9:AA9"/>
    <mergeCell ref="R22:S22"/>
    <mergeCell ref="V22:W22"/>
    <mergeCell ref="AB9:AC9"/>
    <mergeCell ref="B9:C9"/>
    <mergeCell ref="F9:G9"/>
    <mergeCell ref="J9:K9"/>
    <mergeCell ref="D9:E9"/>
    <mergeCell ref="R9:S9"/>
    <mergeCell ref="L9:M9"/>
    <mergeCell ref="F22:G22"/>
    <mergeCell ref="H22:I22"/>
    <mergeCell ref="J22:K22"/>
    <mergeCell ref="N9:O9"/>
    <mergeCell ref="X22:Y22"/>
    <mergeCell ref="X9:Y9"/>
    <mergeCell ref="P22:Q22"/>
    <mergeCell ref="P9:Q9"/>
    <mergeCell ref="T22:U22"/>
    <mergeCell ref="T9:U9"/>
    <mergeCell ref="L22:M22"/>
    <mergeCell ref="N22:O22"/>
    <mergeCell ref="Z29:AA29"/>
    <mergeCell ref="AE22:AF22"/>
    <mergeCell ref="AE29:AF29"/>
    <mergeCell ref="P29:Q29"/>
    <mergeCell ref="R29:S29"/>
    <mergeCell ref="T29:U29"/>
    <mergeCell ref="V29:W29"/>
    <mergeCell ref="X29:Y29"/>
    <mergeCell ref="AB22:AC22"/>
    <mergeCell ref="AB29:AC29"/>
  </mergeCells>
  <phoneticPr fontId="0" type="noConversion"/>
  <printOptions horizontalCentered="1" verticalCentered="1"/>
  <pageMargins left="0.5" right="0.5" top="0.5" bottom="0.5" header="0.5" footer="0.25"/>
  <pageSetup scale="81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in="8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view="pageBreakPreview" zoomScale="90" zoomScaleNormal="55" zoomScaleSheetLayoutView="90" workbookViewId="0">
      <pane xSplit="1" ySplit="2" topLeftCell="N15" activePane="bottomRight" state="frozen"/>
      <selection activeCell="N10" sqref="N10:AG31"/>
      <selection pane="topRight" activeCell="N10" sqref="N10:AG31"/>
      <selection pane="bottomLeft" activeCell="N10" sqref="N10:AG31"/>
      <selection pane="bottomRight" activeCell="N10" sqref="N10:AG31"/>
    </sheetView>
  </sheetViews>
  <sheetFormatPr defaultColWidth="10.28515625" defaultRowHeight="12.75" x14ac:dyDescent="0.2"/>
  <cols>
    <col min="1" max="1" width="33.5703125" style="1" customWidth="1"/>
    <col min="2" max="2" width="7.7109375" hidden="1" customWidth="1"/>
    <col min="3" max="3" width="10.7109375" hidden="1" customWidth="1"/>
    <col min="4" max="4" width="7.85546875" hidden="1" customWidth="1"/>
    <col min="5" max="5" width="10.28515625" hidden="1" customWidth="1"/>
    <col min="6" max="6" width="7.7109375" style="62" hidden="1" customWidth="1"/>
    <col min="7" max="7" width="10.28515625" style="62" hidden="1" customWidth="1"/>
    <col min="8" max="8" width="7.7109375" style="62" hidden="1" customWidth="1"/>
    <col min="9" max="9" width="10.85546875" style="62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2" style="1" bestFit="1" customWidth="1"/>
    <col min="26" max="26" width="4.7109375" style="1" customWidth="1"/>
    <col min="27" max="27" width="12" style="1" bestFit="1" customWidth="1"/>
    <col min="28" max="28" width="4.7109375" style="1" customWidth="1"/>
    <col min="29" max="29" width="10.7109375" style="1" customWidth="1"/>
    <col min="30" max="30" width="3.42578125" style="1" customWidth="1"/>
    <col min="31" max="31" width="4.7109375" style="1" customWidth="1"/>
    <col min="32" max="32" width="12.28515625" style="1" customWidth="1"/>
    <col min="33" max="33" width="8.7109375" style="1" customWidth="1"/>
    <col min="34" max="16384" width="10.28515625" style="1"/>
  </cols>
  <sheetData>
    <row r="1" spans="1:34" ht="15.75" x14ac:dyDescent="0.25">
      <c r="A1" s="419" t="s">
        <v>48</v>
      </c>
    </row>
    <row r="2" spans="1:34" ht="18" x14ac:dyDescent="0.25">
      <c r="A2" s="419" t="s">
        <v>49</v>
      </c>
      <c r="B2" s="599"/>
      <c r="C2" s="599"/>
      <c r="D2" s="599"/>
      <c r="E2" s="599"/>
      <c r="F2" s="599"/>
      <c r="G2" s="599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195"/>
      <c r="AE2" s="195"/>
      <c r="AF2" s="195"/>
    </row>
    <row r="3" spans="1:34" x14ac:dyDescent="0.2">
      <c r="A3" s="2"/>
      <c r="B3" s="1"/>
      <c r="C3" s="1"/>
      <c r="D3" s="1"/>
      <c r="E3" s="1"/>
      <c r="F3" s="61"/>
      <c r="G3" s="61"/>
      <c r="H3" s="61"/>
      <c r="I3" s="61"/>
      <c r="AA3" s="1" t="s">
        <v>4</v>
      </c>
    </row>
    <row r="4" spans="1:34" s="10" customFormat="1" ht="15.75" x14ac:dyDescent="0.25">
      <c r="A4" s="420" t="s">
        <v>41</v>
      </c>
      <c r="F4" s="66"/>
      <c r="G4" s="66"/>
      <c r="H4" s="66"/>
      <c r="I4" s="66"/>
      <c r="AG4" s="1"/>
    </row>
    <row r="5" spans="1:34" s="10" customFormat="1" ht="8.25" customHeight="1" x14ac:dyDescent="0.2">
      <c r="F5" s="66"/>
      <c r="G5" s="66"/>
      <c r="H5" s="66"/>
      <c r="I5" s="66"/>
      <c r="AG5" s="1"/>
    </row>
    <row r="6" spans="1:34" x14ac:dyDescent="0.2">
      <c r="A6" s="2" t="s">
        <v>6</v>
      </c>
      <c r="B6" s="16"/>
      <c r="C6" s="21"/>
      <c r="D6" s="16"/>
      <c r="E6" s="21"/>
      <c r="F6" s="87"/>
      <c r="G6" s="108"/>
      <c r="H6" s="87"/>
      <c r="I6" s="108"/>
      <c r="J6" s="87"/>
      <c r="K6" s="108"/>
      <c r="L6" s="87"/>
      <c r="M6" s="108"/>
      <c r="N6" s="87"/>
      <c r="O6" s="108"/>
      <c r="P6" s="87"/>
      <c r="Q6" s="108"/>
      <c r="R6" s="87"/>
      <c r="S6" s="108"/>
      <c r="T6" s="87"/>
      <c r="U6" s="108"/>
      <c r="V6" s="87"/>
      <c r="W6" s="108"/>
      <c r="X6" s="87"/>
      <c r="Y6" s="108"/>
      <c r="Z6" s="87"/>
      <c r="AA6" s="108"/>
      <c r="AB6" s="87"/>
      <c r="AC6" s="108"/>
      <c r="AF6" s="10"/>
    </row>
    <row r="7" spans="1:34" x14ac:dyDescent="0.2">
      <c r="A7" s="578">
        <v>3670010050</v>
      </c>
      <c r="B7" s="10"/>
      <c r="C7" s="10"/>
      <c r="D7" s="10"/>
      <c r="E7" s="10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H7" s="1" t="s">
        <v>4</v>
      </c>
    </row>
    <row r="8" spans="1:34" ht="12.75" customHeight="1" thickBot="1" x14ac:dyDescent="0.25">
      <c r="A8" s="16"/>
      <c r="B8" s="10"/>
      <c r="C8" s="10"/>
      <c r="D8" s="10"/>
      <c r="E8" s="10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E8" s="10"/>
      <c r="AF8" s="10"/>
    </row>
    <row r="9" spans="1:34" ht="30" customHeight="1" thickTop="1" thickBot="1" x14ac:dyDescent="0.25">
      <c r="A9" s="198"/>
      <c r="B9" s="803" t="s">
        <v>7</v>
      </c>
      <c r="C9" s="797"/>
      <c r="D9" s="796" t="s">
        <v>8</v>
      </c>
      <c r="E9" s="796"/>
      <c r="F9" s="794" t="s">
        <v>22</v>
      </c>
      <c r="G9" s="793"/>
      <c r="H9" s="792" t="s">
        <v>24</v>
      </c>
      <c r="I9" s="792"/>
      <c r="J9" s="794" t="s">
        <v>25</v>
      </c>
      <c r="K9" s="792"/>
      <c r="L9" s="794" t="s">
        <v>26</v>
      </c>
      <c r="M9" s="793"/>
      <c r="N9" s="792" t="s">
        <v>28</v>
      </c>
      <c r="O9" s="793"/>
      <c r="P9" s="792" t="s">
        <v>29</v>
      </c>
      <c r="Q9" s="793"/>
      <c r="R9" s="792" t="s">
        <v>34</v>
      </c>
      <c r="S9" s="793"/>
      <c r="T9" s="792" t="s">
        <v>35</v>
      </c>
      <c r="U9" s="793"/>
      <c r="V9" s="792" t="s">
        <v>36</v>
      </c>
      <c r="W9" s="793"/>
      <c r="X9" s="792" t="s">
        <v>37</v>
      </c>
      <c r="Y9" s="793"/>
      <c r="Z9" s="792" t="s">
        <v>38</v>
      </c>
      <c r="AA9" s="793"/>
      <c r="AB9" s="792" t="s">
        <v>60</v>
      </c>
      <c r="AC9" s="795"/>
      <c r="AD9" s="144"/>
      <c r="AE9" s="806" t="s">
        <v>27</v>
      </c>
      <c r="AF9" s="807"/>
      <c r="AG9" s="435" t="s">
        <v>43</v>
      </c>
    </row>
    <row r="10" spans="1:34" ht="18" customHeight="1" x14ac:dyDescent="0.2">
      <c r="A10" s="364" t="s">
        <v>9</v>
      </c>
      <c r="B10" s="429"/>
      <c r="C10" s="430"/>
      <c r="D10" s="7"/>
      <c r="E10" s="7"/>
      <c r="F10" s="431"/>
      <c r="G10" s="432"/>
      <c r="H10" s="433"/>
      <c r="I10" s="433"/>
      <c r="J10" s="431"/>
      <c r="K10" s="433"/>
      <c r="L10" s="431"/>
      <c r="M10" s="432"/>
      <c r="N10" s="433"/>
      <c r="O10" s="432"/>
      <c r="P10" s="433"/>
      <c r="Q10" s="432"/>
      <c r="R10" s="433"/>
      <c r="S10" s="432"/>
      <c r="T10" s="433"/>
      <c r="U10" s="432"/>
      <c r="V10" s="433"/>
      <c r="W10" s="432"/>
      <c r="X10" s="433"/>
      <c r="Y10" s="432"/>
      <c r="Z10" s="433"/>
      <c r="AA10" s="432"/>
      <c r="AB10" s="433"/>
      <c r="AC10" s="434"/>
      <c r="AD10" s="144"/>
      <c r="AE10" s="442"/>
      <c r="AF10" s="446"/>
      <c r="AG10" s="436"/>
    </row>
    <row r="11" spans="1:34" ht="15" customHeight="1" x14ac:dyDescent="0.2">
      <c r="A11" s="199" t="s">
        <v>10</v>
      </c>
      <c r="B11" s="30"/>
      <c r="C11" s="31"/>
      <c r="D11" s="3"/>
      <c r="E11" s="3"/>
      <c r="F11" s="70"/>
      <c r="G11" s="92"/>
      <c r="H11" s="64"/>
      <c r="I11" s="64"/>
      <c r="J11" s="70"/>
      <c r="K11" s="64"/>
      <c r="L11" s="70"/>
      <c r="M11" s="92"/>
      <c r="N11" s="64"/>
      <c r="O11" s="92"/>
      <c r="P11" s="64"/>
      <c r="Q11" s="92"/>
      <c r="R11" s="64"/>
      <c r="S11" s="92"/>
      <c r="T11" s="64"/>
      <c r="U11" s="92"/>
      <c r="V11" s="64"/>
      <c r="W11" s="92"/>
      <c r="X11" s="64"/>
      <c r="Y11" s="92"/>
      <c r="Z11" s="64"/>
      <c r="AA11" s="92"/>
      <c r="AB11" s="64"/>
      <c r="AC11" s="25"/>
      <c r="AD11" s="144"/>
      <c r="AE11" s="85"/>
      <c r="AF11" s="440"/>
      <c r="AG11" s="437"/>
    </row>
    <row r="12" spans="1:34" ht="15" customHeight="1" x14ac:dyDescent="0.2">
      <c r="A12" s="182" t="s">
        <v>11</v>
      </c>
      <c r="B12" s="29"/>
      <c r="C12" s="33">
        <v>2193953</v>
      </c>
      <c r="D12" s="8"/>
      <c r="E12" s="39">
        <v>2292811</v>
      </c>
      <c r="F12" s="69"/>
      <c r="G12" s="59">
        <v>2252560</v>
      </c>
      <c r="H12" s="91"/>
      <c r="I12" s="107">
        <v>2461006</v>
      </c>
      <c r="J12" s="69"/>
      <c r="K12" s="107">
        <v>2510468</v>
      </c>
      <c r="L12" s="69"/>
      <c r="M12" s="59">
        <v>2563708</v>
      </c>
      <c r="N12" s="91"/>
      <c r="O12" s="59">
        <v>2522595</v>
      </c>
      <c r="P12" s="91"/>
      <c r="Q12" s="59">
        <v>2544198</v>
      </c>
      <c r="R12" s="91"/>
      <c r="S12" s="59">
        <v>2636355</v>
      </c>
      <c r="T12" s="91"/>
      <c r="U12" s="59">
        <v>2795772</v>
      </c>
      <c r="V12" s="91"/>
      <c r="W12" s="59">
        <v>2851487</v>
      </c>
      <c r="X12" s="91"/>
      <c r="Y12" s="59">
        <v>2966693</v>
      </c>
      <c r="Z12" s="91"/>
      <c r="AA12" s="59">
        <v>2989904</v>
      </c>
      <c r="AB12" s="91"/>
      <c r="AC12" s="218">
        <v>3095794</v>
      </c>
      <c r="AD12" s="144"/>
      <c r="AE12" s="152"/>
      <c r="AF12" s="150">
        <f>AVERAGE(W12,U12,AA12,AC12,Y12)</f>
        <v>2939930</v>
      </c>
      <c r="AG12" s="438">
        <f>+(AC12-U12)/U12</f>
        <v>0.10731275654810192</v>
      </c>
    </row>
    <row r="13" spans="1:34" ht="15" customHeight="1" x14ac:dyDescent="0.2">
      <c r="A13" s="182" t="s">
        <v>30</v>
      </c>
      <c r="B13" s="29"/>
      <c r="C13" s="33"/>
      <c r="D13" s="8"/>
      <c r="E13" s="39"/>
      <c r="F13" s="69"/>
      <c r="G13" s="59"/>
      <c r="H13" s="91"/>
      <c r="I13" s="107"/>
      <c r="J13" s="69"/>
      <c r="K13" s="107"/>
      <c r="L13" s="69"/>
      <c r="M13" s="59"/>
      <c r="N13" s="91"/>
      <c r="O13" s="59"/>
      <c r="P13" s="91"/>
      <c r="Q13" s="59"/>
      <c r="R13" s="91"/>
      <c r="S13" s="59"/>
      <c r="T13" s="91"/>
      <c r="U13" s="59"/>
      <c r="V13" s="91"/>
      <c r="W13" s="59"/>
      <c r="X13" s="91"/>
      <c r="Y13" s="59"/>
      <c r="Z13" s="91"/>
      <c r="AA13" s="59"/>
      <c r="AB13" s="91"/>
      <c r="AC13" s="218"/>
      <c r="AD13" s="144"/>
      <c r="AE13" s="146"/>
      <c r="AF13" s="150"/>
      <c r="AG13" s="437"/>
    </row>
    <row r="14" spans="1:34" ht="24.75" thickBot="1" x14ac:dyDescent="0.25">
      <c r="A14" s="266" t="s">
        <v>31</v>
      </c>
      <c r="B14" s="313"/>
      <c r="C14" s="288">
        <v>72853</v>
      </c>
      <c r="D14" s="307"/>
      <c r="E14" s="314">
        <v>76520</v>
      </c>
      <c r="F14" s="315"/>
      <c r="G14" s="286">
        <v>77281</v>
      </c>
      <c r="H14" s="285"/>
      <c r="I14" s="316">
        <v>79070</v>
      </c>
      <c r="J14" s="315"/>
      <c r="K14" s="316">
        <v>81267</v>
      </c>
      <c r="L14" s="315"/>
      <c r="M14" s="286">
        <v>65853</v>
      </c>
      <c r="N14" s="285"/>
      <c r="O14" s="286">
        <v>66344</v>
      </c>
      <c r="P14" s="285"/>
      <c r="Q14" s="286">
        <v>73384</v>
      </c>
      <c r="R14" s="285"/>
      <c r="S14" s="286">
        <v>94184</v>
      </c>
      <c r="T14" s="285"/>
      <c r="U14" s="286">
        <v>94076</v>
      </c>
      <c r="V14" s="285"/>
      <c r="W14" s="286">
        <v>447276</v>
      </c>
      <c r="X14" s="285"/>
      <c r="Y14" s="286">
        <v>585376</v>
      </c>
      <c r="Z14" s="285"/>
      <c r="AA14" s="286">
        <v>642334</v>
      </c>
      <c r="AB14" s="285"/>
      <c r="AC14" s="287">
        <v>620145</v>
      </c>
      <c r="AD14" s="144"/>
      <c r="AE14" s="191"/>
      <c r="AF14" s="172">
        <f t="shared" ref="AF14:AF21" si="0">AVERAGE(W14,U14,AA14,AC14,Y14)</f>
        <v>477841.4</v>
      </c>
      <c r="AG14" s="438">
        <f t="shared" ref="AG14:AG21" si="1">+(AC14-U14)/U14</f>
        <v>5.5919575662230541</v>
      </c>
    </row>
    <row r="15" spans="1:34" ht="18.75" customHeight="1" thickBot="1" x14ac:dyDescent="0.25">
      <c r="A15" s="275" t="s">
        <v>12</v>
      </c>
      <c r="B15" s="317"/>
      <c r="C15" s="318">
        <f>SUM(C12:C14)</f>
        <v>2266806</v>
      </c>
      <c r="D15" s="319"/>
      <c r="E15" s="320">
        <f>SUM(E12:E14)</f>
        <v>2369331</v>
      </c>
      <c r="F15" s="321"/>
      <c r="G15" s="290">
        <f>SUM(G12:G14)</f>
        <v>2329841</v>
      </c>
      <c r="H15" s="289"/>
      <c r="I15" s="322">
        <f>SUM(I12:I14)</f>
        <v>2540076</v>
      </c>
      <c r="J15" s="321"/>
      <c r="K15" s="322">
        <f>SUM(K12:K14)</f>
        <v>2591735</v>
      </c>
      <c r="L15" s="321"/>
      <c r="M15" s="290">
        <f>SUM(M12:M14)</f>
        <v>2629561</v>
      </c>
      <c r="N15" s="289"/>
      <c r="O15" s="290">
        <f>SUM(O12:O14)</f>
        <v>2588939</v>
      </c>
      <c r="P15" s="289"/>
      <c r="Q15" s="290">
        <f>SUM(Q12:Q14)</f>
        <v>2617582</v>
      </c>
      <c r="R15" s="289"/>
      <c r="S15" s="290">
        <f>SUM(S12:S14)</f>
        <v>2730539</v>
      </c>
      <c r="T15" s="289"/>
      <c r="U15" s="290">
        <f>SUM(U12:U14)</f>
        <v>2889848</v>
      </c>
      <c r="V15" s="289"/>
      <c r="W15" s="290">
        <f>SUM(W12:W14)</f>
        <v>3298763</v>
      </c>
      <c r="X15" s="289"/>
      <c r="Y15" s="290">
        <f>SUM(Y12:Y14)</f>
        <v>3552069</v>
      </c>
      <c r="Z15" s="289"/>
      <c r="AA15" s="290">
        <f>SUM(AA12:AA14)</f>
        <v>3632238</v>
      </c>
      <c r="AB15" s="289"/>
      <c r="AC15" s="291">
        <f>SUM(AC12:AC14)</f>
        <v>3715939</v>
      </c>
      <c r="AD15" s="144"/>
      <c r="AE15" s="273"/>
      <c r="AF15" s="274">
        <f t="shared" si="0"/>
        <v>3417771.4</v>
      </c>
      <c r="AG15" s="445">
        <f t="shared" si="1"/>
        <v>0.28585967151213487</v>
      </c>
    </row>
    <row r="16" spans="1:34" ht="15" customHeight="1" x14ac:dyDescent="0.2">
      <c r="A16" s="199" t="s">
        <v>13</v>
      </c>
      <c r="B16" s="29"/>
      <c r="C16" s="33"/>
      <c r="D16" s="8"/>
      <c r="E16" s="39"/>
      <c r="F16" s="69"/>
      <c r="G16" s="59"/>
      <c r="H16" s="91"/>
      <c r="I16" s="107"/>
      <c r="J16" s="69"/>
      <c r="K16" s="107"/>
      <c r="L16" s="69"/>
      <c r="M16" s="59"/>
      <c r="N16" s="91"/>
      <c r="O16" s="59"/>
      <c r="P16" s="91"/>
      <c r="Q16" s="59"/>
      <c r="R16" s="91"/>
      <c r="S16" s="59"/>
      <c r="T16" s="91"/>
      <c r="U16" s="59"/>
      <c r="V16" s="91"/>
      <c r="W16" s="59"/>
      <c r="X16" s="91"/>
      <c r="Y16" s="59"/>
      <c r="Z16" s="91"/>
      <c r="AA16" s="59"/>
      <c r="AB16" s="91"/>
      <c r="AC16" s="218"/>
      <c r="AD16" s="144"/>
      <c r="AE16" s="85"/>
      <c r="AF16" s="151"/>
      <c r="AG16" s="440"/>
    </row>
    <row r="17" spans="1:34" ht="15" customHeight="1" x14ac:dyDescent="0.2">
      <c r="A17" s="182" t="s">
        <v>11</v>
      </c>
      <c r="B17" s="30"/>
      <c r="C17" s="45">
        <v>4867962</v>
      </c>
      <c r="D17" s="3"/>
      <c r="E17" s="50">
        <v>5138770</v>
      </c>
      <c r="F17" s="70"/>
      <c r="G17" s="97">
        <v>5307862</v>
      </c>
      <c r="H17" s="64"/>
      <c r="I17" s="81">
        <v>5757673</v>
      </c>
      <c r="J17" s="70"/>
      <c r="K17" s="81">
        <v>5971506</v>
      </c>
      <c r="L17" s="70"/>
      <c r="M17" s="97">
        <v>6099535</v>
      </c>
      <c r="N17" s="64"/>
      <c r="O17" s="97">
        <v>5647235</v>
      </c>
      <c r="P17" s="64"/>
      <c r="Q17" s="97">
        <v>5742253</v>
      </c>
      <c r="R17" s="64"/>
      <c r="S17" s="97">
        <v>5937829</v>
      </c>
      <c r="T17" s="64"/>
      <c r="U17" s="97">
        <v>6115075</v>
      </c>
      <c r="V17" s="64"/>
      <c r="W17" s="97">
        <v>6205429</v>
      </c>
      <c r="X17" s="64"/>
      <c r="Y17" s="97">
        <v>6391630</v>
      </c>
      <c r="Z17" s="64"/>
      <c r="AA17" s="97">
        <v>6399343</v>
      </c>
      <c r="AB17" s="64"/>
      <c r="AC17" s="215">
        <v>5614945</v>
      </c>
      <c r="AD17" s="144"/>
      <c r="AE17" s="152"/>
      <c r="AF17" s="150">
        <f t="shared" si="0"/>
        <v>6145284.4000000004</v>
      </c>
      <c r="AG17" s="438">
        <f t="shared" si="1"/>
        <v>-8.1786404909179364E-2</v>
      </c>
    </row>
    <row r="18" spans="1:34" ht="15" customHeight="1" x14ac:dyDescent="0.2">
      <c r="A18" s="182" t="s">
        <v>30</v>
      </c>
      <c r="B18" s="30"/>
      <c r="C18" s="45"/>
      <c r="D18" s="3"/>
      <c r="E18" s="50"/>
      <c r="F18" s="70"/>
      <c r="G18" s="207"/>
      <c r="H18" s="64"/>
      <c r="I18" s="81">
        <v>28539</v>
      </c>
      <c r="J18" s="70"/>
      <c r="K18" s="81">
        <v>28729</v>
      </c>
      <c r="L18" s="70"/>
      <c r="M18" s="97">
        <v>28883</v>
      </c>
      <c r="N18" s="64"/>
      <c r="O18" s="97">
        <v>28897</v>
      </c>
      <c r="P18" s="64"/>
      <c r="Q18" s="97">
        <v>129020</v>
      </c>
      <c r="R18" s="64"/>
      <c r="S18" s="97">
        <v>129822</v>
      </c>
      <c r="T18" s="64"/>
      <c r="U18" s="97">
        <v>130136</v>
      </c>
      <c r="V18" s="64"/>
      <c r="W18" s="97">
        <v>130408</v>
      </c>
      <c r="X18" s="64"/>
      <c r="Y18" s="97">
        <v>130896</v>
      </c>
      <c r="Z18" s="64"/>
      <c r="AA18" s="97">
        <v>132343</v>
      </c>
      <c r="AB18" s="64"/>
      <c r="AC18" s="215">
        <v>132267</v>
      </c>
      <c r="AD18" s="144"/>
      <c r="AE18" s="152"/>
      <c r="AF18" s="150">
        <f t="shared" si="0"/>
        <v>131210</v>
      </c>
      <c r="AG18" s="438">
        <f t="shared" si="1"/>
        <v>1.6375176738181594E-2</v>
      </c>
    </row>
    <row r="19" spans="1:34" ht="24.75" thickBot="1" x14ac:dyDescent="0.25">
      <c r="A19" s="266" t="s">
        <v>31</v>
      </c>
      <c r="B19" s="313"/>
      <c r="C19" s="288">
        <v>4094200</v>
      </c>
      <c r="D19" s="307"/>
      <c r="E19" s="314">
        <v>2085982</v>
      </c>
      <c r="F19" s="315"/>
      <c r="G19" s="286">
        <v>2104958</v>
      </c>
      <c r="H19" s="285"/>
      <c r="I19" s="316">
        <v>2281053</v>
      </c>
      <c r="J19" s="315"/>
      <c r="K19" s="316">
        <v>2330254</v>
      </c>
      <c r="L19" s="315"/>
      <c r="M19" s="286">
        <v>1521750</v>
      </c>
      <c r="N19" s="285"/>
      <c r="O19" s="286">
        <v>1490069</v>
      </c>
      <c r="P19" s="285"/>
      <c r="Q19" s="286">
        <v>1579677</v>
      </c>
      <c r="R19" s="285"/>
      <c r="S19" s="286">
        <v>1599696</v>
      </c>
      <c r="T19" s="285"/>
      <c r="U19" s="286">
        <v>1645343</v>
      </c>
      <c r="V19" s="285"/>
      <c r="W19" s="286">
        <v>2380945</v>
      </c>
      <c r="X19" s="285"/>
      <c r="Y19" s="286">
        <v>2230185</v>
      </c>
      <c r="Z19" s="285"/>
      <c r="AA19" s="286">
        <v>2405698</v>
      </c>
      <c r="AB19" s="285"/>
      <c r="AC19" s="287">
        <v>2934728</v>
      </c>
      <c r="AD19" s="144"/>
      <c r="AE19" s="191"/>
      <c r="AF19" s="150">
        <f t="shared" si="0"/>
        <v>2319379.7999999998</v>
      </c>
      <c r="AG19" s="438">
        <f t="shared" si="1"/>
        <v>0.78365726781589007</v>
      </c>
    </row>
    <row r="20" spans="1:34" ht="18.75" customHeight="1" thickBot="1" x14ac:dyDescent="0.25">
      <c r="A20" s="275" t="s">
        <v>14</v>
      </c>
      <c r="B20" s="317"/>
      <c r="C20" s="318">
        <f>SUM(C17:C19)</f>
        <v>8962162</v>
      </c>
      <c r="D20" s="319"/>
      <c r="E20" s="320">
        <f>SUM(E17:E19)</f>
        <v>7224752</v>
      </c>
      <c r="F20" s="321"/>
      <c r="G20" s="290">
        <f>SUM(G17:G19)</f>
        <v>7412820</v>
      </c>
      <c r="H20" s="289"/>
      <c r="I20" s="322">
        <f>SUM(I17:I19)</f>
        <v>8067265</v>
      </c>
      <c r="J20" s="321"/>
      <c r="K20" s="322">
        <f>SUM(K17:K19)</f>
        <v>8330489</v>
      </c>
      <c r="L20" s="321"/>
      <c r="M20" s="290">
        <f>SUM(M17:M19)</f>
        <v>7650168</v>
      </c>
      <c r="N20" s="289"/>
      <c r="O20" s="290">
        <f>SUM(O17:O19)</f>
        <v>7166201</v>
      </c>
      <c r="P20" s="289"/>
      <c r="Q20" s="290">
        <f>SUM(Q17:Q19)</f>
        <v>7450950</v>
      </c>
      <c r="R20" s="289"/>
      <c r="S20" s="290">
        <f>SUM(S17:S19)</f>
        <v>7667347</v>
      </c>
      <c r="T20" s="289"/>
      <c r="U20" s="290">
        <f>SUM(U17:U19)</f>
        <v>7890554</v>
      </c>
      <c r="V20" s="289"/>
      <c r="W20" s="290">
        <f>SUM(W17:W19)</f>
        <v>8716782</v>
      </c>
      <c r="X20" s="289"/>
      <c r="Y20" s="290">
        <f>SUM(Y17:Y19)</f>
        <v>8752711</v>
      </c>
      <c r="Z20" s="289"/>
      <c r="AA20" s="290">
        <f>SUM(AA17:AA19)</f>
        <v>8937384</v>
      </c>
      <c r="AB20" s="289"/>
      <c r="AC20" s="291">
        <f>SUM(AC17:AC19)</f>
        <v>8681940</v>
      </c>
      <c r="AD20" s="144"/>
      <c r="AE20" s="273"/>
      <c r="AF20" s="274">
        <f t="shared" si="0"/>
        <v>8595874.1999999993</v>
      </c>
      <c r="AG20" s="445">
        <f t="shared" si="1"/>
        <v>0.10029536582602439</v>
      </c>
    </row>
    <row r="21" spans="1:34" ht="18.75" customHeight="1" thickBot="1" x14ac:dyDescent="0.25">
      <c r="A21" s="515" t="s">
        <v>15</v>
      </c>
      <c r="B21" s="547"/>
      <c r="C21" s="86">
        <f>SUM(C15,C20)</f>
        <v>11228968</v>
      </c>
      <c r="D21" s="10"/>
      <c r="E21" s="83">
        <f>SUM(E15,E20)</f>
        <v>9594083</v>
      </c>
      <c r="F21" s="548"/>
      <c r="G21" s="93">
        <f>SUM(G15,G20)</f>
        <v>9742661</v>
      </c>
      <c r="H21" s="66"/>
      <c r="I21" s="84">
        <f>SUM(I15,I20)</f>
        <v>10607341</v>
      </c>
      <c r="J21" s="548"/>
      <c r="K21" s="84">
        <f>SUM(K15,K20)</f>
        <v>10922224</v>
      </c>
      <c r="L21" s="548"/>
      <c r="M21" s="93">
        <f>SUM(M15,M20)</f>
        <v>10279729</v>
      </c>
      <c r="N21" s="66"/>
      <c r="O21" s="93">
        <f>SUM(O15,O20)</f>
        <v>9755140</v>
      </c>
      <c r="P21" s="66"/>
      <c r="Q21" s="93">
        <f>SUM(Q15,Q20)</f>
        <v>10068532</v>
      </c>
      <c r="R21" s="66"/>
      <c r="S21" s="93">
        <f>SUM(S15,S20)</f>
        <v>10397886</v>
      </c>
      <c r="T21" s="66"/>
      <c r="U21" s="93">
        <f>SUM(U15,U20)</f>
        <v>10780402</v>
      </c>
      <c r="V21" s="66"/>
      <c r="W21" s="93">
        <f>SUM(W15,W20)</f>
        <v>12015545</v>
      </c>
      <c r="X21" s="66"/>
      <c r="Y21" s="93">
        <f>SUM(Y15,Y20)</f>
        <v>12304780</v>
      </c>
      <c r="Z21" s="66"/>
      <c r="AA21" s="93">
        <f>SUM(AA15,AA20)</f>
        <v>12569622</v>
      </c>
      <c r="AB21" s="66"/>
      <c r="AC21" s="220">
        <f>SUM(AC15,AC20)</f>
        <v>12397879</v>
      </c>
      <c r="AD21" s="144"/>
      <c r="AE21" s="504"/>
      <c r="AF21" s="535">
        <f t="shared" si="0"/>
        <v>12013645.6</v>
      </c>
      <c r="AG21" s="492">
        <f t="shared" si="1"/>
        <v>0.1500386534750745</v>
      </c>
    </row>
    <row r="22" spans="1:34" ht="18" customHeight="1" x14ac:dyDescent="0.2">
      <c r="A22" s="494" t="s">
        <v>40</v>
      </c>
      <c r="B22" s="808"/>
      <c r="C22" s="809"/>
      <c r="D22" s="810"/>
      <c r="E22" s="810"/>
      <c r="F22" s="783"/>
      <c r="G22" s="784"/>
      <c r="H22" s="787"/>
      <c r="I22" s="787"/>
      <c r="J22" s="783"/>
      <c r="K22" s="787"/>
      <c r="L22" s="783"/>
      <c r="M22" s="784"/>
      <c r="N22" s="811"/>
      <c r="O22" s="812"/>
      <c r="P22" s="811"/>
      <c r="Q22" s="812"/>
      <c r="R22" s="811"/>
      <c r="S22" s="812"/>
      <c r="T22" s="811"/>
      <c r="U22" s="812"/>
      <c r="V22" s="811"/>
      <c r="W22" s="812"/>
      <c r="X22" s="811"/>
      <c r="Y22" s="812"/>
      <c r="Z22" s="811"/>
      <c r="AA22" s="812"/>
      <c r="AB22" s="811"/>
      <c r="AC22" s="820"/>
      <c r="AD22" s="144"/>
      <c r="AE22" s="779"/>
      <c r="AF22" s="821"/>
      <c r="AG22" s="449"/>
    </row>
    <row r="23" spans="1:34" ht="15" customHeight="1" x14ac:dyDescent="0.2">
      <c r="A23" s="182" t="s">
        <v>42</v>
      </c>
      <c r="B23" s="35"/>
      <c r="C23" s="36">
        <f>2180751+89025</f>
        <v>2269776</v>
      </c>
      <c r="D23" s="8"/>
      <c r="E23" s="544">
        <f>2440992</f>
        <v>2440992</v>
      </c>
      <c r="F23" s="69"/>
      <c r="G23" s="549">
        <v>2357599</v>
      </c>
      <c r="H23" s="91"/>
      <c r="I23" s="148">
        <v>2483280.14</v>
      </c>
      <c r="J23" s="69"/>
      <c r="K23" s="148">
        <v>2587830</v>
      </c>
      <c r="L23" s="69"/>
      <c r="M23" s="176">
        <v>2471554</v>
      </c>
      <c r="N23" s="94"/>
      <c r="O23" s="616">
        <v>2544427</v>
      </c>
      <c r="P23" s="94"/>
      <c r="Q23" s="616">
        <v>2495272</v>
      </c>
      <c r="R23" s="94"/>
      <c r="S23" s="616">
        <v>2655566</v>
      </c>
      <c r="T23" s="94"/>
      <c r="U23" s="616">
        <v>3016083</v>
      </c>
      <c r="V23" s="94"/>
      <c r="W23" s="616">
        <v>3267034.76</v>
      </c>
      <c r="X23" s="94"/>
      <c r="Y23" s="58">
        <v>3404558</v>
      </c>
      <c r="Z23" s="94"/>
      <c r="AA23" s="58">
        <v>3414620</v>
      </c>
      <c r="AB23" s="94"/>
      <c r="AC23" s="690"/>
      <c r="AD23" s="144"/>
      <c r="AE23" s="152"/>
      <c r="AF23" s="150">
        <f>AVERAGE(U23,S23,AA23,W23,Y23)</f>
        <v>3151572.352</v>
      </c>
      <c r="AG23" s="438">
        <f>+(AA23-S23)/S23</f>
        <v>0.2858351101045879</v>
      </c>
    </row>
    <row r="24" spans="1:34" ht="15" customHeight="1" x14ac:dyDescent="0.2">
      <c r="A24" s="182" t="s">
        <v>39</v>
      </c>
      <c r="B24" s="49"/>
      <c r="C24" s="47"/>
      <c r="D24" s="3"/>
      <c r="E24" s="89"/>
      <c r="F24" s="30"/>
      <c r="G24" s="312">
        <f>9470708.85+290470.11</f>
        <v>9761178.959999999</v>
      </c>
      <c r="H24" s="3"/>
      <c r="I24" s="89">
        <f>607099.22+10531994.37</f>
        <v>11139093.59</v>
      </c>
      <c r="J24" s="30"/>
      <c r="K24" s="128">
        <f>776985.91+12497129.65</f>
        <v>13274115.560000001</v>
      </c>
      <c r="L24" s="3"/>
      <c r="M24" s="89">
        <f>162114.24+11933151.78</f>
        <v>12095266.02</v>
      </c>
      <c r="N24" s="43"/>
      <c r="O24" s="689">
        <f>463172.43+10733784.09</f>
        <v>11196956.52</v>
      </c>
      <c r="P24" s="4"/>
      <c r="Q24" s="697">
        <f>11379700.81+585310.67</f>
        <v>11965011.48</v>
      </c>
      <c r="R24" s="43"/>
      <c r="S24" s="689">
        <f>12232357.27+579023.46</f>
        <v>12811380.73</v>
      </c>
      <c r="T24" s="4"/>
      <c r="U24" s="697">
        <f>14229593.16+678937.31</f>
        <v>14908530.470000001</v>
      </c>
      <c r="V24" s="43"/>
      <c r="W24" s="689">
        <f>626115.79+13510700</f>
        <v>14136815.789999999</v>
      </c>
      <c r="X24" s="26"/>
      <c r="Y24" s="698">
        <f>13942184+456172</f>
        <v>14398356</v>
      </c>
      <c r="Z24" s="26"/>
      <c r="AA24" s="698">
        <f>14302988+535794</f>
        <v>14838782</v>
      </c>
      <c r="AB24" s="26"/>
      <c r="AC24" s="690"/>
      <c r="AD24" s="144"/>
      <c r="AE24" s="85"/>
      <c r="AF24" s="150">
        <f t="shared" ref="AF24:AF25" si="2">AVERAGE(U24,S24,AA24,W24,Y24)</f>
        <v>14218772.998000002</v>
      </c>
      <c r="AG24" s="438">
        <f t="shared" ref="AG24:AG25" si="3">+(AA24-S24)/S24</f>
        <v>0.15825002103422769</v>
      </c>
    </row>
    <row r="25" spans="1:34" ht="15" customHeight="1" thickBot="1" x14ac:dyDescent="0.25">
      <c r="A25" s="190" t="s">
        <v>45</v>
      </c>
      <c r="B25" s="304"/>
      <c r="C25" s="326"/>
      <c r="D25" s="331"/>
      <c r="E25" s="332"/>
      <c r="F25" s="304"/>
      <c r="G25" s="326">
        <f>1830024.84+30904.27</f>
        <v>1860929.11</v>
      </c>
      <c r="H25" s="304"/>
      <c r="I25" s="326">
        <f>1875732.16+44094.83</f>
        <v>1919826.99</v>
      </c>
      <c r="J25" s="304"/>
      <c r="K25" s="326">
        <f>1995455.7+45640.66</f>
        <v>2041096.3599999999</v>
      </c>
      <c r="L25" s="304"/>
      <c r="M25" s="326">
        <f>1788358.92+45811.52</f>
        <v>1834170.44</v>
      </c>
      <c r="N25" s="622"/>
      <c r="O25" s="700">
        <f>2013304.69+46411.69</f>
        <v>2059716.38</v>
      </c>
      <c r="P25" s="622"/>
      <c r="Q25" s="700">
        <f>2009523.07+46029.13</f>
        <v>2055552.2</v>
      </c>
      <c r="R25" s="622"/>
      <c r="S25" s="700">
        <f>2066427.16+46945.14</f>
        <v>2113372.2999999998</v>
      </c>
      <c r="T25" s="622"/>
      <c r="U25" s="700">
        <f>2208920.36</f>
        <v>2208920.36</v>
      </c>
      <c r="V25" s="622"/>
      <c r="W25" s="700">
        <f>2115230.14+47386.31</f>
        <v>2162616.4500000002</v>
      </c>
      <c r="X25" s="623"/>
      <c r="Y25" s="701">
        <f>2042991+42676</f>
        <v>2085667</v>
      </c>
      <c r="Z25" s="623"/>
      <c r="AA25" s="701">
        <f>2054315+40931</f>
        <v>2095246</v>
      </c>
      <c r="AB25" s="623"/>
      <c r="AC25" s="702"/>
      <c r="AD25" s="10"/>
      <c r="AE25" s="145"/>
      <c r="AF25" s="150">
        <f t="shared" si="2"/>
        <v>2133164.4219999998</v>
      </c>
      <c r="AG25" s="563">
        <f t="shared" si="3"/>
        <v>-8.5769554185979521E-3</v>
      </c>
    </row>
    <row r="26" spans="1:34" ht="18" customHeight="1" thickTop="1" x14ac:dyDescent="0.2">
      <c r="A26" s="598" t="s">
        <v>58</v>
      </c>
      <c r="B26" s="558" t="s">
        <v>20</v>
      </c>
      <c r="C26" s="486" t="s">
        <v>21</v>
      </c>
      <c r="D26" s="487" t="s">
        <v>20</v>
      </c>
      <c r="E26" s="554" t="s">
        <v>21</v>
      </c>
      <c r="F26" s="476" t="s">
        <v>20</v>
      </c>
      <c r="G26" s="479" t="s">
        <v>21</v>
      </c>
      <c r="H26" s="472" t="s">
        <v>20</v>
      </c>
      <c r="I26" s="550" t="s">
        <v>21</v>
      </c>
      <c r="J26" s="476" t="s">
        <v>20</v>
      </c>
      <c r="K26" s="550" t="s">
        <v>21</v>
      </c>
      <c r="L26" s="476" t="s">
        <v>20</v>
      </c>
      <c r="M26" s="479" t="s">
        <v>21</v>
      </c>
      <c r="N26" s="642" t="s">
        <v>20</v>
      </c>
      <c r="O26" s="643" t="s">
        <v>21</v>
      </c>
      <c r="P26" s="703" t="s">
        <v>20</v>
      </c>
      <c r="Q26" s="643" t="s">
        <v>21</v>
      </c>
      <c r="R26" s="642" t="s">
        <v>20</v>
      </c>
      <c r="S26" s="643" t="s">
        <v>21</v>
      </c>
      <c r="T26" s="642" t="s">
        <v>20</v>
      </c>
      <c r="U26" s="643" t="s">
        <v>21</v>
      </c>
      <c r="V26" s="642" t="s">
        <v>20</v>
      </c>
      <c r="W26" s="643" t="s">
        <v>21</v>
      </c>
      <c r="X26" s="642" t="s">
        <v>20</v>
      </c>
      <c r="Y26" s="643" t="s">
        <v>21</v>
      </c>
      <c r="Z26" s="642" t="s">
        <v>20</v>
      </c>
      <c r="AA26" s="643" t="s">
        <v>21</v>
      </c>
      <c r="AB26" s="642" t="s">
        <v>20</v>
      </c>
      <c r="AC26" s="613" t="s">
        <v>21</v>
      </c>
      <c r="AD26" s="173"/>
      <c r="AE26" s="481" t="s">
        <v>20</v>
      </c>
      <c r="AF26" s="480" t="s">
        <v>21</v>
      </c>
      <c r="AG26" s="482" t="s">
        <v>54</v>
      </c>
      <c r="AH26" s="1" t="s">
        <v>4</v>
      </c>
    </row>
    <row r="27" spans="1:34" ht="15" customHeight="1" x14ac:dyDescent="0.2">
      <c r="A27" s="23" t="s">
        <v>56</v>
      </c>
      <c r="B27" s="166">
        <v>35</v>
      </c>
      <c r="C27" s="559">
        <v>1655291.75</v>
      </c>
      <c r="D27" s="555">
        <v>42</v>
      </c>
      <c r="E27" s="556">
        <v>2847528.93</v>
      </c>
      <c r="F27" s="168">
        <v>34</v>
      </c>
      <c r="G27" s="467">
        <v>2824491</v>
      </c>
      <c r="H27" s="222">
        <v>66</v>
      </c>
      <c r="I27" s="553">
        <v>18126757.030000001</v>
      </c>
      <c r="J27" s="222">
        <v>57</v>
      </c>
      <c r="K27" s="551">
        <v>3018291</v>
      </c>
      <c r="L27" s="165">
        <v>40</v>
      </c>
      <c r="M27" s="221">
        <v>1540915</v>
      </c>
      <c r="N27" s="627">
        <v>30</v>
      </c>
      <c r="O27" s="625">
        <v>1439671</v>
      </c>
      <c r="P27" s="627">
        <v>45</v>
      </c>
      <c r="Q27" s="625">
        <v>9534145</v>
      </c>
      <c r="R27" s="627">
        <v>39</v>
      </c>
      <c r="S27" s="625">
        <v>2291365</v>
      </c>
      <c r="T27" s="627">
        <f>62</f>
        <v>62</v>
      </c>
      <c r="U27" s="625">
        <v>4622535</v>
      </c>
      <c r="V27" s="627">
        <v>61</v>
      </c>
      <c r="W27" s="625">
        <v>3455132</v>
      </c>
      <c r="X27" s="627">
        <v>53</v>
      </c>
      <c r="Y27" s="625">
        <v>3205125</v>
      </c>
      <c r="Z27" s="627">
        <v>64</v>
      </c>
      <c r="AA27" s="625">
        <v>2739722</v>
      </c>
      <c r="AB27" s="692"/>
      <c r="AC27" s="648"/>
      <c r="AD27" s="144"/>
      <c r="AE27" s="469">
        <f>AVERAGE(V27,T27,R27,Z27,X27)</f>
        <v>55.8</v>
      </c>
      <c r="AF27" s="150">
        <f t="shared" ref="AF27:AF28" si="4">AVERAGE(W27,U27,AA27,S27,Y27)</f>
        <v>3262775.8</v>
      </c>
      <c r="AG27" s="562">
        <f t="shared" ref="AG27:AG28" si="5">+(AA27-S27)/S27</f>
        <v>0.19567244851867774</v>
      </c>
    </row>
    <row r="28" spans="1:34" ht="15" customHeight="1" thickBot="1" x14ac:dyDescent="0.25">
      <c r="A28" s="78" t="s">
        <v>57</v>
      </c>
      <c r="B28" s="560">
        <v>27</v>
      </c>
      <c r="C28" s="561">
        <v>1300851</v>
      </c>
      <c r="D28" s="463">
        <v>25</v>
      </c>
      <c r="E28" s="557">
        <v>1568014</v>
      </c>
      <c r="F28" s="348">
        <v>27</v>
      </c>
      <c r="G28" s="350">
        <v>1707054</v>
      </c>
      <c r="H28" s="464">
        <v>74</v>
      </c>
      <c r="I28" s="350">
        <v>2988255</v>
      </c>
      <c r="J28" s="464">
        <v>50</v>
      </c>
      <c r="K28" s="552">
        <v>2855594</v>
      </c>
      <c r="L28" s="348">
        <v>40</v>
      </c>
      <c r="M28" s="351">
        <v>1882156</v>
      </c>
      <c r="N28" s="628">
        <v>29</v>
      </c>
      <c r="O28" s="626">
        <v>1327458</v>
      </c>
      <c r="P28" s="628">
        <v>37</v>
      </c>
      <c r="Q28" s="626">
        <v>2425820</v>
      </c>
      <c r="R28" s="628">
        <v>27</v>
      </c>
      <c r="S28" s="626">
        <v>1463992</v>
      </c>
      <c r="T28" s="628">
        <f>35</f>
        <v>35</v>
      </c>
      <c r="U28" s="626">
        <v>3264082</v>
      </c>
      <c r="V28" s="628">
        <v>48</v>
      </c>
      <c r="W28" s="626">
        <v>4160941</v>
      </c>
      <c r="X28" s="628">
        <v>52</v>
      </c>
      <c r="Y28" s="626">
        <v>2330114</v>
      </c>
      <c r="Z28" s="628">
        <v>79</v>
      </c>
      <c r="AA28" s="626">
        <v>3124814</v>
      </c>
      <c r="AB28" s="693"/>
      <c r="AC28" s="652"/>
      <c r="AD28" s="144"/>
      <c r="AE28" s="471">
        <f>AVERAGE(V28,T28,R28,Z28,X28)</f>
        <v>48.2</v>
      </c>
      <c r="AF28" s="150">
        <f t="shared" si="4"/>
        <v>2868788.6</v>
      </c>
      <c r="AG28" s="484">
        <f t="shared" si="5"/>
        <v>1.1344474559970272</v>
      </c>
    </row>
    <row r="29" spans="1:34" ht="18" customHeight="1" thickTop="1" x14ac:dyDescent="0.2">
      <c r="A29" s="112" t="s">
        <v>17</v>
      </c>
      <c r="B29" s="814"/>
      <c r="C29" s="815"/>
      <c r="D29" s="816"/>
      <c r="E29" s="816"/>
      <c r="F29" s="813"/>
      <c r="G29" s="799"/>
      <c r="H29" s="798"/>
      <c r="I29" s="798"/>
      <c r="J29" s="813"/>
      <c r="K29" s="798"/>
      <c r="L29" s="813"/>
      <c r="M29" s="799"/>
      <c r="N29" s="785"/>
      <c r="O29" s="786"/>
      <c r="P29" s="785"/>
      <c r="Q29" s="786"/>
      <c r="R29" s="785"/>
      <c r="S29" s="786"/>
      <c r="T29" s="785"/>
      <c r="U29" s="786"/>
      <c r="V29" s="785"/>
      <c r="W29" s="786"/>
      <c r="X29" s="785"/>
      <c r="Y29" s="786"/>
      <c r="Z29" s="785"/>
      <c r="AA29" s="786"/>
      <c r="AB29" s="785"/>
      <c r="AC29" s="789"/>
      <c r="AD29" s="144"/>
      <c r="AE29" s="822"/>
      <c r="AF29" s="823"/>
      <c r="AG29" s="441"/>
    </row>
    <row r="30" spans="1:34" ht="15" customHeight="1" x14ac:dyDescent="0.2">
      <c r="A30" s="189" t="s">
        <v>18</v>
      </c>
      <c r="B30" s="35"/>
      <c r="C30" s="41">
        <f>34277.38+1509928.5</f>
        <v>1544205.88</v>
      </c>
      <c r="D30" s="9"/>
      <c r="E30" s="118">
        <f>85680.38+493092.15</f>
        <v>578772.53</v>
      </c>
      <c r="F30" s="72"/>
      <c r="G30" s="129">
        <f>474174.07+379178.86</f>
        <v>853352.92999999993</v>
      </c>
      <c r="H30" s="95"/>
      <c r="I30" s="119">
        <f>136205.36+755149.17</f>
        <v>891354.53</v>
      </c>
      <c r="J30" s="72"/>
      <c r="K30" s="121">
        <f>319337.44+1564556.87</f>
        <v>1883894.31</v>
      </c>
      <c r="L30" s="72"/>
      <c r="M30" s="179">
        <f>148727+902875</f>
        <v>1051602</v>
      </c>
      <c r="N30" s="94"/>
      <c r="O30" s="629">
        <f>257910+1176944</f>
        <v>1434854</v>
      </c>
      <c r="P30" s="94"/>
      <c r="Q30" s="629">
        <f>232612.17+701638.87</f>
        <v>934251.04</v>
      </c>
      <c r="R30" s="94"/>
      <c r="S30" s="629">
        <f>248130+1783553.6</f>
        <v>2031683.6</v>
      </c>
      <c r="T30" s="94"/>
      <c r="U30" s="629">
        <f>1225807.19+90721.22</f>
        <v>1316528.4099999999</v>
      </c>
      <c r="V30" s="94"/>
      <c r="W30" s="629">
        <f>161739.91+928721.42</f>
        <v>1090461.33</v>
      </c>
      <c r="X30" s="94"/>
      <c r="Y30" s="629">
        <f>302264.52+336628.12</f>
        <v>638892.64</v>
      </c>
      <c r="Z30" s="94"/>
      <c r="AA30" s="629">
        <v>617918.84</v>
      </c>
      <c r="AB30" s="94"/>
      <c r="AC30" s="687"/>
      <c r="AD30" s="144"/>
      <c r="AE30" s="85"/>
      <c r="AF30" s="150">
        <f t="shared" ref="AF30:AF31" si="6">AVERAGE(W30,U30,AA30,S30,Y30)</f>
        <v>1139096.9639999999</v>
      </c>
      <c r="AG30" s="483">
        <f t="shared" ref="AG30:AG31" si="7">+(AA30-S30)/S30</f>
        <v>-0.69585872524639181</v>
      </c>
    </row>
    <row r="31" spans="1:34" ht="15" customHeight="1" thickBot="1" x14ac:dyDescent="0.25">
      <c r="A31" s="190" t="s">
        <v>19</v>
      </c>
      <c r="B31" s="37"/>
      <c r="C31" s="42">
        <v>568220.72</v>
      </c>
      <c r="D31" s="6"/>
      <c r="E31" s="79">
        <v>622841.39</v>
      </c>
      <c r="F31" s="73"/>
      <c r="G31" s="79">
        <v>651242.18000000005</v>
      </c>
      <c r="H31" s="73"/>
      <c r="I31" s="120">
        <v>756169.14</v>
      </c>
      <c r="J31" s="73"/>
      <c r="K31" s="139">
        <v>728614.18</v>
      </c>
      <c r="L31" s="73"/>
      <c r="M31" s="120">
        <v>564664.18999999994</v>
      </c>
      <c r="N31" s="631"/>
      <c r="O31" s="704">
        <v>606666</v>
      </c>
      <c r="P31" s="631"/>
      <c r="Q31" s="704">
        <v>653886.44999999995</v>
      </c>
      <c r="R31" s="631"/>
      <c r="S31" s="704">
        <v>600373.94999999995</v>
      </c>
      <c r="T31" s="631"/>
      <c r="U31" s="704">
        <v>636034.16</v>
      </c>
      <c r="V31" s="631"/>
      <c r="W31" s="704">
        <f>690303.93</f>
        <v>690303.93</v>
      </c>
      <c r="X31" s="631"/>
      <c r="Y31" s="704">
        <v>674824.31</v>
      </c>
      <c r="Z31" s="631"/>
      <c r="AA31" s="705">
        <v>590108</v>
      </c>
      <c r="AB31" s="706"/>
      <c r="AC31" s="707"/>
      <c r="AE31" s="145"/>
      <c r="AF31" s="590">
        <f t="shared" si="6"/>
        <v>638328.87</v>
      </c>
      <c r="AG31" s="484">
        <f t="shared" si="7"/>
        <v>-1.709925955315009E-2</v>
      </c>
    </row>
    <row r="32" spans="1:34" s="10" customFormat="1" ht="35.25" customHeight="1" thickTop="1" x14ac:dyDescent="0.2">
      <c r="A32" s="596" t="s">
        <v>47</v>
      </c>
      <c r="B32" s="11"/>
      <c r="C32" s="17"/>
      <c r="D32" s="11"/>
      <c r="E32" s="12"/>
      <c r="F32" s="67"/>
      <c r="G32" s="63"/>
      <c r="H32" s="67"/>
      <c r="I32" s="63"/>
      <c r="J32" s="67"/>
      <c r="K32" s="63"/>
      <c r="L32" s="67"/>
      <c r="M32" s="63"/>
      <c r="N32" s="67"/>
      <c r="O32" s="63"/>
      <c r="P32" s="67"/>
      <c r="Q32" s="63"/>
      <c r="R32" s="67"/>
      <c r="S32" s="63"/>
      <c r="T32" s="67"/>
      <c r="U32" s="63"/>
      <c r="V32" s="67"/>
      <c r="W32" s="63"/>
      <c r="X32" s="67"/>
      <c r="Y32" s="63"/>
      <c r="Z32" s="67"/>
      <c r="AA32" s="63"/>
      <c r="AB32" s="67"/>
      <c r="AC32" s="63"/>
      <c r="AF32" s="589"/>
      <c r="AG32" s="1"/>
    </row>
    <row r="33" spans="1:32" ht="14.25" customHeight="1" x14ac:dyDescent="0.2">
      <c r="A33" s="16"/>
      <c r="B33" s="11"/>
      <c r="C33" s="17"/>
      <c r="D33" s="11"/>
      <c r="E33" s="12"/>
      <c r="F33" s="67"/>
      <c r="G33" s="116"/>
      <c r="H33" s="117"/>
      <c r="I33" s="116"/>
      <c r="J33" s="67"/>
      <c r="K33" s="116"/>
      <c r="L33" s="67"/>
      <c r="M33" s="116"/>
      <c r="N33" s="67"/>
      <c r="O33" s="116"/>
      <c r="P33" s="67"/>
      <c r="Q33" s="116"/>
      <c r="R33" s="67"/>
      <c r="S33" s="116"/>
      <c r="T33" s="67"/>
      <c r="U33" s="116"/>
      <c r="V33" s="67"/>
      <c r="W33" s="116"/>
      <c r="X33" s="67"/>
      <c r="Y33" s="116"/>
      <c r="Z33" s="67"/>
      <c r="AA33" s="116"/>
      <c r="AB33" s="67"/>
      <c r="AC33" s="116"/>
      <c r="AE33" s="10"/>
      <c r="AF33" s="254"/>
    </row>
    <row r="34" spans="1:32" x14ac:dyDescent="0.2">
      <c r="O34" s="10"/>
      <c r="P34" s="10"/>
      <c r="R34" s="10"/>
      <c r="T34" s="10"/>
      <c r="V34" s="10"/>
      <c r="X34" s="10"/>
      <c r="Z34" s="10" t="s">
        <v>4</v>
      </c>
      <c r="AB34" s="10"/>
    </row>
  </sheetData>
  <mergeCells count="45">
    <mergeCell ref="L29:M29"/>
    <mergeCell ref="N29:O29"/>
    <mergeCell ref="B29:C29"/>
    <mergeCell ref="D29:E29"/>
    <mergeCell ref="F29:G29"/>
    <mergeCell ref="H29:I29"/>
    <mergeCell ref="J29:K29"/>
    <mergeCell ref="L22:M22"/>
    <mergeCell ref="N22:O22"/>
    <mergeCell ref="B9:C9"/>
    <mergeCell ref="H9:I9"/>
    <mergeCell ref="J9:K9"/>
    <mergeCell ref="D9:E9"/>
    <mergeCell ref="F9:G9"/>
    <mergeCell ref="B22:C22"/>
    <mergeCell ref="D22:E22"/>
    <mergeCell ref="F22:G22"/>
    <mergeCell ref="H22:I22"/>
    <mergeCell ref="J22:K22"/>
    <mergeCell ref="AE22:AF22"/>
    <mergeCell ref="AE29:AF29"/>
    <mergeCell ref="P9:Q9"/>
    <mergeCell ref="L9:M9"/>
    <mergeCell ref="N9:O9"/>
    <mergeCell ref="R9:S9"/>
    <mergeCell ref="P22:Q22"/>
    <mergeCell ref="R22:S22"/>
    <mergeCell ref="T22:U22"/>
    <mergeCell ref="V22:W22"/>
    <mergeCell ref="AE9:AF9"/>
    <mergeCell ref="T9:U9"/>
    <mergeCell ref="X9:Y9"/>
    <mergeCell ref="X22:Y22"/>
    <mergeCell ref="Z22:AA22"/>
    <mergeCell ref="Z9:AA9"/>
    <mergeCell ref="AB9:AC9"/>
    <mergeCell ref="AB22:AC22"/>
    <mergeCell ref="AB29:AC29"/>
    <mergeCell ref="P29:Q29"/>
    <mergeCell ref="R29:S29"/>
    <mergeCell ref="T29:U29"/>
    <mergeCell ref="V29:W29"/>
    <mergeCell ref="X29:Y29"/>
    <mergeCell ref="Z29:AA29"/>
    <mergeCell ref="V9:W9"/>
  </mergeCells>
  <phoneticPr fontId="0" type="noConversion"/>
  <printOptions horizontalCentered="1" verticalCentered="1"/>
  <pageMargins left="0.5" right="0.5" top="0.5" bottom="0.5" header="0.5" footer="0.25"/>
  <pageSetup scale="81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zoomScaleNormal="100" zoomScaleSheetLayoutView="70" workbookViewId="0">
      <pane xSplit="1" ySplit="7" topLeftCell="J20" activePane="bottomRight" state="frozen"/>
      <selection activeCell="N10" sqref="N10:AG31"/>
      <selection pane="topRight" activeCell="N10" sqref="N10:AG31"/>
      <selection pane="bottomLeft" activeCell="N10" sqref="N10:AG31"/>
      <selection pane="bottomRight" activeCell="N10" sqref="N10:AG31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style="62" hidden="1" customWidth="1"/>
    <col min="7" max="7" width="10.7109375" style="62" hidden="1" customWidth="1"/>
    <col min="8" max="8" width="4.7109375" style="62" hidden="1" customWidth="1"/>
    <col min="9" max="9" width="10.7109375" style="62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2.85546875" style="1" customWidth="1"/>
    <col min="31" max="31" width="4.7109375" style="1" customWidth="1"/>
    <col min="32" max="32" width="10.42578125" style="1" customWidth="1"/>
    <col min="33" max="33" width="8.5703125" style="1" customWidth="1"/>
    <col min="34" max="34" width="3.5703125" style="1" customWidth="1"/>
    <col min="35" max="16384" width="10.28515625" style="1"/>
  </cols>
  <sheetData>
    <row r="1" spans="1:33" customFormat="1" ht="15.75" x14ac:dyDescent="0.25">
      <c r="A1" s="419" t="s">
        <v>48</v>
      </c>
      <c r="AG1" s="1"/>
    </row>
    <row r="2" spans="1:33" customFormat="1" ht="15.75" x14ac:dyDescent="0.25">
      <c r="A2" s="419" t="s">
        <v>49</v>
      </c>
      <c r="AG2" s="1"/>
    </row>
    <row r="3" spans="1:33" customFormat="1" ht="6" customHeight="1" x14ac:dyDescent="0.25">
      <c r="A3" s="419"/>
      <c r="AG3" s="1"/>
    </row>
    <row r="4" spans="1:33" customFormat="1" ht="15.75" x14ac:dyDescent="0.25">
      <c r="A4" s="420" t="s">
        <v>41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AG4" s="1"/>
    </row>
    <row r="5" spans="1:33" customFormat="1" ht="5.25" customHeight="1" x14ac:dyDescent="0.25">
      <c r="A5" s="420"/>
      <c r="AG5" s="1"/>
    </row>
    <row r="6" spans="1:33" customFormat="1" ht="25.5" x14ac:dyDescent="0.2">
      <c r="A6" s="443" t="s">
        <v>52</v>
      </c>
      <c r="AG6" s="1"/>
    </row>
    <row r="7" spans="1:33" customFormat="1" x14ac:dyDescent="0.2">
      <c r="A7" s="7">
        <v>3670010055</v>
      </c>
      <c r="AG7" s="1"/>
    </row>
    <row r="8" spans="1:33" thickBot="1" x14ac:dyDescent="0.25">
      <c r="A8" s="16"/>
      <c r="B8" s="10"/>
      <c r="C8" s="10"/>
      <c r="D8" s="10"/>
      <c r="E8" s="10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E8" s="10"/>
      <c r="AF8" s="10"/>
    </row>
    <row r="9" spans="1:33" ht="30" customHeight="1" thickTop="1" thickBot="1" x14ac:dyDescent="0.25">
      <c r="A9" s="198"/>
      <c r="B9" s="803" t="s">
        <v>7</v>
      </c>
      <c r="C9" s="797"/>
      <c r="D9" s="796" t="s">
        <v>8</v>
      </c>
      <c r="E9" s="796"/>
      <c r="F9" s="794" t="s">
        <v>22</v>
      </c>
      <c r="G9" s="793"/>
      <c r="H9" s="792" t="s">
        <v>24</v>
      </c>
      <c r="I9" s="792"/>
      <c r="J9" s="794" t="s">
        <v>25</v>
      </c>
      <c r="K9" s="792"/>
      <c r="L9" s="794" t="s">
        <v>26</v>
      </c>
      <c r="M9" s="793"/>
      <c r="N9" s="792" t="s">
        <v>28</v>
      </c>
      <c r="O9" s="793"/>
      <c r="P9" s="792" t="s">
        <v>29</v>
      </c>
      <c r="Q9" s="793"/>
      <c r="R9" s="792" t="s">
        <v>34</v>
      </c>
      <c r="S9" s="793"/>
      <c r="T9" s="792" t="s">
        <v>35</v>
      </c>
      <c r="U9" s="793"/>
      <c r="V9" s="792" t="s">
        <v>36</v>
      </c>
      <c r="W9" s="793"/>
      <c r="X9" s="792" t="s">
        <v>37</v>
      </c>
      <c r="Y9" s="793"/>
      <c r="Z9" s="792" t="s">
        <v>38</v>
      </c>
      <c r="AA9" s="793"/>
      <c r="AB9" s="792" t="s">
        <v>60</v>
      </c>
      <c r="AC9" s="795"/>
      <c r="AE9" s="806" t="s">
        <v>27</v>
      </c>
      <c r="AF9" s="807"/>
      <c r="AG9" s="435" t="s">
        <v>43</v>
      </c>
    </row>
    <row r="10" spans="1:33" ht="18" customHeight="1" x14ac:dyDescent="0.2">
      <c r="A10" s="206" t="s">
        <v>9</v>
      </c>
      <c r="B10" s="429"/>
      <c r="C10" s="430"/>
      <c r="D10" s="7"/>
      <c r="E10" s="7"/>
      <c r="F10" s="431"/>
      <c r="G10" s="432"/>
      <c r="H10" s="433"/>
      <c r="I10" s="433"/>
      <c r="J10" s="431"/>
      <c r="K10" s="433"/>
      <c r="L10" s="431"/>
      <c r="M10" s="432"/>
      <c r="N10" s="433"/>
      <c r="O10" s="432"/>
      <c r="P10" s="433"/>
      <c r="Q10" s="432"/>
      <c r="R10" s="433"/>
      <c r="S10" s="432"/>
      <c r="T10" s="433"/>
      <c r="U10" s="432"/>
      <c r="V10" s="433"/>
      <c r="W10" s="432"/>
      <c r="X10" s="433"/>
      <c r="Y10" s="432"/>
      <c r="Z10" s="433"/>
      <c r="AA10" s="432"/>
      <c r="AB10" s="433"/>
      <c r="AC10" s="434"/>
      <c r="AE10" s="442"/>
      <c r="AF10" s="446"/>
      <c r="AG10" s="436"/>
    </row>
    <row r="11" spans="1:33" ht="15" customHeight="1" x14ac:dyDescent="0.2">
      <c r="A11" s="181" t="s">
        <v>10</v>
      </c>
      <c r="B11" s="30"/>
      <c r="C11" s="372"/>
      <c r="D11" s="373"/>
      <c r="E11" s="373"/>
      <c r="F11" s="374"/>
      <c r="G11" s="101"/>
      <c r="H11" s="88"/>
      <c r="I11" s="88"/>
      <c r="J11" s="374"/>
      <c r="K11" s="88"/>
      <c r="L11" s="374"/>
      <c r="M11" s="101"/>
      <c r="N11" s="26"/>
      <c r="O11" s="58"/>
      <c r="P11" s="26"/>
      <c r="Q11" s="58"/>
      <c r="R11" s="26"/>
      <c r="S11" s="58"/>
      <c r="T11" s="26"/>
      <c r="U11" s="58"/>
      <c r="V11" s="26"/>
      <c r="W11" s="58"/>
      <c r="X11" s="26"/>
      <c r="Y11" s="58"/>
      <c r="Z11" s="26"/>
      <c r="AA11" s="58"/>
      <c r="AB11" s="26"/>
      <c r="AC11" s="65"/>
      <c r="AD11" s="673"/>
      <c r="AE11" s="603"/>
      <c r="AF11" s="604"/>
      <c r="AG11" s="437"/>
    </row>
    <row r="12" spans="1:33" ht="15" customHeight="1" x14ac:dyDescent="0.2">
      <c r="A12" s="182" t="s">
        <v>11</v>
      </c>
      <c r="B12" s="29"/>
      <c r="C12" s="378">
        <v>18349</v>
      </c>
      <c r="D12" s="284"/>
      <c r="E12" s="377">
        <v>90305</v>
      </c>
      <c r="F12" s="170"/>
      <c r="G12" s="378">
        <v>163382</v>
      </c>
      <c r="H12" s="192"/>
      <c r="I12" s="379">
        <v>153910</v>
      </c>
      <c r="J12" s="170"/>
      <c r="K12" s="379">
        <v>159695</v>
      </c>
      <c r="L12" s="170"/>
      <c r="M12" s="378">
        <v>383713</v>
      </c>
      <c r="N12" s="94"/>
      <c r="O12" s="98">
        <v>370102</v>
      </c>
      <c r="P12" s="94"/>
      <c r="Q12" s="98">
        <v>373164</v>
      </c>
      <c r="R12" s="94"/>
      <c r="S12" s="98">
        <v>465825</v>
      </c>
      <c r="T12" s="94"/>
      <c r="U12" s="98">
        <v>480135</v>
      </c>
      <c r="V12" s="94"/>
      <c r="W12" s="98">
        <v>501036</v>
      </c>
      <c r="X12" s="94"/>
      <c r="Y12" s="98">
        <v>544940</v>
      </c>
      <c r="Z12" s="94"/>
      <c r="AA12" s="98">
        <v>511686</v>
      </c>
      <c r="AB12" s="94"/>
      <c r="AC12" s="217">
        <v>509031</v>
      </c>
      <c r="AD12" s="634"/>
      <c r="AE12" s="605"/>
      <c r="AF12" s="523">
        <f>AVERAGE(U12,AC12,Y12,W12,AA12)</f>
        <v>509365.6</v>
      </c>
      <c r="AG12" s="438">
        <f>+(AC12-U12)/U12</f>
        <v>6.0183073510575148E-2</v>
      </c>
    </row>
    <row r="13" spans="1:33" ht="15" customHeight="1" x14ac:dyDescent="0.2">
      <c r="A13" s="182" t="s">
        <v>30</v>
      </c>
      <c r="B13" s="29"/>
      <c r="C13" s="378"/>
      <c r="D13" s="284"/>
      <c r="E13" s="377"/>
      <c r="F13" s="170"/>
      <c r="G13" s="378"/>
      <c r="H13" s="192"/>
      <c r="I13" s="379"/>
      <c r="J13" s="170"/>
      <c r="K13" s="379"/>
      <c r="L13" s="170"/>
      <c r="M13" s="378"/>
      <c r="N13" s="94"/>
      <c r="O13" s="98"/>
      <c r="P13" s="94"/>
      <c r="Q13" s="98"/>
      <c r="R13" s="94"/>
      <c r="S13" s="98"/>
      <c r="T13" s="94"/>
      <c r="U13" s="98"/>
      <c r="V13" s="94"/>
      <c r="W13" s="98"/>
      <c r="X13" s="94"/>
      <c r="Y13" s="98"/>
      <c r="Z13" s="94"/>
      <c r="AA13" s="98"/>
      <c r="AB13" s="94"/>
      <c r="AC13" s="217"/>
      <c r="AD13" s="634"/>
      <c r="AE13" s="609"/>
      <c r="AF13" s="523"/>
      <c r="AG13" s="437"/>
    </row>
    <row r="14" spans="1:33" ht="30" customHeight="1" thickBot="1" x14ac:dyDescent="0.25">
      <c r="A14" s="266" t="s">
        <v>32</v>
      </c>
      <c r="B14" s="313"/>
      <c r="C14" s="381"/>
      <c r="D14" s="325"/>
      <c r="E14" s="382"/>
      <c r="F14" s="383"/>
      <c r="G14" s="384"/>
      <c r="H14" s="164"/>
      <c r="I14" s="385"/>
      <c r="J14" s="383"/>
      <c r="K14" s="385"/>
      <c r="L14" s="383"/>
      <c r="M14" s="384"/>
      <c r="N14" s="708"/>
      <c r="O14" s="709"/>
      <c r="P14" s="708"/>
      <c r="Q14" s="709"/>
      <c r="R14" s="708"/>
      <c r="S14" s="709"/>
      <c r="T14" s="258"/>
      <c r="U14" s="264">
        <v>1360503</v>
      </c>
      <c r="V14" s="258"/>
      <c r="W14" s="264">
        <v>1314423</v>
      </c>
      <c r="X14" s="258"/>
      <c r="Y14" s="264">
        <v>1333408</v>
      </c>
      <c r="Z14" s="258"/>
      <c r="AA14" s="264">
        <v>1404949</v>
      </c>
      <c r="AB14" s="258"/>
      <c r="AC14" s="265">
        <v>1676019</v>
      </c>
      <c r="AD14" s="634"/>
      <c r="AE14" s="606"/>
      <c r="AF14" s="523">
        <f t="shared" ref="AF14:AF21" si="0">AVERAGE(U14,AC14,Y14,W14,AA14)</f>
        <v>1417860.4</v>
      </c>
      <c r="AG14" s="588">
        <f t="shared" ref="AG14:AG20" si="1">+(AC14-U14)/U14</f>
        <v>0.23191128575240186</v>
      </c>
    </row>
    <row r="15" spans="1:33" ht="18.75" customHeight="1" thickBot="1" x14ac:dyDescent="0.25">
      <c r="A15" s="275" t="s">
        <v>12</v>
      </c>
      <c r="B15" s="317"/>
      <c r="C15" s="387">
        <f>SUM(C12:C14)</f>
        <v>18349</v>
      </c>
      <c r="D15" s="388"/>
      <c r="E15" s="389">
        <f>SUM(E12:E14)</f>
        <v>90305</v>
      </c>
      <c r="F15" s="390"/>
      <c r="G15" s="391">
        <f>SUM(G12:G14)</f>
        <v>163382</v>
      </c>
      <c r="H15" s="392"/>
      <c r="I15" s="393">
        <f>SUM(I12:I14)</f>
        <v>153910</v>
      </c>
      <c r="J15" s="390"/>
      <c r="K15" s="393">
        <f>SUM(K12:K14)</f>
        <v>159695</v>
      </c>
      <c r="L15" s="390"/>
      <c r="M15" s="391">
        <f>SUM(M12:M14)</f>
        <v>383713</v>
      </c>
      <c r="N15" s="271"/>
      <c r="O15" s="270">
        <f>SUM(O12:O14)</f>
        <v>370102</v>
      </c>
      <c r="P15" s="271"/>
      <c r="Q15" s="270">
        <f>SUM(Q12:Q14)</f>
        <v>373164</v>
      </c>
      <c r="R15" s="271"/>
      <c r="S15" s="270">
        <f>SUM(S12:S14)</f>
        <v>465825</v>
      </c>
      <c r="T15" s="271"/>
      <c r="U15" s="270">
        <f>SUM(U12:U14)</f>
        <v>1840638</v>
      </c>
      <c r="V15" s="271"/>
      <c r="W15" s="270">
        <f>SUM(W12:W14)</f>
        <v>1815459</v>
      </c>
      <c r="X15" s="271"/>
      <c r="Y15" s="270">
        <f>SUM(Y12:Y14)</f>
        <v>1878348</v>
      </c>
      <c r="Z15" s="271"/>
      <c r="AA15" s="270">
        <f>SUM(AA12:AA14)</f>
        <v>1916635</v>
      </c>
      <c r="AB15" s="271"/>
      <c r="AC15" s="272">
        <f>SUM(AC12:AC14)</f>
        <v>2185050</v>
      </c>
      <c r="AD15" s="634"/>
      <c r="AE15" s="660"/>
      <c r="AF15" s="608">
        <f t="shared" si="0"/>
        <v>1927226</v>
      </c>
      <c r="AG15" s="445">
        <f t="shared" si="1"/>
        <v>0.18711555449795125</v>
      </c>
    </row>
    <row r="16" spans="1:33" ht="15" customHeight="1" x14ac:dyDescent="0.2">
      <c r="A16" s="199" t="s">
        <v>13</v>
      </c>
      <c r="B16" s="29"/>
      <c r="C16" s="376"/>
      <c r="D16" s="284"/>
      <c r="E16" s="377"/>
      <c r="F16" s="170"/>
      <c r="G16" s="378"/>
      <c r="H16" s="192"/>
      <c r="I16" s="379"/>
      <c r="J16" s="170"/>
      <c r="K16" s="379"/>
      <c r="L16" s="170"/>
      <c r="M16" s="378"/>
      <c r="N16" s="94"/>
      <c r="O16" s="98"/>
      <c r="P16" s="94"/>
      <c r="Q16" s="98"/>
      <c r="R16" s="94"/>
      <c r="S16" s="98"/>
      <c r="T16" s="94"/>
      <c r="U16" s="98"/>
      <c r="V16" s="94"/>
      <c r="W16" s="98"/>
      <c r="X16" s="94"/>
      <c r="Y16" s="98"/>
      <c r="Z16" s="94"/>
      <c r="AA16" s="98"/>
      <c r="AB16" s="94"/>
      <c r="AC16" s="217"/>
      <c r="AD16" s="634"/>
      <c r="AE16" s="603"/>
      <c r="AF16" s="604"/>
      <c r="AG16" s="440"/>
    </row>
    <row r="17" spans="1:34" ht="15" customHeight="1" x14ac:dyDescent="0.2">
      <c r="A17" s="182" t="s">
        <v>11</v>
      </c>
      <c r="B17" s="30"/>
      <c r="C17" s="395">
        <v>3505903</v>
      </c>
      <c r="D17" s="373"/>
      <c r="E17" s="396">
        <v>3603655</v>
      </c>
      <c r="F17" s="374"/>
      <c r="G17" s="397">
        <v>3720544</v>
      </c>
      <c r="H17" s="88"/>
      <c r="I17" s="398">
        <v>3787626</v>
      </c>
      <c r="J17" s="374"/>
      <c r="K17" s="398">
        <v>3891799</v>
      </c>
      <c r="L17" s="374"/>
      <c r="M17" s="397">
        <v>3998295</v>
      </c>
      <c r="N17" s="26"/>
      <c r="O17" s="99">
        <v>3522084</v>
      </c>
      <c r="P17" s="26"/>
      <c r="Q17" s="99">
        <v>3578765</v>
      </c>
      <c r="R17" s="26"/>
      <c r="S17" s="99">
        <v>3663372</v>
      </c>
      <c r="T17" s="26"/>
      <c r="U17" s="99">
        <v>3861791</v>
      </c>
      <c r="V17" s="26"/>
      <c r="W17" s="99">
        <v>3821563</v>
      </c>
      <c r="X17" s="26"/>
      <c r="Y17" s="99">
        <v>3846979</v>
      </c>
      <c r="Z17" s="26"/>
      <c r="AA17" s="99">
        <v>2787418</v>
      </c>
      <c r="AB17" s="26"/>
      <c r="AC17" s="216">
        <v>2548320</v>
      </c>
      <c r="AD17" s="634"/>
      <c r="AE17" s="605"/>
      <c r="AF17" s="523">
        <f t="shared" si="0"/>
        <v>3373214.2</v>
      </c>
      <c r="AG17" s="438">
        <f t="shared" si="1"/>
        <v>-0.34011964914724802</v>
      </c>
    </row>
    <row r="18" spans="1:34" ht="15" customHeight="1" x14ac:dyDescent="0.2">
      <c r="A18" s="182" t="s">
        <v>30</v>
      </c>
      <c r="B18" s="30"/>
      <c r="C18" s="395"/>
      <c r="D18" s="373"/>
      <c r="E18" s="396"/>
      <c r="F18" s="374"/>
      <c r="G18" s="397"/>
      <c r="H18" s="88"/>
      <c r="I18" s="398"/>
      <c r="J18" s="374"/>
      <c r="K18" s="398"/>
      <c r="L18" s="374"/>
      <c r="M18" s="397"/>
      <c r="N18" s="26"/>
      <c r="O18" s="99"/>
      <c r="P18" s="26"/>
      <c r="Q18" s="99"/>
      <c r="R18" s="26"/>
      <c r="S18" s="99"/>
      <c r="T18" s="26"/>
      <c r="U18" s="99"/>
      <c r="V18" s="26"/>
      <c r="W18" s="99"/>
      <c r="X18" s="26"/>
      <c r="Y18" s="99"/>
      <c r="Z18" s="26"/>
      <c r="AA18" s="99"/>
      <c r="AB18" s="26"/>
      <c r="AC18" s="216"/>
      <c r="AD18" s="634"/>
      <c r="AE18" s="609"/>
      <c r="AF18" s="523"/>
      <c r="AG18" s="438"/>
    </row>
    <row r="19" spans="1:34" ht="30" customHeight="1" thickBot="1" x14ac:dyDescent="0.25">
      <c r="A19" s="266" t="s">
        <v>32</v>
      </c>
      <c r="B19" s="313"/>
      <c r="C19" s="381">
        <v>296686</v>
      </c>
      <c r="D19" s="325"/>
      <c r="E19" s="382">
        <v>403611</v>
      </c>
      <c r="F19" s="383"/>
      <c r="G19" s="384">
        <v>340260</v>
      </c>
      <c r="H19" s="164"/>
      <c r="I19" s="385">
        <v>350664</v>
      </c>
      <c r="J19" s="383"/>
      <c r="K19" s="385">
        <v>370669</v>
      </c>
      <c r="L19" s="383"/>
      <c r="M19" s="384">
        <v>344748</v>
      </c>
      <c r="N19" s="258"/>
      <c r="O19" s="264">
        <v>455652</v>
      </c>
      <c r="P19" s="258"/>
      <c r="Q19" s="264">
        <v>459480</v>
      </c>
      <c r="R19" s="258"/>
      <c r="S19" s="264">
        <v>560239</v>
      </c>
      <c r="T19" s="258"/>
      <c r="U19" s="264">
        <v>566642</v>
      </c>
      <c r="V19" s="258"/>
      <c r="W19" s="264">
        <v>615696</v>
      </c>
      <c r="X19" s="258"/>
      <c r="Y19" s="264">
        <v>417883</v>
      </c>
      <c r="Z19" s="258"/>
      <c r="AA19" s="264">
        <v>642195</v>
      </c>
      <c r="AB19" s="258"/>
      <c r="AC19" s="265">
        <v>488686</v>
      </c>
      <c r="AD19" s="634"/>
      <c r="AE19" s="606"/>
      <c r="AF19" s="523">
        <f t="shared" si="0"/>
        <v>546220.4</v>
      </c>
      <c r="AG19" s="439">
        <f t="shared" si="1"/>
        <v>-0.13757540034095603</v>
      </c>
    </row>
    <row r="20" spans="1:34" ht="18.75" customHeight="1" thickBot="1" x14ac:dyDescent="0.25">
      <c r="A20" s="275" t="s">
        <v>14</v>
      </c>
      <c r="B20" s="317"/>
      <c r="C20" s="387">
        <f>SUM(C17:C19)</f>
        <v>3802589</v>
      </c>
      <c r="D20" s="388"/>
      <c r="E20" s="389">
        <f>SUM(E17:E19)</f>
        <v>4007266</v>
      </c>
      <c r="F20" s="390"/>
      <c r="G20" s="391">
        <f>SUM(G17:G19)</f>
        <v>4060804</v>
      </c>
      <c r="H20" s="392"/>
      <c r="I20" s="393">
        <f>SUM(I17:I19)</f>
        <v>4138290</v>
      </c>
      <c r="J20" s="390"/>
      <c r="K20" s="393">
        <f>SUM(K17:K19)</f>
        <v>4262468</v>
      </c>
      <c r="L20" s="390"/>
      <c r="M20" s="391">
        <f>SUM(M17:M19)</f>
        <v>4343043</v>
      </c>
      <c r="N20" s="271"/>
      <c r="O20" s="270">
        <f>SUM(O17:O19)</f>
        <v>3977736</v>
      </c>
      <c r="P20" s="271"/>
      <c r="Q20" s="270">
        <f>SUM(Q17:Q19)</f>
        <v>4038245</v>
      </c>
      <c r="R20" s="271"/>
      <c r="S20" s="270">
        <f>SUM(S17:S19)</f>
        <v>4223611</v>
      </c>
      <c r="T20" s="271"/>
      <c r="U20" s="270">
        <f>SUM(U17:U19)</f>
        <v>4428433</v>
      </c>
      <c r="V20" s="271"/>
      <c r="W20" s="270">
        <f>SUM(W17:W19)</f>
        <v>4437259</v>
      </c>
      <c r="X20" s="271"/>
      <c r="Y20" s="270">
        <f>SUM(Y17:Y19)</f>
        <v>4264862</v>
      </c>
      <c r="Z20" s="271"/>
      <c r="AA20" s="270">
        <f>SUM(AA17:AA19)</f>
        <v>3429613</v>
      </c>
      <c r="AB20" s="271"/>
      <c r="AC20" s="272">
        <f>SUM(AC17:AC19)</f>
        <v>3037006</v>
      </c>
      <c r="AD20" s="673"/>
      <c r="AE20" s="660"/>
      <c r="AF20" s="608">
        <f t="shared" si="0"/>
        <v>3919434.6</v>
      </c>
      <c r="AG20" s="491">
        <f t="shared" si="1"/>
        <v>-0.31420301492649882</v>
      </c>
    </row>
    <row r="21" spans="1:34" ht="18.75" customHeight="1" thickBot="1" x14ac:dyDescent="0.25">
      <c r="A21" s="450" t="s">
        <v>15</v>
      </c>
      <c r="B21" s="451"/>
      <c r="C21" s="452">
        <f>SUM(C15,C20)</f>
        <v>3820938</v>
      </c>
      <c r="D21" s="453"/>
      <c r="E21" s="454">
        <f>SUM(E15,E20)</f>
        <v>4097571</v>
      </c>
      <c r="F21" s="455"/>
      <c r="G21" s="456">
        <f>SUM(G15,G20)</f>
        <v>4224186</v>
      </c>
      <c r="H21" s="457"/>
      <c r="I21" s="458">
        <f>SUM(I15,I20)</f>
        <v>4292200</v>
      </c>
      <c r="J21" s="455"/>
      <c r="K21" s="458">
        <f>SUM(K15,K20)</f>
        <v>4422163</v>
      </c>
      <c r="L21" s="455"/>
      <c r="M21" s="456">
        <f>SUM(M15,M20)</f>
        <v>4726756</v>
      </c>
      <c r="N21" s="665"/>
      <c r="O21" s="666">
        <f>SUM(O15,O20)</f>
        <v>4347838</v>
      </c>
      <c r="P21" s="665"/>
      <c r="Q21" s="666">
        <f>SUM(Q15,Q20)</f>
        <v>4411409</v>
      </c>
      <c r="R21" s="665"/>
      <c r="S21" s="666">
        <f>SUM(S15,S20)</f>
        <v>4689436</v>
      </c>
      <c r="T21" s="665"/>
      <c r="U21" s="666">
        <f>SUM(U15,U20)</f>
        <v>6269071</v>
      </c>
      <c r="V21" s="665"/>
      <c r="W21" s="666">
        <f>SUM(W15,W20)</f>
        <v>6252718</v>
      </c>
      <c r="X21" s="665"/>
      <c r="Y21" s="666">
        <f>SUM(Y15,Y20)</f>
        <v>6143210</v>
      </c>
      <c r="Z21" s="665"/>
      <c r="AA21" s="666">
        <f>SUM(AA15,AA20)</f>
        <v>5346248</v>
      </c>
      <c r="AB21" s="665"/>
      <c r="AC21" s="667">
        <f>SUM(AC15,AC20)</f>
        <v>5222056</v>
      </c>
      <c r="AD21" s="673"/>
      <c r="AE21" s="668"/>
      <c r="AF21" s="669">
        <f t="shared" si="0"/>
        <v>5846660.5999999996</v>
      </c>
      <c r="AG21" s="492">
        <f>+(AC21-U21)/U21</f>
        <v>-0.16701278387180493</v>
      </c>
    </row>
    <row r="22" spans="1:34" ht="18" customHeight="1" x14ac:dyDescent="0.2">
      <c r="A22" s="355" t="s">
        <v>40</v>
      </c>
      <c r="B22" s="459"/>
      <c r="C22" s="460"/>
      <c r="D22" s="461"/>
      <c r="E22" s="461"/>
      <c r="F22" s="783"/>
      <c r="G22" s="784"/>
      <c r="H22" s="787"/>
      <c r="I22" s="787"/>
      <c r="J22" s="783"/>
      <c r="K22" s="787"/>
      <c r="L22" s="783"/>
      <c r="M22" s="784"/>
      <c r="N22" s="811"/>
      <c r="O22" s="812"/>
      <c r="P22" s="811"/>
      <c r="Q22" s="812"/>
      <c r="R22" s="811"/>
      <c r="S22" s="812"/>
      <c r="T22" s="811"/>
      <c r="U22" s="812"/>
      <c r="V22" s="811"/>
      <c r="W22" s="812"/>
      <c r="X22" s="811"/>
      <c r="Y22" s="812"/>
      <c r="Z22" s="811"/>
      <c r="AA22" s="812"/>
      <c r="AB22" s="829"/>
      <c r="AC22" s="820"/>
      <c r="AD22" s="673"/>
      <c r="AE22" s="817"/>
      <c r="AF22" s="818"/>
      <c r="AG22" s="449"/>
      <c r="AH22" s="146"/>
    </row>
    <row r="23" spans="1:34" ht="15" customHeight="1" x14ac:dyDescent="0.2">
      <c r="A23" s="182" t="s">
        <v>42</v>
      </c>
      <c r="B23" s="29"/>
      <c r="C23" s="46">
        <v>83733</v>
      </c>
      <c r="D23" s="3"/>
      <c r="E23" s="89">
        <v>114732</v>
      </c>
      <c r="F23" s="69"/>
      <c r="G23" s="129">
        <v>142407</v>
      </c>
      <c r="H23" s="91"/>
      <c r="I23" s="311">
        <v>177800.31</v>
      </c>
      <c r="J23" s="69"/>
      <c r="K23" s="310">
        <v>187227</v>
      </c>
      <c r="L23" s="69"/>
      <c r="M23" s="209">
        <v>453362</v>
      </c>
      <c r="N23" s="94"/>
      <c r="O23" s="616">
        <v>378771</v>
      </c>
      <c r="P23" s="94"/>
      <c r="Q23" s="616">
        <v>366418</v>
      </c>
      <c r="R23" s="94"/>
      <c r="S23" s="616">
        <v>520033</v>
      </c>
      <c r="T23" s="94"/>
      <c r="U23" s="616">
        <v>506613</v>
      </c>
      <c r="V23" s="94"/>
      <c r="W23" s="616">
        <v>549977.44999999995</v>
      </c>
      <c r="X23" s="94"/>
      <c r="Y23" s="616">
        <v>609378</v>
      </c>
      <c r="Z23" s="94"/>
      <c r="AA23" s="616">
        <v>563034</v>
      </c>
      <c r="AB23" s="75"/>
      <c r="AC23" s="710"/>
      <c r="AD23" s="673"/>
      <c r="AE23" s="605"/>
      <c r="AF23" s="523">
        <f>AVERAGE(U23,S23,AA23,W23,Y23)</f>
        <v>549807.09000000008</v>
      </c>
      <c r="AG23" s="438">
        <f>+(AA23-S23)/S23</f>
        <v>8.2688983199143126E-2</v>
      </c>
      <c r="AH23" s="10"/>
    </row>
    <row r="24" spans="1:34" ht="15" customHeight="1" x14ac:dyDescent="0.2">
      <c r="A24" s="182" t="s">
        <v>44</v>
      </c>
      <c r="B24" s="35"/>
      <c r="C24" s="46"/>
      <c r="D24" s="3"/>
      <c r="E24" s="89"/>
      <c r="F24" s="30"/>
      <c r="G24" s="312">
        <v>686802.01000000024</v>
      </c>
      <c r="H24" s="3"/>
      <c r="I24" s="89">
        <v>702457.17</v>
      </c>
      <c r="J24" s="30"/>
      <c r="K24" s="128">
        <v>776208.29999999981</v>
      </c>
      <c r="L24" s="3"/>
      <c r="M24" s="89">
        <v>711605.39999999991</v>
      </c>
      <c r="N24" s="43"/>
      <c r="O24" s="689">
        <v>631036.91999999993</v>
      </c>
      <c r="P24" s="4"/>
      <c r="Q24" s="697">
        <v>582220.83999999973</v>
      </c>
      <c r="R24" s="43"/>
      <c r="S24" s="689">
        <v>788233.17999999993</v>
      </c>
      <c r="T24" s="4"/>
      <c r="U24" s="697">
        <v>724326.75999999954</v>
      </c>
      <c r="V24" s="43"/>
      <c r="W24" s="689">
        <v>722121.60999999975</v>
      </c>
      <c r="X24" s="43"/>
      <c r="Y24" s="689">
        <v>818628</v>
      </c>
      <c r="Z24" s="43"/>
      <c r="AA24" s="689">
        <v>789464</v>
      </c>
      <c r="AB24" s="43"/>
      <c r="AC24" s="711"/>
      <c r="AD24" s="673"/>
      <c r="AE24" s="605"/>
      <c r="AF24" s="523">
        <f t="shared" ref="AF24:AF25" si="2">AVERAGE(U24,S24,AA24,W24,Y24)</f>
        <v>768554.70999999985</v>
      </c>
      <c r="AG24" s="438">
        <f t="shared" ref="AG24:AG25" si="3">+(AA24-S24)/S24</f>
        <v>1.5614922477636189E-3</v>
      </c>
    </row>
    <row r="25" spans="1:34" ht="15" customHeight="1" thickBot="1" x14ac:dyDescent="0.25">
      <c r="A25" s="190" t="s">
        <v>45</v>
      </c>
      <c r="B25" s="304"/>
      <c r="C25" s="326"/>
      <c r="D25" s="331"/>
      <c r="E25" s="332"/>
      <c r="F25" s="304"/>
      <c r="G25" s="326">
        <v>3640466.44</v>
      </c>
      <c r="H25" s="304"/>
      <c r="I25" s="326">
        <v>3847837.6300000018</v>
      </c>
      <c r="J25" s="304"/>
      <c r="K25" s="326">
        <v>3797018.1900000046</v>
      </c>
      <c r="L25" s="304"/>
      <c r="M25" s="326">
        <v>3872890.1100000031</v>
      </c>
      <c r="N25" s="622"/>
      <c r="O25" s="700">
        <v>3935235.2799999956</v>
      </c>
      <c r="P25" s="622"/>
      <c r="Q25" s="700">
        <v>3733298.3900000006</v>
      </c>
      <c r="R25" s="622"/>
      <c r="S25" s="700">
        <v>3807819.3399999989</v>
      </c>
      <c r="T25" s="622"/>
      <c r="U25" s="700">
        <v>4112005.3199999994</v>
      </c>
      <c r="V25" s="622"/>
      <c r="W25" s="700">
        <v>4046628.4099999988</v>
      </c>
      <c r="X25" s="622"/>
      <c r="Y25" s="712">
        <v>3698564</v>
      </c>
      <c r="Z25" s="622"/>
      <c r="AA25" s="712">
        <v>3067562</v>
      </c>
      <c r="AB25" s="622"/>
      <c r="AC25" s="713"/>
      <c r="AD25" s="673"/>
      <c r="AE25" s="614"/>
      <c r="AF25" s="523">
        <f t="shared" si="2"/>
        <v>3746515.8139999993</v>
      </c>
      <c r="AG25" s="438">
        <f t="shared" si="3"/>
        <v>-0.19440453285790579</v>
      </c>
    </row>
    <row r="26" spans="1:34" ht="18" customHeight="1" thickTop="1" x14ac:dyDescent="0.2">
      <c r="A26" s="444" t="s">
        <v>53</v>
      </c>
      <c r="B26" s="485" t="s">
        <v>20</v>
      </c>
      <c r="C26" s="486" t="s">
        <v>21</v>
      </c>
      <c r="D26" s="487" t="s">
        <v>20</v>
      </c>
      <c r="E26" s="488" t="s">
        <v>21</v>
      </c>
      <c r="F26" s="474" t="s">
        <v>20</v>
      </c>
      <c r="G26" s="479" t="s">
        <v>21</v>
      </c>
      <c r="H26" s="472" t="s">
        <v>20</v>
      </c>
      <c r="I26" s="473" t="s">
        <v>21</v>
      </c>
      <c r="J26" s="474" t="s">
        <v>20</v>
      </c>
      <c r="K26" s="475" t="s">
        <v>21</v>
      </c>
      <c r="L26" s="476" t="s">
        <v>20</v>
      </c>
      <c r="M26" s="477" t="s">
        <v>21</v>
      </c>
      <c r="N26" s="677" t="s">
        <v>20</v>
      </c>
      <c r="O26" s="643" t="s">
        <v>21</v>
      </c>
      <c r="P26" s="642" t="s">
        <v>20</v>
      </c>
      <c r="Q26" s="678" t="s">
        <v>21</v>
      </c>
      <c r="R26" s="677" t="s">
        <v>20</v>
      </c>
      <c r="S26" s="643" t="s">
        <v>21</v>
      </c>
      <c r="T26" s="642" t="s">
        <v>20</v>
      </c>
      <c r="U26" s="678" t="s">
        <v>21</v>
      </c>
      <c r="V26" s="677" t="s">
        <v>20</v>
      </c>
      <c r="W26" s="643" t="s">
        <v>21</v>
      </c>
      <c r="X26" s="642" t="s">
        <v>20</v>
      </c>
      <c r="Y26" s="678" t="s">
        <v>21</v>
      </c>
      <c r="Z26" s="642" t="s">
        <v>20</v>
      </c>
      <c r="AA26" s="678" t="s">
        <v>21</v>
      </c>
      <c r="AB26" s="677" t="s">
        <v>20</v>
      </c>
      <c r="AC26" s="613" t="s">
        <v>21</v>
      </c>
      <c r="AD26" s="21"/>
      <c r="AE26" s="612" t="s">
        <v>20</v>
      </c>
      <c r="AF26" s="679" t="s">
        <v>21</v>
      </c>
      <c r="AG26" s="482" t="s">
        <v>54</v>
      </c>
    </row>
    <row r="27" spans="1:34" ht="15" customHeight="1" x14ac:dyDescent="0.2">
      <c r="A27" s="182" t="s">
        <v>56</v>
      </c>
      <c r="B27" s="153">
        <v>2</v>
      </c>
      <c r="C27" s="462">
        <v>203946.8</v>
      </c>
      <c r="D27" s="169">
        <v>3</v>
      </c>
      <c r="E27" s="236">
        <v>255615.8</v>
      </c>
      <c r="F27" s="155">
        <v>2</v>
      </c>
      <c r="G27" s="221">
        <v>75257</v>
      </c>
      <c r="H27" s="222">
        <v>5</v>
      </c>
      <c r="I27" s="235">
        <v>725821.65</v>
      </c>
      <c r="J27" s="155">
        <v>0</v>
      </c>
      <c r="K27" s="174">
        <v>0</v>
      </c>
      <c r="L27" s="168">
        <v>0</v>
      </c>
      <c r="M27" s="101">
        <v>0</v>
      </c>
      <c r="N27" s="637">
        <v>5</v>
      </c>
      <c r="O27" s="646">
        <v>540572</v>
      </c>
      <c r="P27" s="645">
        <v>3</v>
      </c>
      <c r="Q27" s="58">
        <v>142362</v>
      </c>
      <c r="R27" s="680">
        <v>7</v>
      </c>
      <c r="S27" s="646">
        <v>369621</v>
      </c>
      <c r="T27" s="645">
        <v>10</v>
      </c>
      <c r="U27" s="58">
        <v>616502</v>
      </c>
      <c r="V27" s="680">
        <v>7</v>
      </c>
      <c r="W27" s="646">
        <v>308604</v>
      </c>
      <c r="X27" s="645">
        <v>10</v>
      </c>
      <c r="Y27" s="58">
        <v>441752</v>
      </c>
      <c r="Z27" s="645">
        <v>5</v>
      </c>
      <c r="AA27" s="58">
        <v>67318</v>
      </c>
      <c r="AB27" s="681"/>
      <c r="AC27" s="648"/>
      <c r="AD27" s="634"/>
      <c r="AE27" s="469">
        <f>AVERAGE(T27,AB27,Z27,X27,V27)</f>
        <v>8</v>
      </c>
      <c r="AF27" s="523">
        <f t="shared" ref="AF27:AF28" si="4">AVERAGE(U27,S27,Y27,W27,AA27)</f>
        <v>360759.4</v>
      </c>
      <c r="AG27" s="483">
        <f t="shared" ref="AG27:AG28" si="5">+(AA27-S27)/S27</f>
        <v>-0.81787290224310849</v>
      </c>
    </row>
    <row r="28" spans="1:34" ht="15" customHeight="1" thickBot="1" x14ac:dyDescent="0.25">
      <c r="A28" s="190" t="s">
        <v>57</v>
      </c>
      <c r="B28" s="237">
        <v>3</v>
      </c>
      <c r="C28" s="424">
        <v>238952</v>
      </c>
      <c r="D28" s="463">
        <v>2</v>
      </c>
      <c r="E28" s="226">
        <v>55055.8</v>
      </c>
      <c r="F28" s="239">
        <v>3</v>
      </c>
      <c r="G28" s="350">
        <v>400239</v>
      </c>
      <c r="H28" s="464">
        <v>3</v>
      </c>
      <c r="I28" s="242">
        <v>177500</v>
      </c>
      <c r="J28" s="243">
        <v>2</v>
      </c>
      <c r="K28" s="465">
        <v>40313</v>
      </c>
      <c r="L28" s="466">
        <v>0</v>
      </c>
      <c r="M28" s="227">
        <v>0</v>
      </c>
      <c r="N28" s="682">
        <v>2</v>
      </c>
      <c r="O28" s="626">
        <v>76436</v>
      </c>
      <c r="P28" s="650">
        <v>0</v>
      </c>
      <c r="Q28" s="639">
        <v>0</v>
      </c>
      <c r="R28" s="683">
        <v>1</v>
      </c>
      <c r="S28" s="626">
        <v>49639</v>
      </c>
      <c r="T28" s="650">
        <v>2</v>
      </c>
      <c r="U28" s="684">
        <v>28948</v>
      </c>
      <c r="V28" s="683">
        <v>4</v>
      </c>
      <c r="W28" s="626">
        <v>572825</v>
      </c>
      <c r="X28" s="650">
        <v>3</v>
      </c>
      <c r="Y28" s="684">
        <v>273151</v>
      </c>
      <c r="Z28" s="650">
        <v>2</v>
      </c>
      <c r="AA28" s="684">
        <v>204843</v>
      </c>
      <c r="AB28" s="685"/>
      <c r="AC28" s="652"/>
      <c r="AD28" s="634"/>
      <c r="AE28" s="471">
        <f>AVERAGE(T28,AB28,Z28,X28,V28)</f>
        <v>2.75</v>
      </c>
      <c r="AF28" s="523">
        <f t="shared" si="4"/>
        <v>225881.2</v>
      </c>
      <c r="AG28" s="483">
        <f t="shared" si="5"/>
        <v>3.1266544450935756</v>
      </c>
    </row>
    <row r="29" spans="1:34" ht="18" customHeight="1" thickTop="1" x14ac:dyDescent="0.2">
      <c r="A29" s="112" t="s">
        <v>17</v>
      </c>
      <c r="B29" s="244"/>
      <c r="C29" s="245"/>
      <c r="D29" s="246"/>
      <c r="E29" s="247"/>
      <c r="F29" s="813"/>
      <c r="G29" s="799"/>
      <c r="H29" s="798"/>
      <c r="I29" s="798"/>
      <c r="J29" s="813"/>
      <c r="K29" s="798"/>
      <c r="L29" s="813"/>
      <c r="M29" s="799"/>
      <c r="N29" s="785"/>
      <c r="O29" s="786"/>
      <c r="P29" s="785"/>
      <c r="Q29" s="786"/>
      <c r="R29" s="785"/>
      <c r="S29" s="786"/>
      <c r="T29" s="785"/>
      <c r="U29" s="786"/>
      <c r="V29" s="785"/>
      <c r="W29" s="786"/>
      <c r="X29" s="785"/>
      <c r="Y29" s="786"/>
      <c r="Z29" s="785"/>
      <c r="AA29" s="786"/>
      <c r="AB29" s="824"/>
      <c r="AC29" s="789"/>
      <c r="AD29" s="686"/>
      <c r="AE29" s="833"/>
      <c r="AF29" s="834"/>
      <c r="AG29" s="441"/>
    </row>
    <row r="30" spans="1:34" ht="15" customHeight="1" x14ac:dyDescent="0.2">
      <c r="A30" s="189" t="s">
        <v>18</v>
      </c>
      <c r="B30" s="35"/>
      <c r="C30" s="41">
        <v>3438.11</v>
      </c>
      <c r="D30" s="9"/>
      <c r="E30" s="74">
        <v>3030</v>
      </c>
      <c r="F30" s="72"/>
      <c r="G30" s="115">
        <v>1635</v>
      </c>
      <c r="H30" s="95"/>
      <c r="I30" s="121">
        <v>1710</v>
      </c>
      <c r="J30" s="72"/>
      <c r="K30" s="121">
        <v>1518</v>
      </c>
      <c r="L30" s="72"/>
      <c r="M30" s="179">
        <v>1950</v>
      </c>
      <c r="N30" s="94"/>
      <c r="O30" s="629">
        <v>4365</v>
      </c>
      <c r="P30" s="94"/>
      <c r="Q30" s="629">
        <v>52295</v>
      </c>
      <c r="R30" s="94"/>
      <c r="S30" s="629">
        <v>5810</v>
      </c>
      <c r="T30" s="94"/>
      <c r="U30" s="629">
        <v>4455</v>
      </c>
      <c r="V30" s="94"/>
      <c r="W30" s="629">
        <v>63915</v>
      </c>
      <c r="X30" s="94"/>
      <c r="Y30" s="629">
        <v>55666.92</v>
      </c>
      <c r="Z30" s="94"/>
      <c r="AA30" s="629">
        <v>130433.52</v>
      </c>
      <c r="AB30" s="75"/>
      <c r="AC30" s="687"/>
      <c r="AD30" s="686"/>
      <c r="AE30" s="605"/>
      <c r="AF30" s="523">
        <f t="shared" ref="AF30:AF31" si="6">AVERAGE(U30,S30,Y30,W30,AA30)</f>
        <v>52056.088000000003</v>
      </c>
      <c r="AG30" s="483">
        <f t="shared" ref="AG30" si="7">+(AA30-S30)/S30</f>
        <v>21.449831325301204</v>
      </c>
    </row>
    <row r="31" spans="1:34" ht="15" customHeight="1" thickBot="1" x14ac:dyDescent="0.25">
      <c r="A31" s="190" t="s">
        <v>19</v>
      </c>
      <c r="B31" s="37"/>
      <c r="C31" s="42">
        <v>0</v>
      </c>
      <c r="D31" s="6"/>
      <c r="E31" s="79">
        <v>0</v>
      </c>
      <c r="F31" s="73"/>
      <c r="G31" s="102">
        <v>0</v>
      </c>
      <c r="H31" s="96"/>
      <c r="I31" s="109">
        <v>0</v>
      </c>
      <c r="J31" s="73"/>
      <c r="K31" s="109">
        <v>0</v>
      </c>
      <c r="L31" s="73"/>
      <c r="M31" s="102">
        <v>0</v>
      </c>
      <c r="N31" s="631"/>
      <c r="O31" s="630">
        <v>0</v>
      </c>
      <c r="P31" s="631"/>
      <c r="Q31" s="630">
        <v>0</v>
      </c>
      <c r="R31" s="631"/>
      <c r="S31" s="630">
        <v>0</v>
      </c>
      <c r="T31" s="631"/>
      <c r="U31" s="630">
        <v>0</v>
      </c>
      <c r="V31" s="631"/>
      <c r="W31" s="630">
        <v>0</v>
      </c>
      <c r="X31" s="631"/>
      <c r="Y31" s="630">
        <v>0</v>
      </c>
      <c r="Z31" s="631"/>
      <c r="AA31" s="630">
        <v>0</v>
      </c>
      <c r="AB31" s="706"/>
      <c r="AC31" s="659"/>
      <c r="AD31" s="686"/>
      <c r="AE31" s="614"/>
      <c r="AF31" s="583">
        <f t="shared" si="6"/>
        <v>0</v>
      </c>
      <c r="AG31" s="484">
        <v>0</v>
      </c>
    </row>
    <row r="32" spans="1:34" s="10" customFormat="1" ht="34.5" thickTop="1" x14ac:dyDescent="0.2">
      <c r="A32" s="596" t="s">
        <v>47</v>
      </c>
      <c r="B32" s="11"/>
      <c r="C32" s="17"/>
      <c r="D32" s="11"/>
      <c r="E32" s="12"/>
      <c r="F32" s="67"/>
      <c r="G32" s="63"/>
      <c r="H32" s="67"/>
      <c r="I32" s="63"/>
      <c r="J32" s="67"/>
      <c r="K32" s="63"/>
      <c r="L32" s="67"/>
      <c r="M32" s="63"/>
      <c r="N32" s="67"/>
      <c r="O32" s="63"/>
      <c r="P32" s="67"/>
      <c r="Q32" s="63"/>
      <c r="R32" s="67"/>
      <c r="S32" s="63"/>
      <c r="T32" s="67"/>
      <c r="U32" s="63"/>
      <c r="V32" s="67"/>
      <c r="W32" s="63"/>
      <c r="X32" s="67"/>
      <c r="Y32" s="63"/>
      <c r="Z32" s="67"/>
      <c r="AA32" s="63"/>
      <c r="AB32" s="67"/>
      <c r="AC32" s="63"/>
      <c r="AF32" s="589"/>
      <c r="AG32" s="1"/>
    </row>
    <row r="33" spans="1:32" ht="12" x14ac:dyDescent="0.2">
      <c r="A33" s="15"/>
      <c r="B33" s="11"/>
      <c r="C33" s="17"/>
      <c r="D33" s="11"/>
      <c r="E33" s="12"/>
      <c r="F33" s="67"/>
      <c r="G33" s="63"/>
      <c r="H33" s="67"/>
      <c r="I33" s="63"/>
      <c r="J33" s="67"/>
      <c r="K33" s="63"/>
      <c r="L33" s="67"/>
      <c r="M33" s="63"/>
      <c r="N33" s="67"/>
      <c r="O33" s="63"/>
      <c r="P33" s="67"/>
      <c r="Q33" s="63"/>
      <c r="R33" s="67"/>
      <c r="S33" s="63"/>
      <c r="T33" s="67"/>
      <c r="U33" s="63"/>
      <c r="V33" s="67"/>
      <c r="W33" s="63"/>
      <c r="X33" s="67"/>
      <c r="Y33" s="63"/>
      <c r="Z33" s="67"/>
      <c r="AA33" s="63"/>
      <c r="AB33" s="67"/>
      <c r="AC33" s="63"/>
      <c r="AE33" s="10"/>
      <c r="AF33" s="254"/>
    </row>
  </sheetData>
  <mergeCells count="41">
    <mergeCell ref="AB22:AC22"/>
    <mergeCell ref="AB29:AC29"/>
    <mergeCell ref="X9:Y9"/>
    <mergeCell ref="N9:O9"/>
    <mergeCell ref="P9:Q9"/>
    <mergeCell ref="H29:I29"/>
    <mergeCell ref="J29:K29"/>
    <mergeCell ref="L29:M29"/>
    <mergeCell ref="N29:O29"/>
    <mergeCell ref="F29:G29"/>
    <mergeCell ref="AE9:AF9"/>
    <mergeCell ref="H9:I9"/>
    <mergeCell ref="L9:M9"/>
    <mergeCell ref="J9:K9"/>
    <mergeCell ref="AB9:AC9"/>
    <mergeCell ref="F22:G22"/>
    <mergeCell ref="H22:I22"/>
    <mergeCell ref="J22:K22"/>
    <mergeCell ref="L22:M22"/>
    <mergeCell ref="N22:O22"/>
    <mergeCell ref="F9:G9"/>
    <mergeCell ref="R9:S9"/>
    <mergeCell ref="Z9:AA9"/>
    <mergeCell ref="V9:W9"/>
    <mergeCell ref="T9:U9"/>
    <mergeCell ref="D9:E9"/>
    <mergeCell ref="B9:C9"/>
    <mergeCell ref="AE22:AF22"/>
    <mergeCell ref="AE29:AF29"/>
    <mergeCell ref="P22:Q22"/>
    <mergeCell ref="R22:S22"/>
    <mergeCell ref="T22:U22"/>
    <mergeCell ref="V22:W22"/>
    <mergeCell ref="X22:Y22"/>
    <mergeCell ref="Z22:AA22"/>
    <mergeCell ref="P29:Q29"/>
    <mergeCell ref="R29:S29"/>
    <mergeCell ref="T29:U29"/>
    <mergeCell ref="V29:W29"/>
    <mergeCell ref="X29:Y29"/>
    <mergeCell ref="Z29:AA29"/>
  </mergeCells>
  <phoneticPr fontId="0" type="noConversion"/>
  <printOptions horizontalCentered="1" verticalCentered="1"/>
  <pageMargins left="0.5" right="0.5" top="0.5" bottom="0.5" header="0.5" footer="0.25"/>
  <pageSetup scale="81" orientation="landscape" horizontalDpi="4294967292" verticalDpi="4294967292" r:id="rId1"/>
  <headerFooter alignWithMargins="0">
    <oddFooter>&amp;L&amp;9Prepared by Planning and Analysis&amp;C&amp;9&amp;P of &amp;N&amp;R&amp;9Updated &amp;D</oddFooter>
  </headerFooter>
  <colBreaks count="1" manualBreakCount="1">
    <brk id="2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view="pageBreakPreview" zoomScaleNormal="85" zoomScaleSheetLayoutView="100" workbookViewId="0">
      <pane xSplit="1" ySplit="1" topLeftCell="L17" activePane="bottomRight" state="frozen"/>
      <selection activeCell="N10" sqref="N10:AG31"/>
      <selection pane="topRight" activeCell="N10" sqref="N10:AG31"/>
      <selection pane="bottomLeft" activeCell="N10" sqref="N10:AG31"/>
      <selection pane="bottomRight" activeCell="N10" sqref="N10:AG31"/>
    </sheetView>
  </sheetViews>
  <sheetFormatPr defaultColWidth="10.28515625" defaultRowHeight="12.75" x14ac:dyDescent="0.2"/>
  <cols>
    <col min="1" max="1" width="32.85546875" style="1" customWidth="1"/>
    <col min="2" max="2" width="7.7109375" hidden="1" customWidth="1"/>
    <col min="3" max="3" width="10.42578125" hidden="1" customWidth="1"/>
    <col min="4" max="4" width="7.7109375" hidden="1" customWidth="1"/>
    <col min="5" max="5" width="1.28515625" hidden="1" customWidth="1"/>
    <col min="6" max="6" width="4.7109375" style="62" hidden="1" customWidth="1"/>
    <col min="7" max="7" width="10.7109375" style="62" hidden="1" customWidth="1"/>
    <col min="8" max="8" width="4.7109375" style="62" hidden="1" customWidth="1"/>
    <col min="9" max="9" width="10.7109375" style="62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5" style="1" customWidth="1"/>
    <col min="31" max="31" width="4.7109375" style="1" customWidth="1"/>
    <col min="32" max="32" width="10.7109375" style="1" customWidth="1"/>
    <col min="33" max="33" width="8.7109375" style="1" customWidth="1"/>
    <col min="34" max="34" width="4.42578125" style="1" customWidth="1"/>
    <col min="35" max="16384" width="10.28515625" style="1"/>
  </cols>
  <sheetData>
    <row r="1" spans="1:33" ht="18" x14ac:dyDescent="0.25">
      <c r="A1" s="419" t="s">
        <v>48</v>
      </c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3" ht="15.75" x14ac:dyDescent="0.25">
      <c r="A2" s="419" t="s">
        <v>49</v>
      </c>
      <c r="B2" s="1"/>
      <c r="C2" s="1"/>
      <c r="D2" s="1"/>
      <c r="E2" s="1"/>
      <c r="F2" s="61"/>
      <c r="G2" s="61"/>
      <c r="H2" s="61"/>
      <c r="I2" s="61"/>
    </row>
    <row r="3" spans="1:33" ht="15.75" x14ac:dyDescent="0.25">
      <c r="A3" s="420" t="s">
        <v>41</v>
      </c>
      <c r="B3" s="1"/>
      <c r="C3" s="1"/>
      <c r="D3" s="1"/>
      <c r="E3" s="1"/>
      <c r="F3" s="61"/>
      <c r="G3" s="61"/>
      <c r="H3" s="61"/>
      <c r="I3" s="61"/>
    </row>
    <row r="4" spans="1:33" ht="12" x14ac:dyDescent="0.2">
      <c r="B4" s="1"/>
      <c r="C4" s="1"/>
      <c r="D4" s="1"/>
      <c r="E4" s="1"/>
      <c r="F4" s="61"/>
      <c r="G4" s="61"/>
      <c r="H4" s="61"/>
      <c r="I4" s="61"/>
    </row>
    <row r="5" spans="1:33" x14ac:dyDescent="0.2">
      <c r="A5" s="2" t="s">
        <v>1</v>
      </c>
      <c r="B5" s="10"/>
      <c r="C5" s="10"/>
      <c r="D5" s="10"/>
      <c r="E5" s="10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33" x14ac:dyDescent="0.2">
      <c r="A6" s="578">
        <v>3670010060</v>
      </c>
      <c r="B6" s="10"/>
      <c r="C6" s="10"/>
      <c r="D6" s="10"/>
      <c r="E6" s="10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33" x14ac:dyDescent="0.2">
      <c r="A7" s="2"/>
      <c r="B7" s="10"/>
      <c r="C7" s="10"/>
      <c r="D7" s="10"/>
      <c r="E7" s="10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33" thickBot="1" x14ac:dyDescent="0.25">
      <c r="A8" s="19"/>
      <c r="B8" s="20"/>
      <c r="C8" s="20"/>
      <c r="D8" s="20"/>
      <c r="E8" s="20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E8" s="20"/>
      <c r="AF8" s="20"/>
    </row>
    <row r="9" spans="1:33" ht="30" customHeight="1" thickTop="1" thickBot="1" x14ac:dyDescent="0.25">
      <c r="A9" s="198"/>
      <c r="B9" s="803" t="s">
        <v>7</v>
      </c>
      <c r="C9" s="797"/>
      <c r="D9" s="796" t="s">
        <v>8</v>
      </c>
      <c r="E9" s="796"/>
      <c r="F9" s="794" t="s">
        <v>22</v>
      </c>
      <c r="G9" s="793"/>
      <c r="H9" s="792" t="s">
        <v>24</v>
      </c>
      <c r="I9" s="792"/>
      <c r="J9" s="794" t="s">
        <v>25</v>
      </c>
      <c r="K9" s="792"/>
      <c r="L9" s="794" t="s">
        <v>26</v>
      </c>
      <c r="M9" s="793"/>
      <c r="N9" s="792" t="s">
        <v>28</v>
      </c>
      <c r="O9" s="793"/>
      <c r="P9" s="792" t="s">
        <v>29</v>
      </c>
      <c r="Q9" s="793"/>
      <c r="R9" s="792" t="s">
        <v>34</v>
      </c>
      <c r="S9" s="793"/>
      <c r="T9" s="792" t="s">
        <v>35</v>
      </c>
      <c r="U9" s="793"/>
      <c r="V9" s="792" t="s">
        <v>36</v>
      </c>
      <c r="W9" s="793"/>
      <c r="X9" s="792" t="s">
        <v>37</v>
      </c>
      <c r="Y9" s="793"/>
      <c r="Z9" s="792" t="s">
        <v>38</v>
      </c>
      <c r="AA9" s="793"/>
      <c r="AB9" s="792" t="s">
        <v>60</v>
      </c>
      <c r="AC9" s="795"/>
      <c r="AE9" s="790" t="s">
        <v>27</v>
      </c>
      <c r="AF9" s="832"/>
      <c r="AG9" s="435" t="s">
        <v>43</v>
      </c>
    </row>
    <row r="10" spans="1:33" ht="18" customHeight="1" x14ac:dyDescent="0.2">
      <c r="A10" s="494" t="s">
        <v>9</v>
      </c>
      <c r="B10" s="429"/>
      <c r="C10" s="430"/>
      <c r="D10" s="7"/>
      <c r="E10" s="7"/>
      <c r="F10" s="431"/>
      <c r="G10" s="432"/>
      <c r="H10" s="433"/>
      <c r="I10" s="433"/>
      <c r="J10" s="431"/>
      <c r="K10" s="433"/>
      <c r="L10" s="431"/>
      <c r="M10" s="432"/>
      <c r="N10" s="433"/>
      <c r="O10" s="432"/>
      <c r="P10" s="433"/>
      <c r="Q10" s="432"/>
      <c r="R10" s="433"/>
      <c r="S10" s="432"/>
      <c r="T10" s="433"/>
      <c r="U10" s="432"/>
      <c r="V10" s="433"/>
      <c r="W10" s="432"/>
      <c r="X10" s="433"/>
      <c r="Y10" s="432"/>
      <c r="Z10" s="433"/>
      <c r="AA10" s="432"/>
      <c r="AB10" s="433"/>
      <c r="AC10" s="434"/>
      <c r="AE10" s="442"/>
      <c r="AF10" s="446"/>
      <c r="AG10" s="436"/>
    </row>
    <row r="11" spans="1:33" ht="15" customHeight="1" x14ac:dyDescent="0.2">
      <c r="A11" s="181" t="s">
        <v>10</v>
      </c>
      <c r="B11" s="30"/>
      <c r="C11" s="31"/>
      <c r="D11" s="3"/>
      <c r="E11" s="3"/>
      <c r="F11" s="70"/>
      <c r="G11" s="92"/>
      <c r="H11" s="64"/>
      <c r="I11" s="64"/>
      <c r="J11" s="70"/>
      <c r="K11" s="64"/>
      <c r="L11" s="70"/>
      <c r="M11" s="92"/>
      <c r="N11" s="64"/>
      <c r="O11" s="92"/>
      <c r="P11" s="64"/>
      <c r="Q11" s="92"/>
      <c r="R11" s="64"/>
      <c r="S11" s="92"/>
      <c r="T11" s="64"/>
      <c r="U11" s="92"/>
      <c r="V11" s="64"/>
      <c r="W11" s="92"/>
      <c r="X11" s="64"/>
      <c r="Y11" s="92"/>
      <c r="Z11" s="64"/>
      <c r="AA11" s="92"/>
      <c r="AB11" s="64"/>
      <c r="AC11" s="25"/>
      <c r="AE11" s="85"/>
      <c r="AF11" s="440"/>
      <c r="AG11" s="437"/>
    </row>
    <row r="12" spans="1:33" ht="15" customHeight="1" x14ac:dyDescent="0.2">
      <c r="A12" s="182" t="s">
        <v>11</v>
      </c>
      <c r="B12" s="29"/>
      <c r="C12" s="33">
        <v>230289</v>
      </c>
      <c r="D12" s="8"/>
      <c r="E12" s="39">
        <v>256780</v>
      </c>
      <c r="F12" s="69"/>
      <c r="G12" s="59">
        <v>265077</v>
      </c>
      <c r="H12" s="91"/>
      <c r="I12" s="107">
        <v>280226</v>
      </c>
      <c r="J12" s="69"/>
      <c r="K12" s="107">
        <v>291121</v>
      </c>
      <c r="L12" s="69"/>
      <c r="M12" s="59">
        <v>304176</v>
      </c>
      <c r="N12" s="91"/>
      <c r="O12" s="59">
        <v>302504</v>
      </c>
      <c r="P12" s="91"/>
      <c r="Q12" s="59">
        <v>308322</v>
      </c>
      <c r="R12" s="91"/>
      <c r="S12" s="59">
        <v>318080</v>
      </c>
      <c r="T12" s="91"/>
      <c r="U12" s="59">
        <v>327576</v>
      </c>
      <c r="V12" s="91"/>
      <c r="W12" s="59">
        <v>328195</v>
      </c>
      <c r="X12" s="91"/>
      <c r="Y12" s="59">
        <v>347604</v>
      </c>
      <c r="Z12" s="91"/>
      <c r="AA12" s="59">
        <v>376688</v>
      </c>
      <c r="AB12" s="91"/>
      <c r="AC12" s="218">
        <v>382331</v>
      </c>
      <c r="AD12" s="144"/>
      <c r="AE12" s="152"/>
      <c r="AF12" s="150">
        <f>AVERAGE(W12,U12,AC12,AA12,Y12)</f>
        <v>352478.8</v>
      </c>
      <c r="AG12" s="438">
        <f>+(AC12-U12)/U12</f>
        <v>0.16715205021124868</v>
      </c>
    </row>
    <row r="13" spans="1:33" ht="15" customHeight="1" x14ac:dyDescent="0.2">
      <c r="A13" s="182" t="s">
        <v>30</v>
      </c>
      <c r="B13" s="29"/>
      <c r="C13" s="33"/>
      <c r="D13" s="8"/>
      <c r="E13" s="39"/>
      <c r="F13" s="69"/>
      <c r="G13" s="59"/>
      <c r="H13" s="91"/>
      <c r="I13" s="107"/>
      <c r="J13" s="69"/>
      <c r="K13" s="107"/>
      <c r="L13" s="69"/>
      <c r="M13" s="59"/>
      <c r="N13" s="91"/>
      <c r="O13" s="59"/>
      <c r="P13" s="91"/>
      <c r="Q13" s="59"/>
      <c r="R13" s="91"/>
      <c r="S13" s="59"/>
      <c r="T13" s="91"/>
      <c r="U13" s="59"/>
      <c r="V13" s="91"/>
      <c r="W13" s="59"/>
      <c r="X13" s="91"/>
      <c r="Y13" s="59"/>
      <c r="Z13" s="91"/>
      <c r="AA13" s="59"/>
      <c r="AB13" s="91"/>
      <c r="AC13" s="218"/>
      <c r="AD13" s="144"/>
      <c r="AE13" s="146"/>
      <c r="AF13" s="150"/>
      <c r="AG13" s="437"/>
    </row>
    <row r="14" spans="1:33" ht="29.25" customHeight="1" thickBot="1" x14ac:dyDescent="0.25">
      <c r="A14" s="266" t="s">
        <v>32</v>
      </c>
      <c r="B14" s="313"/>
      <c r="C14" s="288"/>
      <c r="D14" s="307"/>
      <c r="E14" s="314"/>
      <c r="F14" s="315"/>
      <c r="G14" s="286"/>
      <c r="H14" s="285"/>
      <c r="I14" s="316"/>
      <c r="J14" s="315"/>
      <c r="K14" s="316"/>
      <c r="L14" s="315"/>
      <c r="M14" s="286"/>
      <c r="N14" s="285"/>
      <c r="O14" s="286"/>
      <c r="P14" s="285"/>
      <c r="Q14" s="286"/>
      <c r="R14" s="285"/>
      <c r="S14" s="286"/>
      <c r="T14" s="285"/>
      <c r="U14" s="286"/>
      <c r="V14" s="285"/>
      <c r="W14" s="286"/>
      <c r="X14" s="285"/>
      <c r="Y14" s="286"/>
      <c r="Z14" s="285"/>
      <c r="AA14" s="286">
        <v>13103</v>
      </c>
      <c r="AB14" s="285"/>
      <c r="AC14" s="287">
        <v>20031</v>
      </c>
      <c r="AD14" s="144"/>
      <c r="AE14" s="191"/>
      <c r="AF14" s="172">
        <f t="shared" ref="AF14:AF21" si="0">AVERAGE(W14,U14,AC14,AA14,Y14)</f>
        <v>16567</v>
      </c>
      <c r="AG14" s="591"/>
    </row>
    <row r="15" spans="1:33" ht="18.75" customHeight="1" thickBot="1" x14ac:dyDescent="0.25">
      <c r="A15" s="275" t="s">
        <v>12</v>
      </c>
      <c r="B15" s="317"/>
      <c r="C15" s="318">
        <f>SUM(C12:C14)</f>
        <v>230289</v>
      </c>
      <c r="D15" s="319"/>
      <c r="E15" s="320">
        <f>SUM(E12:E14)</f>
        <v>256780</v>
      </c>
      <c r="F15" s="321"/>
      <c r="G15" s="290">
        <f>SUM(G12:G14)</f>
        <v>265077</v>
      </c>
      <c r="H15" s="289"/>
      <c r="I15" s="322">
        <f>SUM(I12:I14)</f>
        <v>280226</v>
      </c>
      <c r="J15" s="321"/>
      <c r="K15" s="322">
        <f>SUM(K12:K14)</f>
        <v>291121</v>
      </c>
      <c r="L15" s="321"/>
      <c r="M15" s="290">
        <f>SUM(M12:M14)</f>
        <v>304176</v>
      </c>
      <c r="N15" s="289"/>
      <c r="O15" s="290">
        <f>SUM(O12:O14)</f>
        <v>302504</v>
      </c>
      <c r="P15" s="289"/>
      <c r="Q15" s="290">
        <f>SUM(Q12:Q14)</f>
        <v>308322</v>
      </c>
      <c r="R15" s="289"/>
      <c r="S15" s="290">
        <f>SUM(S12:S14)</f>
        <v>318080</v>
      </c>
      <c r="T15" s="289"/>
      <c r="U15" s="290">
        <f>SUM(U12:U14)</f>
        <v>327576</v>
      </c>
      <c r="V15" s="289"/>
      <c r="W15" s="290">
        <f>SUM(W12:W14)</f>
        <v>328195</v>
      </c>
      <c r="X15" s="289"/>
      <c r="Y15" s="290">
        <f>SUM(Y12:Y14)</f>
        <v>347604</v>
      </c>
      <c r="Z15" s="289"/>
      <c r="AA15" s="290">
        <f>SUM(AA12:AA14)</f>
        <v>389791</v>
      </c>
      <c r="AB15" s="289"/>
      <c r="AC15" s="291">
        <f>SUM(AC12:AC14)</f>
        <v>402362</v>
      </c>
      <c r="AD15" s="144"/>
      <c r="AE15" s="273"/>
      <c r="AF15" s="274">
        <f t="shared" si="0"/>
        <v>359105.6</v>
      </c>
      <c r="AG15" s="445">
        <f t="shared" ref="AG15:AG21" si="1">+(AC15-U15)/U15</f>
        <v>0.22830121864849684</v>
      </c>
    </row>
    <row r="16" spans="1:33" ht="15" customHeight="1" x14ac:dyDescent="0.2">
      <c r="A16" s="199" t="s">
        <v>13</v>
      </c>
      <c r="B16" s="29"/>
      <c r="C16" s="33"/>
      <c r="D16" s="8"/>
      <c r="E16" s="39"/>
      <c r="F16" s="69"/>
      <c r="G16" s="59"/>
      <c r="H16" s="91"/>
      <c r="I16" s="107"/>
      <c r="J16" s="69"/>
      <c r="K16" s="107"/>
      <c r="L16" s="69"/>
      <c r="M16" s="59"/>
      <c r="N16" s="91"/>
      <c r="O16" s="59"/>
      <c r="P16" s="91"/>
      <c r="Q16" s="59"/>
      <c r="R16" s="91"/>
      <c r="S16" s="59"/>
      <c r="T16" s="91"/>
      <c r="U16" s="59"/>
      <c r="V16" s="91"/>
      <c r="W16" s="59"/>
      <c r="X16" s="91"/>
      <c r="Y16" s="59"/>
      <c r="Z16" s="91"/>
      <c r="AA16" s="59"/>
      <c r="AB16" s="91"/>
      <c r="AC16" s="218"/>
      <c r="AD16" s="144"/>
      <c r="AE16" s="85"/>
      <c r="AF16" s="151"/>
      <c r="AG16" s="440"/>
    </row>
    <row r="17" spans="1:33" ht="15" customHeight="1" x14ac:dyDescent="0.2">
      <c r="A17" s="182" t="s">
        <v>11</v>
      </c>
      <c r="B17" s="30"/>
      <c r="C17" s="45">
        <v>2318365</v>
      </c>
      <c r="D17" s="3"/>
      <c r="E17" s="50">
        <v>2500093</v>
      </c>
      <c r="F17" s="70"/>
      <c r="G17" s="97">
        <v>2593756</v>
      </c>
      <c r="H17" s="64"/>
      <c r="I17" s="81">
        <v>2723514</v>
      </c>
      <c r="J17" s="70"/>
      <c r="K17" s="81">
        <v>2665785</v>
      </c>
      <c r="L17" s="70"/>
      <c r="M17" s="97">
        <v>2810820</v>
      </c>
      <c r="N17" s="64"/>
      <c r="O17" s="97">
        <v>2604227</v>
      </c>
      <c r="P17" s="64"/>
      <c r="Q17" s="97">
        <v>2664821</v>
      </c>
      <c r="R17" s="64"/>
      <c r="S17" s="97">
        <v>2715980</v>
      </c>
      <c r="T17" s="64"/>
      <c r="U17" s="97">
        <v>2649248</v>
      </c>
      <c r="V17" s="64"/>
      <c r="W17" s="97">
        <v>2827481</v>
      </c>
      <c r="X17" s="64"/>
      <c r="Y17" s="97">
        <v>2985112</v>
      </c>
      <c r="Z17" s="64"/>
      <c r="AA17" s="97">
        <v>2906935</v>
      </c>
      <c r="AB17" s="64"/>
      <c r="AC17" s="215">
        <v>2528701</v>
      </c>
      <c r="AD17" s="144"/>
      <c r="AE17" s="152"/>
      <c r="AF17" s="150">
        <f t="shared" si="0"/>
        <v>2779495.4</v>
      </c>
      <c r="AG17" s="438">
        <f t="shared" si="1"/>
        <v>-4.5502346326202758E-2</v>
      </c>
    </row>
    <row r="18" spans="1:33" ht="15" customHeight="1" x14ac:dyDescent="0.2">
      <c r="A18" s="182" t="s">
        <v>30</v>
      </c>
      <c r="B18" s="30"/>
      <c r="C18" s="45"/>
      <c r="D18" s="3"/>
      <c r="E18" s="50"/>
      <c r="F18" s="70"/>
      <c r="G18" s="97"/>
      <c r="H18" s="64"/>
      <c r="I18" s="81">
        <v>19000</v>
      </c>
      <c r="J18" s="70"/>
      <c r="K18" s="81">
        <v>19000</v>
      </c>
      <c r="L18" s="70"/>
      <c r="M18" s="97">
        <v>19000</v>
      </c>
      <c r="N18" s="64"/>
      <c r="O18" s="97">
        <v>19000</v>
      </c>
      <c r="P18" s="64"/>
      <c r="Q18" s="97">
        <v>19000</v>
      </c>
      <c r="R18" s="64"/>
      <c r="S18" s="97">
        <v>19000</v>
      </c>
      <c r="T18" s="64"/>
      <c r="U18" s="97">
        <v>19000</v>
      </c>
      <c r="V18" s="64"/>
      <c r="W18" s="97">
        <v>19000</v>
      </c>
      <c r="X18" s="64"/>
      <c r="Y18" s="97">
        <v>19000</v>
      </c>
      <c r="Z18" s="64"/>
      <c r="AA18" s="97">
        <v>19000</v>
      </c>
      <c r="AB18" s="64"/>
      <c r="AC18" s="215">
        <v>19000</v>
      </c>
      <c r="AD18" s="144"/>
      <c r="AE18" s="146"/>
      <c r="AF18" s="150">
        <f t="shared" si="0"/>
        <v>19000</v>
      </c>
      <c r="AG18" s="438">
        <f t="shared" si="1"/>
        <v>0</v>
      </c>
    </row>
    <row r="19" spans="1:33" ht="25.5" customHeight="1" thickBot="1" x14ac:dyDescent="0.25">
      <c r="A19" s="266" t="s">
        <v>32</v>
      </c>
      <c r="B19" s="313"/>
      <c r="C19" s="288">
        <v>803003</v>
      </c>
      <c r="D19" s="307"/>
      <c r="E19" s="316">
        <v>470669</v>
      </c>
      <c r="F19" s="315"/>
      <c r="G19" s="286">
        <v>472650</v>
      </c>
      <c r="H19" s="285"/>
      <c r="I19" s="316">
        <v>464518</v>
      </c>
      <c r="J19" s="315"/>
      <c r="K19" s="316">
        <v>466477</v>
      </c>
      <c r="L19" s="315"/>
      <c r="M19" s="286">
        <v>298451</v>
      </c>
      <c r="N19" s="285"/>
      <c r="O19" s="286">
        <v>295458</v>
      </c>
      <c r="P19" s="285"/>
      <c r="Q19" s="286">
        <v>291510</v>
      </c>
      <c r="R19" s="285"/>
      <c r="S19" s="286">
        <v>293431</v>
      </c>
      <c r="T19" s="285"/>
      <c r="U19" s="286">
        <v>344487</v>
      </c>
      <c r="V19" s="285"/>
      <c r="W19" s="286">
        <v>330220</v>
      </c>
      <c r="X19" s="285"/>
      <c r="Y19" s="286">
        <v>335563</v>
      </c>
      <c r="Z19" s="285"/>
      <c r="AA19" s="286">
        <v>383465</v>
      </c>
      <c r="AB19" s="285"/>
      <c r="AC19" s="287">
        <v>564629</v>
      </c>
      <c r="AD19" s="144"/>
      <c r="AE19" s="191"/>
      <c r="AF19" s="150">
        <f t="shared" si="0"/>
        <v>391672.8</v>
      </c>
      <c r="AG19" s="438">
        <f t="shared" si="1"/>
        <v>0.63904298275406624</v>
      </c>
    </row>
    <row r="20" spans="1:33" ht="18.75" customHeight="1" thickBot="1" x14ac:dyDescent="0.25">
      <c r="A20" s="275" t="s">
        <v>14</v>
      </c>
      <c r="B20" s="317"/>
      <c r="C20" s="318">
        <f>SUM(C17:C19)</f>
        <v>3121368</v>
      </c>
      <c r="D20" s="319"/>
      <c r="E20" s="320">
        <f>SUM(E17:E19)</f>
        <v>2970762</v>
      </c>
      <c r="F20" s="321"/>
      <c r="G20" s="290">
        <f>SUM(G17:G19)</f>
        <v>3066406</v>
      </c>
      <c r="H20" s="289"/>
      <c r="I20" s="322">
        <f>SUM(I17:I19)</f>
        <v>3207032</v>
      </c>
      <c r="J20" s="321"/>
      <c r="K20" s="322">
        <f>SUM(K17:K19)</f>
        <v>3151262</v>
      </c>
      <c r="L20" s="321"/>
      <c r="M20" s="290">
        <f>SUM(M17:M19)</f>
        <v>3128271</v>
      </c>
      <c r="N20" s="289"/>
      <c r="O20" s="290">
        <f>SUM(O17:O19)</f>
        <v>2918685</v>
      </c>
      <c r="P20" s="289"/>
      <c r="Q20" s="290">
        <f>SUM(Q17:Q19)</f>
        <v>2975331</v>
      </c>
      <c r="R20" s="289"/>
      <c r="S20" s="290">
        <f>SUM(S17:S19)</f>
        <v>3028411</v>
      </c>
      <c r="T20" s="289"/>
      <c r="U20" s="290">
        <f>SUM(U17:U19)</f>
        <v>3012735</v>
      </c>
      <c r="V20" s="289"/>
      <c r="W20" s="290">
        <f>SUM(W17:W19)</f>
        <v>3176701</v>
      </c>
      <c r="X20" s="289"/>
      <c r="Y20" s="290">
        <f>SUM(Y17:Y19)</f>
        <v>3339675</v>
      </c>
      <c r="Z20" s="289"/>
      <c r="AA20" s="290">
        <f>SUM(AA17:AA19)</f>
        <v>3309400</v>
      </c>
      <c r="AB20" s="289"/>
      <c r="AC20" s="291">
        <f>SUM(AC17:AC19)</f>
        <v>3112330</v>
      </c>
      <c r="AD20" s="144"/>
      <c r="AE20" s="273"/>
      <c r="AF20" s="274">
        <f t="shared" si="0"/>
        <v>3190168.2</v>
      </c>
      <c r="AG20" s="445">
        <f t="shared" si="1"/>
        <v>3.3058002114357887E-2</v>
      </c>
    </row>
    <row r="21" spans="1:33" ht="18.75" customHeight="1" thickBot="1" x14ac:dyDescent="0.25">
      <c r="A21" s="515" t="s">
        <v>15</v>
      </c>
      <c r="B21" s="495"/>
      <c r="C21" s="496">
        <f>SUM(C15,C20)</f>
        <v>3351657</v>
      </c>
      <c r="D21" s="497"/>
      <c r="E21" s="498">
        <f>SUM(E15,E20)</f>
        <v>3227542</v>
      </c>
      <c r="F21" s="499"/>
      <c r="G21" s="500">
        <f>SUM(G15,G20)</f>
        <v>3331483</v>
      </c>
      <c r="H21" s="501"/>
      <c r="I21" s="502">
        <f>SUM(I15,I20)</f>
        <v>3487258</v>
      </c>
      <c r="J21" s="499"/>
      <c r="K21" s="502">
        <f>SUM(K15,K20)</f>
        <v>3442383</v>
      </c>
      <c r="L21" s="499"/>
      <c r="M21" s="500">
        <f>SUM(M15,M20)</f>
        <v>3432447</v>
      </c>
      <c r="N21" s="501"/>
      <c r="O21" s="500">
        <f>SUM(O15,O20)</f>
        <v>3221189</v>
      </c>
      <c r="P21" s="501"/>
      <c r="Q21" s="500">
        <f>SUM(Q15,Q20)</f>
        <v>3283653</v>
      </c>
      <c r="R21" s="501"/>
      <c r="S21" s="500">
        <f>SUM(S15,S20)</f>
        <v>3346491</v>
      </c>
      <c r="T21" s="501"/>
      <c r="U21" s="500">
        <f>SUM(U15,U20)</f>
        <v>3340311</v>
      </c>
      <c r="V21" s="501"/>
      <c r="W21" s="500">
        <f>SUM(W15,W20)</f>
        <v>3504896</v>
      </c>
      <c r="X21" s="501"/>
      <c r="Y21" s="500">
        <f>SUM(Y15,Y20)</f>
        <v>3687279</v>
      </c>
      <c r="Z21" s="501"/>
      <c r="AA21" s="500">
        <f>SUM(AA15,AA20)</f>
        <v>3699191</v>
      </c>
      <c r="AB21" s="501"/>
      <c r="AC21" s="503">
        <f>SUM(AC15,AC20)</f>
        <v>3514692</v>
      </c>
      <c r="AD21" s="144"/>
      <c r="AE21" s="504"/>
      <c r="AF21" s="535">
        <f t="shared" si="0"/>
        <v>3549273.8</v>
      </c>
      <c r="AG21" s="492">
        <f t="shared" si="1"/>
        <v>5.2205019233239058E-2</v>
      </c>
    </row>
    <row r="22" spans="1:33" ht="18" customHeight="1" thickBot="1" x14ac:dyDescent="0.25">
      <c r="A22" s="494" t="s">
        <v>40</v>
      </c>
      <c r="B22" s="841" t="s">
        <v>7</v>
      </c>
      <c r="C22" s="805"/>
      <c r="D22" s="804" t="s">
        <v>8</v>
      </c>
      <c r="E22" s="804"/>
      <c r="F22" s="842"/>
      <c r="G22" s="843"/>
      <c r="H22" s="844"/>
      <c r="I22" s="844"/>
      <c r="J22" s="842"/>
      <c r="K22" s="844"/>
      <c r="L22" s="842"/>
      <c r="M22" s="843"/>
      <c r="N22" s="835"/>
      <c r="O22" s="836"/>
      <c r="P22" s="835"/>
      <c r="Q22" s="836"/>
      <c r="R22" s="835"/>
      <c r="S22" s="836"/>
      <c r="T22" s="835"/>
      <c r="U22" s="836"/>
      <c r="V22" s="835"/>
      <c r="W22" s="836"/>
      <c r="X22" s="835"/>
      <c r="Y22" s="836"/>
      <c r="Z22" s="835"/>
      <c r="AA22" s="836"/>
      <c r="AB22" s="835"/>
      <c r="AC22" s="839"/>
      <c r="AD22" s="144"/>
      <c r="AE22" s="779"/>
      <c r="AF22" s="821"/>
      <c r="AG22" s="449"/>
    </row>
    <row r="23" spans="1:33" ht="15" customHeight="1" x14ac:dyDescent="0.2">
      <c r="A23" s="182" t="s">
        <v>42</v>
      </c>
      <c r="B23" s="35"/>
      <c r="C23" s="46">
        <f>230852+24297</f>
        <v>255149</v>
      </c>
      <c r="D23" s="3"/>
      <c r="E23" s="89">
        <v>289001</v>
      </c>
      <c r="F23" s="69"/>
      <c r="G23" s="129">
        <v>270860.21999999997</v>
      </c>
      <c r="H23" s="69"/>
      <c r="I23" s="129">
        <v>358107</v>
      </c>
      <c r="J23" s="564"/>
      <c r="K23" s="148">
        <v>343642</v>
      </c>
      <c r="L23" s="69"/>
      <c r="M23" s="176">
        <v>326594</v>
      </c>
      <c r="N23" s="94"/>
      <c r="O23" s="616">
        <v>320561</v>
      </c>
      <c r="P23" s="94"/>
      <c r="Q23" s="617">
        <v>415300</v>
      </c>
      <c r="R23" s="94"/>
      <c r="S23" s="617">
        <v>332618</v>
      </c>
      <c r="T23" s="94"/>
      <c r="U23" s="617">
        <v>416631</v>
      </c>
      <c r="V23" s="94"/>
      <c r="W23" s="616">
        <v>390299.05</v>
      </c>
      <c r="X23" s="714"/>
      <c r="Y23" s="618">
        <v>457684</v>
      </c>
      <c r="Z23" s="714"/>
      <c r="AA23" s="618">
        <v>500379</v>
      </c>
      <c r="AB23" s="714"/>
      <c r="AC23" s="715"/>
      <c r="AD23" s="144"/>
      <c r="AE23" s="152"/>
      <c r="AF23" s="150">
        <f>AVERAGE(U23,S23,AA23,W23,Y23)</f>
        <v>419522.20999999996</v>
      </c>
      <c r="AG23" s="438">
        <f>+(AA23-S23)/S23</f>
        <v>0.50436536807989951</v>
      </c>
    </row>
    <row r="24" spans="1:33" ht="15" customHeight="1" x14ac:dyDescent="0.2">
      <c r="A24" s="182" t="s">
        <v>39</v>
      </c>
      <c r="B24" s="49"/>
      <c r="C24" s="47"/>
      <c r="D24" s="3"/>
      <c r="E24" s="89"/>
      <c r="F24" s="30"/>
      <c r="G24" s="312">
        <v>3650722.3799999938</v>
      </c>
      <c r="H24" s="30"/>
      <c r="I24" s="128">
        <v>3405180.6499999994</v>
      </c>
      <c r="J24" s="30"/>
      <c r="K24" s="128">
        <v>3356591.4899999951</v>
      </c>
      <c r="L24" s="30"/>
      <c r="M24" s="128">
        <v>3645357.4999999963</v>
      </c>
      <c r="N24" s="43"/>
      <c r="O24" s="689">
        <v>3950217.9299999978</v>
      </c>
      <c r="P24" s="43"/>
      <c r="Q24" s="689">
        <v>4265628.9799999977</v>
      </c>
      <c r="R24" s="43"/>
      <c r="S24" s="689">
        <v>3590987.7199999983</v>
      </c>
      <c r="T24" s="43"/>
      <c r="U24" s="689">
        <v>4173149.3300000005</v>
      </c>
      <c r="V24" s="43"/>
      <c r="W24" s="689">
        <v>3985426.5399999949</v>
      </c>
      <c r="X24" s="716"/>
      <c r="Y24" s="699">
        <v>4535699</v>
      </c>
      <c r="Z24" s="716"/>
      <c r="AA24" s="699">
        <v>4250118</v>
      </c>
      <c r="AB24" s="717"/>
      <c r="AC24" s="718"/>
      <c r="AD24" s="144"/>
      <c r="AE24" s="85"/>
      <c r="AF24" s="150">
        <f t="shared" ref="AF24:AF25" si="2">AVERAGE(U24,S24,AA24,W24,Y24)</f>
        <v>4107076.1179999993</v>
      </c>
      <c r="AG24" s="438">
        <f t="shared" ref="AG24:AG25" si="3">+(AA24-S24)/S24</f>
        <v>0.18355124867984843</v>
      </c>
    </row>
    <row r="25" spans="1:33" ht="15" customHeight="1" thickBot="1" x14ac:dyDescent="0.25">
      <c r="A25" s="190" t="s">
        <v>45</v>
      </c>
      <c r="B25" s="37"/>
      <c r="C25" s="38"/>
      <c r="D25" s="6"/>
      <c r="E25" s="109"/>
      <c r="F25" s="37"/>
      <c r="G25" s="102">
        <v>759236.44</v>
      </c>
      <c r="H25" s="37"/>
      <c r="I25" s="102">
        <v>666826.54999999958</v>
      </c>
      <c r="J25" s="37"/>
      <c r="K25" s="102">
        <v>645296.82999999996</v>
      </c>
      <c r="L25" s="37"/>
      <c r="M25" s="102">
        <v>617154.22000000032</v>
      </c>
      <c r="N25" s="719"/>
      <c r="O25" s="630">
        <v>647451.34000000055</v>
      </c>
      <c r="P25" s="719"/>
      <c r="Q25" s="630">
        <v>618625.43000000017</v>
      </c>
      <c r="R25" s="719"/>
      <c r="S25" s="630">
        <v>648398.53</v>
      </c>
      <c r="T25" s="719"/>
      <c r="U25" s="630">
        <v>656730.08000000042</v>
      </c>
      <c r="V25" s="719"/>
      <c r="W25" s="630">
        <v>760196.73000000045</v>
      </c>
      <c r="X25" s="720"/>
      <c r="Y25" s="721">
        <v>901064</v>
      </c>
      <c r="Z25" s="720"/>
      <c r="AA25" s="721">
        <v>1036430</v>
      </c>
      <c r="AB25" s="722"/>
      <c r="AC25" s="723"/>
      <c r="AD25" s="10"/>
      <c r="AE25" s="145"/>
      <c r="AF25" s="150">
        <f t="shared" si="2"/>
        <v>800563.86800000013</v>
      </c>
      <c r="AG25" s="438">
        <f t="shared" si="3"/>
        <v>0.59844594342309809</v>
      </c>
    </row>
    <row r="26" spans="1:33" ht="18" customHeight="1" thickTop="1" x14ac:dyDescent="0.2">
      <c r="A26" s="444" t="s">
        <v>53</v>
      </c>
      <c r="B26" s="485" t="s">
        <v>20</v>
      </c>
      <c r="C26" s="545" t="s">
        <v>21</v>
      </c>
      <c r="D26" s="546" t="s">
        <v>20</v>
      </c>
      <c r="E26" s="488" t="s">
        <v>21</v>
      </c>
      <c r="F26" s="476" t="s">
        <v>20</v>
      </c>
      <c r="G26" s="479" t="s">
        <v>21</v>
      </c>
      <c r="H26" s="472" t="s">
        <v>20</v>
      </c>
      <c r="I26" s="550" t="s">
        <v>21</v>
      </c>
      <c r="J26" s="476" t="s">
        <v>20</v>
      </c>
      <c r="K26" s="550" t="s">
        <v>21</v>
      </c>
      <c r="L26" s="476" t="s">
        <v>20</v>
      </c>
      <c r="M26" s="479" t="s">
        <v>21</v>
      </c>
      <c r="N26" s="642" t="s">
        <v>20</v>
      </c>
      <c r="O26" s="643" t="s">
        <v>21</v>
      </c>
      <c r="P26" s="642" t="s">
        <v>20</v>
      </c>
      <c r="Q26" s="643" t="s">
        <v>21</v>
      </c>
      <c r="R26" s="642" t="s">
        <v>20</v>
      </c>
      <c r="S26" s="643" t="s">
        <v>21</v>
      </c>
      <c r="T26" s="642" t="s">
        <v>20</v>
      </c>
      <c r="U26" s="643" t="s">
        <v>21</v>
      </c>
      <c r="V26" s="642" t="s">
        <v>20</v>
      </c>
      <c r="W26" s="643" t="s">
        <v>21</v>
      </c>
      <c r="X26" s="724" t="s">
        <v>20</v>
      </c>
      <c r="Y26" s="725" t="s">
        <v>21</v>
      </c>
      <c r="Z26" s="724" t="s">
        <v>20</v>
      </c>
      <c r="AA26" s="725" t="s">
        <v>21</v>
      </c>
      <c r="AB26" s="724" t="s">
        <v>20</v>
      </c>
      <c r="AC26" s="726" t="s">
        <v>21</v>
      </c>
      <c r="AD26" s="173"/>
      <c r="AE26" s="481" t="s">
        <v>20</v>
      </c>
      <c r="AF26" s="480" t="s">
        <v>21</v>
      </c>
      <c r="AG26" s="482" t="s">
        <v>54</v>
      </c>
    </row>
    <row r="27" spans="1:33" ht="15" customHeight="1" x14ac:dyDescent="0.2">
      <c r="A27" s="182" t="s">
        <v>56</v>
      </c>
      <c r="B27" s="153">
        <v>60</v>
      </c>
      <c r="C27" s="143">
        <v>3698863.1</v>
      </c>
      <c r="D27" s="18">
        <v>52</v>
      </c>
      <c r="E27" s="300">
        <v>3392192.5</v>
      </c>
      <c r="F27" s="168">
        <v>36</v>
      </c>
      <c r="G27" s="221">
        <v>3638224</v>
      </c>
      <c r="H27" s="222">
        <v>33</v>
      </c>
      <c r="I27" s="565">
        <v>1657687.65</v>
      </c>
      <c r="J27" s="222">
        <v>36</v>
      </c>
      <c r="K27" s="566">
        <v>1667417</v>
      </c>
      <c r="L27" s="165">
        <v>38</v>
      </c>
      <c r="M27" s="221">
        <v>2838165</v>
      </c>
      <c r="N27" s="627">
        <v>39</v>
      </c>
      <c r="O27" s="625">
        <v>2843199</v>
      </c>
      <c r="P27" s="627">
        <v>50</v>
      </c>
      <c r="Q27" s="625">
        <v>4493817</v>
      </c>
      <c r="R27" s="627">
        <v>41</v>
      </c>
      <c r="S27" s="625">
        <v>2075431</v>
      </c>
      <c r="T27" s="627">
        <v>44</v>
      </c>
      <c r="U27" s="625">
        <v>3409549</v>
      </c>
      <c r="V27" s="627">
        <v>44</v>
      </c>
      <c r="W27" s="625">
        <v>1753990</v>
      </c>
      <c r="X27" s="627">
        <v>57</v>
      </c>
      <c r="Y27" s="625">
        <v>3327959</v>
      </c>
      <c r="Z27" s="627">
        <v>53</v>
      </c>
      <c r="AA27" s="625">
        <v>1907050</v>
      </c>
      <c r="AB27" s="727"/>
      <c r="AC27" s="728"/>
      <c r="AD27" s="144"/>
      <c r="AE27" s="469">
        <f>AVERAGE(V27,T27,R27,Z27,X27)</f>
        <v>47.8</v>
      </c>
      <c r="AF27" s="150">
        <f t="shared" ref="AF27:AF28" si="4">AVERAGE(W27,U27,S27,AA27,Y27)</f>
        <v>2494795.7999999998</v>
      </c>
      <c r="AG27" s="438">
        <f t="shared" ref="AG27:AG28" si="5">+(AA27-S27)/S27</f>
        <v>-8.1130618170394492E-2</v>
      </c>
    </row>
    <row r="28" spans="1:33" ht="15" customHeight="1" thickBot="1" x14ac:dyDescent="0.25">
      <c r="A28" s="190" t="s">
        <v>57</v>
      </c>
      <c r="B28" s="237">
        <v>46</v>
      </c>
      <c r="C28" s="42">
        <v>1670454</v>
      </c>
      <c r="D28" s="238">
        <v>35</v>
      </c>
      <c r="E28" s="226">
        <v>1507496.1</v>
      </c>
      <c r="F28" s="348">
        <v>29</v>
      </c>
      <c r="G28" s="350">
        <v>2784940</v>
      </c>
      <c r="H28" s="464">
        <v>42</v>
      </c>
      <c r="I28" s="350">
        <v>2848309</v>
      </c>
      <c r="J28" s="464">
        <v>30</v>
      </c>
      <c r="K28" s="552">
        <v>2075416</v>
      </c>
      <c r="L28" s="348">
        <v>30</v>
      </c>
      <c r="M28" s="351">
        <v>1560774</v>
      </c>
      <c r="N28" s="628">
        <v>33</v>
      </c>
      <c r="O28" s="626">
        <v>1898520</v>
      </c>
      <c r="P28" s="628">
        <v>33</v>
      </c>
      <c r="Q28" s="626">
        <v>2316683</v>
      </c>
      <c r="R28" s="628">
        <v>28</v>
      </c>
      <c r="S28" s="626">
        <v>1361623</v>
      </c>
      <c r="T28" s="628">
        <v>31</v>
      </c>
      <c r="U28" s="626">
        <v>1641243</v>
      </c>
      <c r="V28" s="628">
        <v>33</v>
      </c>
      <c r="W28" s="626">
        <v>2951497</v>
      </c>
      <c r="X28" s="628">
        <v>35</v>
      </c>
      <c r="Y28" s="626">
        <v>1926270</v>
      </c>
      <c r="Z28" s="628">
        <v>50</v>
      </c>
      <c r="AA28" s="626">
        <v>2099381</v>
      </c>
      <c r="AB28" s="729"/>
      <c r="AC28" s="730"/>
      <c r="AD28" s="144"/>
      <c r="AE28" s="471">
        <f>AVERAGE(V28,T28,R28,Z28,X28)</f>
        <v>35.4</v>
      </c>
      <c r="AF28" s="150">
        <f t="shared" si="4"/>
        <v>1996002.8</v>
      </c>
      <c r="AG28" s="438">
        <f t="shared" si="5"/>
        <v>0.54182251621777833</v>
      </c>
    </row>
    <row r="29" spans="1:33" ht="18" customHeight="1" thickTop="1" thickBot="1" x14ac:dyDescent="0.25">
      <c r="A29" s="112" t="s">
        <v>17</v>
      </c>
      <c r="B29" s="803" t="s">
        <v>7</v>
      </c>
      <c r="C29" s="797"/>
      <c r="D29" s="796" t="s">
        <v>8</v>
      </c>
      <c r="E29" s="796"/>
      <c r="F29" s="813"/>
      <c r="G29" s="799"/>
      <c r="H29" s="798"/>
      <c r="I29" s="798"/>
      <c r="J29" s="813"/>
      <c r="K29" s="798"/>
      <c r="L29" s="813"/>
      <c r="M29" s="799"/>
      <c r="N29" s="785"/>
      <c r="O29" s="786"/>
      <c r="P29" s="785"/>
      <c r="Q29" s="786"/>
      <c r="R29" s="785"/>
      <c r="S29" s="786"/>
      <c r="T29" s="785"/>
      <c r="U29" s="786"/>
      <c r="V29" s="785"/>
      <c r="W29" s="786"/>
      <c r="X29" s="837"/>
      <c r="Y29" s="838"/>
      <c r="Z29" s="837"/>
      <c r="AA29" s="838"/>
      <c r="AB29" s="837"/>
      <c r="AC29" s="840"/>
      <c r="AD29" s="144"/>
      <c r="AE29" s="822"/>
      <c r="AF29" s="823"/>
      <c r="AG29" s="441"/>
    </row>
    <row r="30" spans="1:33" ht="15" customHeight="1" x14ac:dyDescent="0.2">
      <c r="A30" s="189" t="s">
        <v>18</v>
      </c>
      <c r="B30" s="35"/>
      <c r="C30" s="41">
        <v>12561.81</v>
      </c>
      <c r="D30" s="9"/>
      <c r="E30" s="74">
        <v>16891.09</v>
      </c>
      <c r="F30" s="72"/>
      <c r="G30" s="115">
        <v>27533.17</v>
      </c>
      <c r="H30" s="95"/>
      <c r="I30" s="137">
        <v>13489.44</v>
      </c>
      <c r="J30" s="72"/>
      <c r="K30" s="137">
        <v>26232.400000000001</v>
      </c>
      <c r="L30" s="72"/>
      <c r="M30" s="115">
        <v>25557</v>
      </c>
      <c r="N30" s="94"/>
      <c r="O30" s="731">
        <v>17942</v>
      </c>
      <c r="P30" s="94"/>
      <c r="Q30" s="731">
        <v>8546</v>
      </c>
      <c r="R30" s="94"/>
      <c r="S30" s="663">
        <v>14805</v>
      </c>
      <c r="T30" s="94"/>
      <c r="U30" s="663">
        <v>11279.3</v>
      </c>
      <c r="V30" s="94"/>
      <c r="W30" s="663">
        <v>19134.68</v>
      </c>
      <c r="X30" s="714"/>
      <c r="Y30" s="732">
        <v>84784.36</v>
      </c>
      <c r="Z30" s="714"/>
      <c r="AA30" s="732">
        <v>152855</v>
      </c>
      <c r="AB30" s="714"/>
      <c r="AC30" s="733"/>
      <c r="AD30" s="144"/>
      <c r="AE30" s="85"/>
      <c r="AF30" s="150">
        <f t="shared" ref="AF30:AF31" si="6">AVERAGE(W30,U30,S30,AA30,Y30)</f>
        <v>56571.667999999991</v>
      </c>
      <c r="AG30" s="483">
        <f t="shared" ref="AG30" si="7">+(AA30-S30)/S30</f>
        <v>9.3245525160418783</v>
      </c>
    </row>
    <row r="31" spans="1:33" ht="15" customHeight="1" thickBot="1" x14ac:dyDescent="0.25">
      <c r="A31" s="190" t="s">
        <v>19</v>
      </c>
      <c r="B31" s="37"/>
      <c r="C31" s="42">
        <v>0</v>
      </c>
      <c r="D31" s="6"/>
      <c r="E31" s="79">
        <v>0</v>
      </c>
      <c r="F31" s="73"/>
      <c r="G31" s="100">
        <v>0</v>
      </c>
      <c r="H31" s="73"/>
      <c r="I31" s="79">
        <v>0</v>
      </c>
      <c r="J31" s="73"/>
      <c r="K31" s="79">
        <v>0</v>
      </c>
      <c r="L31" s="73"/>
      <c r="M31" s="102">
        <v>0</v>
      </c>
      <c r="N31" s="631"/>
      <c r="O31" s="630">
        <v>0</v>
      </c>
      <c r="P31" s="631"/>
      <c r="Q31" s="630">
        <v>0</v>
      </c>
      <c r="R31" s="631"/>
      <c r="S31" s="630">
        <v>0</v>
      </c>
      <c r="T31" s="631"/>
      <c r="U31" s="630">
        <v>0</v>
      </c>
      <c r="V31" s="631"/>
      <c r="W31" s="630">
        <v>0</v>
      </c>
      <c r="X31" s="722"/>
      <c r="Y31" s="721">
        <v>0</v>
      </c>
      <c r="Z31" s="722"/>
      <c r="AA31" s="721">
        <v>0</v>
      </c>
      <c r="AB31" s="722"/>
      <c r="AC31" s="734"/>
      <c r="AE31" s="145"/>
      <c r="AF31" s="590">
        <f t="shared" si="6"/>
        <v>0</v>
      </c>
      <c r="AG31" s="484">
        <v>0</v>
      </c>
    </row>
    <row r="32" spans="1:33" s="10" customFormat="1" ht="33.75" customHeight="1" thickTop="1" x14ac:dyDescent="0.2">
      <c r="A32" s="596" t="s">
        <v>47</v>
      </c>
      <c r="B32" s="210"/>
      <c r="C32" s="252"/>
      <c r="D32" s="210"/>
      <c r="E32" s="225"/>
      <c r="F32" s="180"/>
      <c r="G32" s="253"/>
      <c r="H32" s="180"/>
      <c r="I32" s="253"/>
      <c r="J32" s="180"/>
      <c r="K32" s="253"/>
      <c r="L32" s="180"/>
      <c r="M32" s="253"/>
      <c r="N32" s="258"/>
      <c r="O32" s="735"/>
      <c r="P32" s="258"/>
      <c r="Q32" s="735"/>
      <c r="R32" s="258"/>
      <c r="S32" s="735"/>
      <c r="T32" s="258"/>
      <c r="U32" s="735"/>
      <c r="V32" s="258"/>
      <c r="W32" s="735"/>
      <c r="X32" s="736"/>
      <c r="Y32" s="737"/>
      <c r="Z32" s="736"/>
      <c r="AA32" s="737"/>
      <c r="AB32" s="736"/>
      <c r="AC32" s="737"/>
      <c r="AE32" s="307"/>
      <c r="AF32" s="589"/>
      <c r="AG32" s="1"/>
    </row>
    <row r="36" spans="27:27" x14ac:dyDescent="0.2">
      <c r="AA36" s="1" t="s">
        <v>4</v>
      </c>
    </row>
  </sheetData>
  <mergeCells count="45">
    <mergeCell ref="L29:M29"/>
    <mergeCell ref="N29:O29"/>
    <mergeCell ref="B29:C29"/>
    <mergeCell ref="D29:E29"/>
    <mergeCell ref="F29:G29"/>
    <mergeCell ref="H29:I29"/>
    <mergeCell ref="J29:K29"/>
    <mergeCell ref="D9:E9"/>
    <mergeCell ref="B9:C9"/>
    <mergeCell ref="P9:Q9"/>
    <mergeCell ref="B22:C22"/>
    <mergeCell ref="D22:E22"/>
    <mergeCell ref="F22:G22"/>
    <mergeCell ref="H22:I22"/>
    <mergeCell ref="J22:K22"/>
    <mergeCell ref="L22:M22"/>
    <mergeCell ref="N22:O22"/>
    <mergeCell ref="J9:K9"/>
    <mergeCell ref="L9:M9"/>
    <mergeCell ref="H9:I9"/>
    <mergeCell ref="N9:O9"/>
    <mergeCell ref="F9:G9"/>
    <mergeCell ref="R9:S9"/>
    <mergeCell ref="V9:W9"/>
    <mergeCell ref="T9:U9"/>
    <mergeCell ref="AE9:AF9"/>
    <mergeCell ref="X9:Y9"/>
    <mergeCell ref="Z9:AA9"/>
    <mergeCell ref="AB9:AC9"/>
    <mergeCell ref="AE22:AF22"/>
    <mergeCell ref="AE29:AF29"/>
    <mergeCell ref="P22:Q22"/>
    <mergeCell ref="R22:S22"/>
    <mergeCell ref="T22:U22"/>
    <mergeCell ref="V22:W22"/>
    <mergeCell ref="X22:Y22"/>
    <mergeCell ref="Z22:AA22"/>
    <mergeCell ref="P29:Q29"/>
    <mergeCell ref="R29:S29"/>
    <mergeCell ref="T29:U29"/>
    <mergeCell ref="V29:W29"/>
    <mergeCell ref="X29:Y29"/>
    <mergeCell ref="Z29:AA29"/>
    <mergeCell ref="AB22:AC22"/>
    <mergeCell ref="AB29:AC29"/>
  </mergeCells>
  <phoneticPr fontId="0" type="noConversion"/>
  <printOptions horizontalCentered="1" verticalCentered="1"/>
  <pageMargins left="0.5" right="0.5" top="0.5" bottom="0.5" header="0.5" footer="0.25"/>
  <pageSetup scale="81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view="pageBreakPreview" topLeftCell="A16" zoomScaleNormal="85" zoomScaleSheetLayoutView="100" workbookViewId="0">
      <pane xSplit="5" topLeftCell="L1" activePane="topRight" state="frozen"/>
      <selection activeCell="N10" sqref="N10:AG31"/>
      <selection pane="topRight" activeCell="N10" sqref="N10:AG31"/>
    </sheetView>
  </sheetViews>
  <sheetFormatPr defaultColWidth="10.28515625" defaultRowHeight="12.75" x14ac:dyDescent="0.2"/>
  <cols>
    <col min="1" max="1" width="35.5703125" style="1" customWidth="1"/>
    <col min="2" max="2" width="7.7109375" hidden="1" customWidth="1"/>
    <col min="3" max="3" width="10.42578125" hidden="1" customWidth="1"/>
    <col min="4" max="4" width="7.7109375" hidden="1" customWidth="1"/>
    <col min="5" max="5" width="10.42578125" hidden="1" customWidth="1"/>
    <col min="6" max="6" width="7.7109375" style="62" hidden="1" customWidth="1"/>
    <col min="7" max="7" width="10.42578125" style="62" hidden="1" customWidth="1"/>
    <col min="8" max="8" width="7.7109375" style="62" hidden="1" customWidth="1"/>
    <col min="9" max="9" width="10.42578125" style="62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2.85546875" style="1" customWidth="1"/>
    <col min="31" max="31" width="4.7109375" style="1" customWidth="1"/>
    <col min="32" max="32" width="10.5703125" style="1" customWidth="1"/>
    <col min="33" max="33" width="8.7109375" style="1" customWidth="1"/>
    <col min="34" max="16384" width="10.28515625" style="1"/>
  </cols>
  <sheetData>
    <row r="1" spans="1:33" ht="18" x14ac:dyDescent="0.25">
      <c r="A1" s="419" t="s">
        <v>48</v>
      </c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3" ht="15.75" x14ac:dyDescent="0.25">
      <c r="A2" s="419" t="s">
        <v>49</v>
      </c>
      <c r="B2" s="1"/>
      <c r="C2" s="1"/>
      <c r="D2" s="1"/>
      <c r="E2" s="1"/>
      <c r="F2" s="61"/>
      <c r="G2" s="61"/>
      <c r="H2" s="61"/>
      <c r="I2" s="61"/>
    </row>
    <row r="3" spans="1:33" s="10" customFormat="1" ht="12" x14ac:dyDescent="0.2">
      <c r="F3" s="66"/>
      <c r="G3" s="66"/>
      <c r="H3" s="66"/>
      <c r="I3" s="66"/>
      <c r="AG3" s="1"/>
    </row>
    <row r="4" spans="1:33" ht="15.75" x14ac:dyDescent="0.25">
      <c r="A4" s="420" t="s">
        <v>41</v>
      </c>
      <c r="B4" s="16"/>
      <c r="C4" s="21"/>
      <c r="D4" s="16"/>
      <c r="E4" s="21"/>
      <c r="F4" s="87"/>
      <c r="G4" s="108"/>
      <c r="H4" s="87"/>
      <c r="I4" s="108"/>
      <c r="J4" s="87"/>
      <c r="K4" s="108"/>
      <c r="L4" s="87"/>
      <c r="M4" s="108"/>
      <c r="N4" s="87"/>
      <c r="O4" s="108"/>
      <c r="P4" s="87"/>
      <c r="Q4" s="108"/>
      <c r="R4" s="87"/>
      <c r="S4" s="108"/>
      <c r="T4" s="87"/>
      <c r="U4" s="108"/>
      <c r="V4" s="87"/>
      <c r="W4" s="108"/>
      <c r="X4" s="87"/>
      <c r="Y4" s="108"/>
      <c r="Z4" s="87"/>
      <c r="AA4" s="108"/>
      <c r="AB4" s="87"/>
      <c r="AC4" s="108"/>
    </row>
    <row r="5" spans="1:33" ht="12" x14ac:dyDescent="0.2">
      <c r="A5" s="7"/>
      <c r="B5" s="16"/>
      <c r="C5" s="21"/>
      <c r="D5" s="16"/>
      <c r="E5" s="21"/>
      <c r="F5" s="87"/>
      <c r="G5" s="108"/>
      <c r="H5" s="87"/>
      <c r="I5" s="108"/>
      <c r="J5" s="87"/>
      <c r="K5" s="108"/>
      <c r="L5" s="87"/>
      <c r="M5" s="108"/>
      <c r="N5" s="87"/>
      <c r="O5" s="108"/>
      <c r="P5" s="87"/>
      <c r="Q5" s="108"/>
      <c r="R5" s="87"/>
      <c r="S5" s="108"/>
      <c r="T5" s="87"/>
      <c r="U5" s="108"/>
      <c r="V5" s="87"/>
      <c r="W5" s="108"/>
      <c r="X5" s="87"/>
      <c r="Y5" s="108"/>
      <c r="Z5" s="87"/>
      <c r="AA5" s="108"/>
      <c r="AB5" s="87"/>
      <c r="AC5" s="108"/>
    </row>
    <row r="6" spans="1:33" x14ac:dyDescent="0.2">
      <c r="A6" s="2" t="s">
        <v>3</v>
      </c>
      <c r="B6" s="10"/>
      <c r="C6" s="10"/>
      <c r="D6" s="10"/>
      <c r="E6" s="10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33" x14ac:dyDescent="0.2">
      <c r="A7" s="578">
        <v>3670010080</v>
      </c>
      <c r="B7" s="10"/>
      <c r="C7" s="10"/>
      <c r="D7" s="10"/>
      <c r="E7" s="10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33" thickBot="1" x14ac:dyDescent="0.25">
      <c r="A8" s="16"/>
      <c r="B8" s="10"/>
      <c r="C8" s="10"/>
      <c r="D8" s="10"/>
      <c r="E8" s="10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E8" s="10"/>
      <c r="AF8" s="10"/>
    </row>
    <row r="9" spans="1:33" ht="30" customHeight="1" thickTop="1" thickBot="1" x14ac:dyDescent="0.25">
      <c r="A9" s="198"/>
      <c r="B9" s="803" t="s">
        <v>7</v>
      </c>
      <c r="C9" s="797"/>
      <c r="D9" s="796" t="s">
        <v>8</v>
      </c>
      <c r="E9" s="796"/>
      <c r="F9" s="794" t="s">
        <v>22</v>
      </c>
      <c r="G9" s="793"/>
      <c r="H9" s="792" t="s">
        <v>24</v>
      </c>
      <c r="I9" s="792"/>
      <c r="J9" s="794" t="s">
        <v>25</v>
      </c>
      <c r="K9" s="792"/>
      <c r="L9" s="794" t="s">
        <v>26</v>
      </c>
      <c r="M9" s="793"/>
      <c r="N9" s="792" t="s">
        <v>28</v>
      </c>
      <c r="O9" s="793"/>
      <c r="P9" s="792" t="s">
        <v>29</v>
      </c>
      <c r="Q9" s="793"/>
      <c r="R9" s="792" t="s">
        <v>34</v>
      </c>
      <c r="S9" s="793"/>
      <c r="T9" s="792" t="s">
        <v>35</v>
      </c>
      <c r="U9" s="793"/>
      <c r="V9" s="792" t="s">
        <v>36</v>
      </c>
      <c r="W9" s="793"/>
      <c r="X9" s="792" t="s">
        <v>37</v>
      </c>
      <c r="Y9" s="793"/>
      <c r="Z9" s="792" t="s">
        <v>38</v>
      </c>
      <c r="AA9" s="793"/>
      <c r="AB9" s="792" t="s">
        <v>60</v>
      </c>
      <c r="AC9" s="795"/>
      <c r="AE9" s="806" t="s">
        <v>27</v>
      </c>
      <c r="AF9" s="807"/>
      <c r="AG9" s="435" t="s">
        <v>43</v>
      </c>
    </row>
    <row r="10" spans="1:33" ht="18" customHeight="1" x14ac:dyDescent="0.2">
      <c r="A10" s="494" t="s">
        <v>9</v>
      </c>
      <c r="B10" s="429"/>
      <c r="C10" s="430"/>
      <c r="D10" s="7"/>
      <c r="E10" s="7"/>
      <c r="F10" s="431"/>
      <c r="G10" s="432"/>
      <c r="H10" s="433"/>
      <c r="I10" s="433"/>
      <c r="J10" s="431"/>
      <c r="K10" s="433"/>
      <c r="L10" s="431"/>
      <c r="M10" s="432"/>
      <c r="N10" s="433"/>
      <c r="O10" s="432"/>
      <c r="P10" s="433"/>
      <c r="Q10" s="432"/>
      <c r="R10" s="433"/>
      <c r="S10" s="432"/>
      <c r="T10" s="433"/>
      <c r="U10" s="432"/>
      <c r="V10" s="433"/>
      <c r="W10" s="432"/>
      <c r="X10" s="433"/>
      <c r="Y10" s="432"/>
      <c r="Z10" s="433"/>
      <c r="AA10" s="432"/>
      <c r="AB10" s="433"/>
      <c r="AC10" s="434"/>
      <c r="AE10" s="442"/>
      <c r="AF10" s="446"/>
      <c r="AG10" s="436"/>
    </row>
    <row r="11" spans="1:33" ht="15" customHeight="1" x14ac:dyDescent="0.2">
      <c r="A11" s="181" t="s">
        <v>10</v>
      </c>
      <c r="B11" s="30"/>
      <c r="C11" s="31"/>
      <c r="D11" s="3"/>
      <c r="E11" s="3"/>
      <c r="F11" s="70"/>
      <c r="G11" s="92"/>
      <c r="H11" s="64"/>
      <c r="I11" s="64"/>
      <c r="J11" s="70"/>
      <c r="K11" s="64"/>
      <c r="L11" s="70"/>
      <c r="M11" s="92"/>
      <c r="N11" s="64"/>
      <c r="O11" s="92"/>
      <c r="P11" s="64"/>
      <c r="Q11" s="92"/>
      <c r="R11" s="64"/>
      <c r="S11" s="92"/>
      <c r="T11" s="64"/>
      <c r="U11" s="92"/>
      <c r="V11" s="64"/>
      <c r="W11" s="92"/>
      <c r="X11" s="64"/>
      <c r="Y11" s="92"/>
      <c r="Z11" s="64"/>
      <c r="AA11" s="92"/>
      <c r="AB11" s="64"/>
      <c r="AC11" s="25"/>
      <c r="AE11" s="85"/>
      <c r="AF11" s="440"/>
      <c r="AG11" s="437"/>
    </row>
    <row r="12" spans="1:33" ht="15" customHeight="1" x14ac:dyDescent="0.2">
      <c r="A12" s="182" t="s">
        <v>11</v>
      </c>
      <c r="B12" s="29"/>
      <c r="C12" s="33">
        <v>595416</v>
      </c>
      <c r="D12" s="8"/>
      <c r="E12" s="39">
        <v>618600</v>
      </c>
      <c r="F12" s="69"/>
      <c r="G12" s="59">
        <v>626349</v>
      </c>
      <c r="H12" s="91"/>
      <c r="I12" s="107">
        <v>639291</v>
      </c>
      <c r="J12" s="69"/>
      <c r="K12" s="107">
        <v>681340</v>
      </c>
      <c r="L12" s="69"/>
      <c r="M12" s="59">
        <v>739592</v>
      </c>
      <c r="N12" s="91"/>
      <c r="O12" s="59">
        <v>738045</v>
      </c>
      <c r="P12" s="91"/>
      <c r="Q12" s="59">
        <v>728056</v>
      </c>
      <c r="R12" s="91"/>
      <c r="S12" s="59">
        <v>779738</v>
      </c>
      <c r="T12" s="91"/>
      <c r="U12" s="59">
        <v>747210</v>
      </c>
      <c r="V12" s="91"/>
      <c r="W12" s="59">
        <v>751281</v>
      </c>
      <c r="X12" s="91"/>
      <c r="Y12" s="59">
        <v>857985</v>
      </c>
      <c r="Z12" s="91"/>
      <c r="AA12" s="59">
        <v>886456</v>
      </c>
      <c r="AB12" s="91"/>
      <c r="AC12" s="218">
        <v>786019</v>
      </c>
      <c r="AD12" s="144"/>
      <c r="AE12" s="152"/>
      <c r="AF12" s="150">
        <f>AVERAGE(W12,U12,AC12,AA12,Y12)</f>
        <v>805790.2</v>
      </c>
      <c r="AG12" s="438">
        <f>+(AC12-U12)/U12</f>
        <v>5.1938544719690581E-2</v>
      </c>
    </row>
    <row r="13" spans="1:33" ht="15" customHeight="1" x14ac:dyDescent="0.2">
      <c r="A13" s="182" t="s">
        <v>30</v>
      </c>
      <c r="B13" s="29"/>
      <c r="C13" s="33"/>
      <c r="D13" s="8"/>
      <c r="E13" s="39"/>
      <c r="F13" s="69"/>
      <c r="G13" s="59"/>
      <c r="H13" s="91"/>
      <c r="I13" s="107"/>
      <c r="J13" s="69"/>
      <c r="K13" s="107"/>
      <c r="L13" s="69"/>
      <c r="M13" s="59"/>
      <c r="N13" s="91"/>
      <c r="O13" s="59"/>
      <c r="P13" s="91"/>
      <c r="Q13" s="59"/>
      <c r="R13" s="91"/>
      <c r="S13" s="59"/>
      <c r="T13" s="91"/>
      <c r="U13" s="59"/>
      <c r="V13" s="91"/>
      <c r="W13" s="59"/>
      <c r="X13" s="91"/>
      <c r="Y13" s="59"/>
      <c r="Z13" s="91"/>
      <c r="AA13" s="59"/>
      <c r="AB13" s="91"/>
      <c r="AC13" s="218"/>
      <c r="AD13" s="144"/>
      <c r="AE13" s="152"/>
      <c r="AF13" s="150"/>
      <c r="AG13" s="437"/>
    </row>
    <row r="14" spans="1:33" ht="29.25" customHeight="1" thickBot="1" x14ac:dyDescent="0.25">
      <c r="A14" s="266" t="s">
        <v>16</v>
      </c>
      <c r="B14" s="313"/>
      <c r="C14" s="288">
        <v>14943</v>
      </c>
      <c r="D14" s="307"/>
      <c r="E14" s="314">
        <v>15042</v>
      </c>
      <c r="F14" s="315"/>
      <c r="G14" s="286">
        <v>15246</v>
      </c>
      <c r="H14" s="285"/>
      <c r="I14" s="316">
        <v>15295</v>
      </c>
      <c r="J14" s="315"/>
      <c r="K14" s="316">
        <v>15283</v>
      </c>
      <c r="L14" s="315"/>
      <c r="M14" s="286">
        <v>15267</v>
      </c>
      <c r="N14" s="285"/>
      <c r="O14" s="286">
        <v>15245</v>
      </c>
      <c r="P14" s="285"/>
      <c r="Q14" s="286">
        <v>15286</v>
      </c>
      <c r="R14" s="285"/>
      <c r="S14" s="286">
        <v>45388</v>
      </c>
      <c r="T14" s="285"/>
      <c r="U14" s="286">
        <v>205005</v>
      </c>
      <c r="V14" s="285"/>
      <c r="W14" s="286">
        <v>466119</v>
      </c>
      <c r="X14" s="285"/>
      <c r="Y14" s="286">
        <v>451745</v>
      </c>
      <c r="Z14" s="285"/>
      <c r="AA14" s="286">
        <v>516766</v>
      </c>
      <c r="AB14" s="285"/>
      <c r="AC14" s="287">
        <v>597274</v>
      </c>
      <c r="AD14" s="144"/>
      <c r="AE14" s="146"/>
      <c r="AF14" s="150">
        <f t="shared" ref="AF14:AF21" si="0">AVERAGE(W14,U14,AC14,AA14,Y14)</f>
        <v>447381.8</v>
      </c>
      <c r="AG14" s="438">
        <f t="shared" ref="AG14:AG21" si="1">+(AC14-U14)/U14</f>
        <v>1.9134606473012854</v>
      </c>
    </row>
    <row r="15" spans="1:33" ht="18.75" customHeight="1" thickBot="1" x14ac:dyDescent="0.25">
      <c r="A15" s="275" t="s">
        <v>12</v>
      </c>
      <c r="B15" s="317"/>
      <c r="C15" s="318">
        <f>SUM(C12:C14)</f>
        <v>610359</v>
      </c>
      <c r="D15" s="319"/>
      <c r="E15" s="320">
        <f>SUM(E12:E14)</f>
        <v>633642</v>
      </c>
      <c r="F15" s="321"/>
      <c r="G15" s="290">
        <f>SUM(G12:G14)</f>
        <v>641595</v>
      </c>
      <c r="H15" s="289"/>
      <c r="I15" s="322">
        <f>SUM(I12:I14)</f>
        <v>654586</v>
      </c>
      <c r="J15" s="321"/>
      <c r="K15" s="322">
        <f>SUM(K12:K14)</f>
        <v>696623</v>
      </c>
      <c r="L15" s="321"/>
      <c r="M15" s="290">
        <f>SUM(M12:M14)</f>
        <v>754859</v>
      </c>
      <c r="N15" s="289"/>
      <c r="O15" s="290">
        <f>SUM(O12:O14)</f>
        <v>753290</v>
      </c>
      <c r="P15" s="289"/>
      <c r="Q15" s="290">
        <f>SUM(Q12:Q14)</f>
        <v>743342</v>
      </c>
      <c r="R15" s="289"/>
      <c r="S15" s="290">
        <f>SUM(S12:S14)</f>
        <v>825126</v>
      </c>
      <c r="T15" s="289"/>
      <c r="U15" s="290">
        <f>SUM(U12:U14)</f>
        <v>952215</v>
      </c>
      <c r="V15" s="289"/>
      <c r="W15" s="290">
        <f>SUM(W12:W14)</f>
        <v>1217400</v>
      </c>
      <c r="X15" s="289"/>
      <c r="Y15" s="290">
        <f>SUM(Y12:Y14)</f>
        <v>1309730</v>
      </c>
      <c r="Z15" s="289"/>
      <c r="AA15" s="290">
        <f>SUM(AA12:AA14)</f>
        <v>1403222</v>
      </c>
      <c r="AB15" s="289"/>
      <c r="AC15" s="291">
        <f>SUM(AC12:AC14)</f>
        <v>1383293</v>
      </c>
      <c r="AD15" s="144"/>
      <c r="AE15" s="273"/>
      <c r="AF15" s="274">
        <f t="shared" si="0"/>
        <v>1253172</v>
      </c>
      <c r="AG15" s="445">
        <f t="shared" si="1"/>
        <v>0.45271078485426086</v>
      </c>
    </row>
    <row r="16" spans="1:33" ht="15" customHeight="1" x14ac:dyDescent="0.2">
      <c r="A16" s="199" t="s">
        <v>13</v>
      </c>
      <c r="B16" s="29"/>
      <c r="C16" s="33"/>
      <c r="D16" s="8"/>
      <c r="E16" s="39"/>
      <c r="F16" s="69"/>
      <c r="G16" s="59"/>
      <c r="H16" s="91"/>
      <c r="I16" s="107"/>
      <c r="J16" s="69"/>
      <c r="K16" s="107"/>
      <c r="L16" s="69"/>
      <c r="M16" s="59"/>
      <c r="N16" s="91"/>
      <c r="O16" s="59"/>
      <c r="P16" s="91"/>
      <c r="Q16" s="59"/>
      <c r="R16" s="91"/>
      <c r="S16" s="59"/>
      <c r="T16" s="91"/>
      <c r="U16" s="59"/>
      <c r="V16" s="91"/>
      <c r="W16" s="59"/>
      <c r="X16" s="91"/>
      <c r="Y16" s="59"/>
      <c r="Z16" s="91"/>
      <c r="AA16" s="59"/>
      <c r="AB16" s="91"/>
      <c r="AC16" s="218"/>
      <c r="AD16" s="144"/>
      <c r="AE16" s="85"/>
      <c r="AF16" s="151"/>
      <c r="AG16" s="440"/>
    </row>
    <row r="17" spans="1:33" ht="15" customHeight="1" x14ac:dyDescent="0.2">
      <c r="A17" s="182" t="s">
        <v>11</v>
      </c>
      <c r="B17" s="30"/>
      <c r="C17" s="45">
        <v>2515069</v>
      </c>
      <c r="D17" s="3"/>
      <c r="E17" s="50">
        <v>2722943</v>
      </c>
      <c r="F17" s="70"/>
      <c r="G17" s="97">
        <v>2717230</v>
      </c>
      <c r="H17" s="64"/>
      <c r="I17" s="81">
        <v>2906062</v>
      </c>
      <c r="J17" s="70"/>
      <c r="K17" s="81">
        <v>2988286</v>
      </c>
      <c r="L17" s="70"/>
      <c r="M17" s="97">
        <v>3170579</v>
      </c>
      <c r="N17" s="64"/>
      <c r="O17" s="97">
        <v>2963680</v>
      </c>
      <c r="P17" s="64"/>
      <c r="Q17" s="97">
        <v>3054889</v>
      </c>
      <c r="R17" s="64"/>
      <c r="S17" s="97">
        <v>3069050</v>
      </c>
      <c r="T17" s="64"/>
      <c r="U17" s="97">
        <v>3168493</v>
      </c>
      <c r="V17" s="64"/>
      <c r="W17" s="97">
        <v>3242483</v>
      </c>
      <c r="X17" s="64"/>
      <c r="Y17" s="97">
        <v>3396413</v>
      </c>
      <c r="Z17" s="64"/>
      <c r="AA17" s="97">
        <v>3355444</v>
      </c>
      <c r="AB17" s="64"/>
      <c r="AC17" s="215">
        <v>2557412</v>
      </c>
      <c r="AD17" s="144"/>
      <c r="AE17" s="152"/>
      <c r="AF17" s="150">
        <f t="shared" si="0"/>
        <v>3144049</v>
      </c>
      <c r="AG17" s="438">
        <f t="shared" si="1"/>
        <v>-0.19286171691084689</v>
      </c>
    </row>
    <row r="18" spans="1:33" ht="15" customHeight="1" x14ac:dyDescent="0.2">
      <c r="A18" s="182" t="s">
        <v>30</v>
      </c>
      <c r="B18" s="30"/>
      <c r="C18" s="45"/>
      <c r="D18" s="3"/>
      <c r="E18" s="50"/>
      <c r="F18" s="70"/>
      <c r="G18" s="97"/>
      <c r="H18" s="64"/>
      <c r="I18" s="81">
        <v>24000</v>
      </c>
      <c r="J18" s="70"/>
      <c r="K18" s="81">
        <v>24000</v>
      </c>
      <c r="L18" s="70"/>
      <c r="M18" s="97">
        <v>24000</v>
      </c>
      <c r="N18" s="64"/>
      <c r="O18" s="97">
        <v>24000</v>
      </c>
      <c r="P18" s="64"/>
      <c r="Q18" s="97">
        <v>24000</v>
      </c>
      <c r="R18" s="64"/>
      <c r="S18" s="97">
        <v>24000</v>
      </c>
      <c r="T18" s="64"/>
      <c r="U18" s="97">
        <v>24000</v>
      </c>
      <c r="V18" s="64"/>
      <c r="W18" s="97">
        <v>24000</v>
      </c>
      <c r="X18" s="64"/>
      <c r="Y18" s="97">
        <v>24000</v>
      </c>
      <c r="Z18" s="64"/>
      <c r="AA18" s="97">
        <v>24000</v>
      </c>
      <c r="AB18" s="64"/>
      <c r="AC18" s="215">
        <v>24000</v>
      </c>
      <c r="AD18" s="144"/>
      <c r="AE18" s="152"/>
      <c r="AF18" s="150">
        <f t="shared" si="0"/>
        <v>24000</v>
      </c>
      <c r="AG18" s="438">
        <f t="shared" si="1"/>
        <v>0</v>
      </c>
    </row>
    <row r="19" spans="1:33" ht="28.5" customHeight="1" thickBot="1" x14ac:dyDescent="0.25">
      <c r="A19" s="266" t="s">
        <v>16</v>
      </c>
      <c r="B19" s="313"/>
      <c r="C19" s="288">
        <v>1981636</v>
      </c>
      <c r="D19" s="307"/>
      <c r="E19" s="314">
        <v>1435421</v>
      </c>
      <c r="F19" s="315"/>
      <c r="G19" s="286">
        <v>1389306</v>
      </c>
      <c r="H19" s="285"/>
      <c r="I19" s="316">
        <v>1545300</v>
      </c>
      <c r="J19" s="315"/>
      <c r="K19" s="316">
        <v>1623534</v>
      </c>
      <c r="L19" s="315"/>
      <c r="M19" s="286">
        <v>1372361</v>
      </c>
      <c r="N19" s="285"/>
      <c r="O19" s="286">
        <v>1285856</v>
      </c>
      <c r="P19" s="285"/>
      <c r="Q19" s="286">
        <v>1170255</v>
      </c>
      <c r="R19" s="285"/>
      <c r="S19" s="286">
        <v>1199330</v>
      </c>
      <c r="T19" s="285"/>
      <c r="U19" s="286">
        <v>1290787</v>
      </c>
      <c r="V19" s="285"/>
      <c r="W19" s="286">
        <v>1653216</v>
      </c>
      <c r="X19" s="285"/>
      <c r="Y19" s="286">
        <v>1450143</v>
      </c>
      <c r="Z19" s="285"/>
      <c r="AA19" s="286">
        <v>1577839</v>
      </c>
      <c r="AB19" s="285"/>
      <c r="AC19" s="287">
        <v>2147101</v>
      </c>
      <c r="AD19" s="144"/>
      <c r="AE19" s="191"/>
      <c r="AF19" s="150">
        <f t="shared" si="0"/>
        <v>1623817.2</v>
      </c>
      <c r="AG19" s="438">
        <f t="shared" si="1"/>
        <v>0.66340457410866394</v>
      </c>
    </row>
    <row r="20" spans="1:33" ht="18.75" customHeight="1" thickBot="1" x14ac:dyDescent="0.25">
      <c r="A20" s="275" t="s">
        <v>14</v>
      </c>
      <c r="B20" s="317"/>
      <c r="C20" s="318">
        <f>SUM(C17:C19)</f>
        <v>4496705</v>
      </c>
      <c r="D20" s="319"/>
      <c r="E20" s="320">
        <f>SUM(E17:E19)</f>
        <v>4158364</v>
      </c>
      <c r="F20" s="321"/>
      <c r="G20" s="290">
        <f>SUM(G17:G19)</f>
        <v>4106536</v>
      </c>
      <c r="H20" s="289"/>
      <c r="I20" s="322">
        <f>SUM(I17:I19)</f>
        <v>4475362</v>
      </c>
      <c r="J20" s="321"/>
      <c r="K20" s="322">
        <f>SUM(K17:K19)</f>
        <v>4635820</v>
      </c>
      <c r="L20" s="321"/>
      <c r="M20" s="290">
        <f>SUM(M17:M19)</f>
        <v>4566940</v>
      </c>
      <c r="N20" s="289"/>
      <c r="O20" s="290">
        <f>SUM(O17:O19)</f>
        <v>4273536</v>
      </c>
      <c r="P20" s="289"/>
      <c r="Q20" s="290">
        <f>SUM(Q17:Q19)</f>
        <v>4249144</v>
      </c>
      <c r="R20" s="289"/>
      <c r="S20" s="290">
        <f>SUM(S17:S19)</f>
        <v>4292380</v>
      </c>
      <c r="T20" s="289"/>
      <c r="U20" s="290">
        <f>SUM(U17:U19)</f>
        <v>4483280</v>
      </c>
      <c r="V20" s="289"/>
      <c r="W20" s="290">
        <f>SUM(W17:W19)</f>
        <v>4919699</v>
      </c>
      <c r="X20" s="289"/>
      <c r="Y20" s="290">
        <f>SUM(Y17:Y19)</f>
        <v>4870556</v>
      </c>
      <c r="Z20" s="289"/>
      <c r="AA20" s="290">
        <f>SUM(AA17:AA19)</f>
        <v>4957283</v>
      </c>
      <c r="AB20" s="289"/>
      <c r="AC20" s="291">
        <f>SUM(AC17:AC19)</f>
        <v>4728513</v>
      </c>
      <c r="AD20" s="144"/>
      <c r="AE20" s="273"/>
      <c r="AF20" s="274">
        <f t="shared" si="0"/>
        <v>4791866.2</v>
      </c>
      <c r="AG20" s="445">
        <f t="shared" si="1"/>
        <v>5.4699461108831032E-2</v>
      </c>
    </row>
    <row r="21" spans="1:33" ht="18.75" customHeight="1" thickBot="1" x14ac:dyDescent="0.25">
      <c r="A21" s="516" t="s">
        <v>15</v>
      </c>
      <c r="B21" s="495"/>
      <c r="C21" s="496">
        <f>SUM(C15,C20)</f>
        <v>5107064</v>
      </c>
      <c r="D21" s="497"/>
      <c r="E21" s="498">
        <f>SUM(E15,E20)</f>
        <v>4792006</v>
      </c>
      <c r="F21" s="499"/>
      <c r="G21" s="500">
        <f>SUM(G15,G20)</f>
        <v>4748131</v>
      </c>
      <c r="H21" s="501"/>
      <c r="I21" s="502">
        <f>SUM(I15,I20)</f>
        <v>5129948</v>
      </c>
      <c r="J21" s="499"/>
      <c r="K21" s="502">
        <f>SUM(K15,K20)</f>
        <v>5332443</v>
      </c>
      <c r="L21" s="499"/>
      <c r="M21" s="500">
        <f>SUM(M15,M20)</f>
        <v>5321799</v>
      </c>
      <c r="N21" s="541"/>
      <c r="O21" s="540">
        <f>SUM(O15,O20)</f>
        <v>5026826</v>
      </c>
      <c r="P21" s="541"/>
      <c r="Q21" s="540">
        <f>SUM(Q15,Q20)</f>
        <v>4992486</v>
      </c>
      <c r="R21" s="541"/>
      <c r="S21" s="540">
        <f>SUM(S15,S20)</f>
        <v>5117506</v>
      </c>
      <c r="T21" s="541"/>
      <c r="U21" s="540">
        <f>SUM(U15,U20)</f>
        <v>5435495</v>
      </c>
      <c r="V21" s="541"/>
      <c r="W21" s="540">
        <f>SUM(W15,W20)</f>
        <v>6137099</v>
      </c>
      <c r="X21" s="541"/>
      <c r="Y21" s="540">
        <f>SUM(Y15,Y20)</f>
        <v>6180286</v>
      </c>
      <c r="Z21" s="541"/>
      <c r="AA21" s="540">
        <f>SUM(AA15,AA20)</f>
        <v>6360505</v>
      </c>
      <c r="AB21" s="541"/>
      <c r="AC21" s="543">
        <f>SUM(AC15,AC20)</f>
        <v>6111806</v>
      </c>
      <c r="AD21" s="144"/>
      <c r="AE21" s="504"/>
      <c r="AF21" s="535">
        <f t="shared" si="0"/>
        <v>6045038.2000000002</v>
      </c>
      <c r="AG21" s="492">
        <f t="shared" si="1"/>
        <v>0.12442491438222278</v>
      </c>
    </row>
    <row r="22" spans="1:33" ht="18" customHeight="1" thickBot="1" x14ac:dyDescent="0.25">
      <c r="A22" s="494" t="s">
        <v>40</v>
      </c>
      <c r="B22" s="841" t="s">
        <v>7</v>
      </c>
      <c r="C22" s="805"/>
      <c r="D22" s="804" t="s">
        <v>8</v>
      </c>
      <c r="E22" s="804"/>
      <c r="F22" s="842"/>
      <c r="G22" s="843"/>
      <c r="H22" s="844"/>
      <c r="I22" s="844"/>
      <c r="J22" s="842"/>
      <c r="K22" s="844"/>
      <c r="L22" s="842"/>
      <c r="M22" s="843"/>
      <c r="N22" s="835"/>
      <c r="O22" s="836"/>
      <c r="P22" s="835"/>
      <c r="Q22" s="836"/>
      <c r="R22" s="835"/>
      <c r="S22" s="836"/>
      <c r="T22" s="835"/>
      <c r="U22" s="836"/>
      <c r="V22" s="835"/>
      <c r="W22" s="836"/>
      <c r="X22" s="835"/>
      <c r="Y22" s="836"/>
      <c r="Z22" s="835"/>
      <c r="AA22" s="836"/>
      <c r="AB22" s="835"/>
      <c r="AC22" s="839"/>
      <c r="AE22" s="779"/>
      <c r="AF22" s="821"/>
      <c r="AG22" s="449"/>
    </row>
    <row r="23" spans="1:33" ht="15" customHeight="1" x14ac:dyDescent="0.2">
      <c r="A23" s="182" t="s">
        <v>42</v>
      </c>
      <c r="B23" s="48"/>
      <c r="C23" s="46">
        <f>589859+52534</f>
        <v>642393</v>
      </c>
      <c r="D23" s="114"/>
      <c r="E23" s="103">
        <v>788888</v>
      </c>
      <c r="F23" s="569"/>
      <c r="G23" s="570">
        <v>926643</v>
      </c>
      <c r="H23" s="571"/>
      <c r="I23" s="303">
        <v>933230.6</v>
      </c>
      <c r="J23" s="572"/>
      <c r="K23" s="162">
        <v>1385683</v>
      </c>
      <c r="L23" s="69"/>
      <c r="M23" s="176">
        <v>789547</v>
      </c>
      <c r="N23" s="94"/>
      <c r="O23" s="616">
        <v>799646</v>
      </c>
      <c r="P23" s="94"/>
      <c r="Q23" s="617">
        <v>784254</v>
      </c>
      <c r="R23" s="94"/>
      <c r="S23" s="617">
        <v>844568</v>
      </c>
      <c r="T23" s="94"/>
      <c r="U23" s="617">
        <v>723320</v>
      </c>
      <c r="V23" s="94"/>
      <c r="W23" s="616">
        <v>813903.61</v>
      </c>
      <c r="X23" s="94"/>
      <c r="Y23" s="618">
        <v>867599</v>
      </c>
      <c r="Z23" s="94"/>
      <c r="AA23" s="618">
        <v>782669</v>
      </c>
      <c r="AB23" s="94"/>
      <c r="AC23" s="738"/>
      <c r="AD23" s="144"/>
      <c r="AE23" s="152"/>
      <c r="AF23" s="150">
        <f>AVERAGE(U23,S23,AA23,W23,Y23)</f>
        <v>806411.92200000002</v>
      </c>
      <c r="AG23" s="438">
        <f>+(AA23-S23)/S23</f>
        <v>-7.3290723778310335E-2</v>
      </c>
    </row>
    <row r="24" spans="1:33" ht="15" customHeight="1" x14ac:dyDescent="0.2">
      <c r="A24" s="182" t="s">
        <v>39</v>
      </c>
      <c r="B24" s="49"/>
      <c r="C24" s="47"/>
      <c r="D24" s="14"/>
      <c r="E24" s="103"/>
      <c r="F24" s="205"/>
      <c r="G24" s="345">
        <v>4398964.8499999903</v>
      </c>
      <c r="H24" s="205"/>
      <c r="I24" s="111">
        <v>4784654.4899999965</v>
      </c>
      <c r="J24" s="205"/>
      <c r="K24" s="111">
        <v>4533010.76</v>
      </c>
      <c r="L24" s="205"/>
      <c r="M24" s="111">
        <v>5048360.879999998</v>
      </c>
      <c r="N24" s="739"/>
      <c r="O24" s="619">
        <v>4555195.7200000146</v>
      </c>
      <c r="P24" s="739"/>
      <c r="Q24" s="619">
        <v>5023225.2700000023</v>
      </c>
      <c r="R24" s="739"/>
      <c r="S24" s="619">
        <v>5022474.8000000091</v>
      </c>
      <c r="T24" s="739"/>
      <c r="U24" s="619">
        <v>6153485.4099999983</v>
      </c>
      <c r="V24" s="739"/>
      <c r="W24" s="619">
        <v>6996499.6299999962</v>
      </c>
      <c r="X24" s="26"/>
      <c r="Y24" s="635">
        <v>8371392</v>
      </c>
      <c r="Z24" s="26"/>
      <c r="AA24" s="635">
        <v>7019787</v>
      </c>
      <c r="AB24" s="26"/>
      <c r="AC24" s="636"/>
      <c r="AD24" s="144"/>
      <c r="AE24" s="85"/>
      <c r="AF24" s="150">
        <f t="shared" ref="AF24:AF25" si="2">AVERAGE(U24,S24,AA24,W24,Y24)</f>
        <v>6712727.7680000011</v>
      </c>
      <c r="AG24" s="438">
        <f t="shared" ref="AG24:AG25" si="3">+(AA24-S24)/S24</f>
        <v>0.39767490719913362</v>
      </c>
    </row>
    <row r="25" spans="1:33" ht="15" customHeight="1" thickBot="1" x14ac:dyDescent="0.25">
      <c r="A25" s="190" t="s">
        <v>45</v>
      </c>
      <c r="B25" s="304"/>
      <c r="C25" s="38"/>
      <c r="D25" s="293"/>
      <c r="E25" s="242"/>
      <c r="F25" s="185"/>
      <c r="G25" s="227">
        <v>980808.23</v>
      </c>
      <c r="H25" s="185"/>
      <c r="I25" s="227">
        <v>1216670.9100000011</v>
      </c>
      <c r="J25" s="185"/>
      <c r="K25" s="227">
        <v>1266761.3200000003</v>
      </c>
      <c r="L25" s="185"/>
      <c r="M25" s="227">
        <v>1372386.48</v>
      </c>
      <c r="N25" s="740"/>
      <c r="O25" s="684">
        <v>1495196.0200000007</v>
      </c>
      <c r="P25" s="740"/>
      <c r="Q25" s="684">
        <v>1308080.2400000002</v>
      </c>
      <c r="R25" s="740"/>
      <c r="S25" s="684">
        <v>1521578.0299999989</v>
      </c>
      <c r="T25" s="740"/>
      <c r="U25" s="684">
        <v>1769819.909999999</v>
      </c>
      <c r="V25" s="740"/>
      <c r="W25" s="684">
        <v>1935712.4899999981</v>
      </c>
      <c r="X25" s="631"/>
      <c r="Y25" s="741">
        <v>2885860</v>
      </c>
      <c r="Z25" s="631"/>
      <c r="AA25" s="741">
        <v>2085173</v>
      </c>
      <c r="AB25" s="631"/>
      <c r="AC25" s="742"/>
      <c r="AD25" s="10"/>
      <c r="AE25" s="145"/>
      <c r="AF25" s="150">
        <f t="shared" si="2"/>
        <v>2039628.6859999993</v>
      </c>
      <c r="AG25" s="438">
        <f t="shared" si="3"/>
        <v>0.37040162179523684</v>
      </c>
    </row>
    <row r="26" spans="1:33" ht="18" customHeight="1" thickTop="1" x14ac:dyDescent="0.2">
      <c r="A26" s="567" t="s">
        <v>50</v>
      </c>
      <c r="B26" s="228" t="s">
        <v>20</v>
      </c>
      <c r="C26" s="229" t="s">
        <v>21</v>
      </c>
      <c r="D26" s="228" t="s">
        <v>20</v>
      </c>
      <c r="E26" s="231" t="s">
        <v>21</v>
      </c>
      <c r="F26" s="474" t="s">
        <v>20</v>
      </c>
      <c r="G26" s="477" t="s">
        <v>21</v>
      </c>
      <c r="H26" s="478" t="s">
        <v>20</v>
      </c>
      <c r="I26" s="477" t="s">
        <v>21</v>
      </c>
      <c r="J26" s="476" t="s">
        <v>20</v>
      </c>
      <c r="K26" s="550" t="s">
        <v>21</v>
      </c>
      <c r="L26" s="476" t="s">
        <v>20</v>
      </c>
      <c r="M26" s="479" t="s">
        <v>21</v>
      </c>
      <c r="N26" s="644" t="s">
        <v>20</v>
      </c>
      <c r="O26" s="643" t="s">
        <v>21</v>
      </c>
      <c r="P26" s="642" t="s">
        <v>20</v>
      </c>
      <c r="Q26" s="643" t="s">
        <v>21</v>
      </c>
      <c r="R26" s="642" t="s">
        <v>20</v>
      </c>
      <c r="S26" s="643" t="s">
        <v>21</v>
      </c>
      <c r="T26" s="642" t="s">
        <v>20</v>
      </c>
      <c r="U26" s="643" t="s">
        <v>21</v>
      </c>
      <c r="V26" s="642" t="s">
        <v>20</v>
      </c>
      <c r="W26" s="643" t="s">
        <v>21</v>
      </c>
      <c r="X26" s="642" t="s">
        <v>20</v>
      </c>
      <c r="Y26" s="643" t="s">
        <v>21</v>
      </c>
      <c r="Z26" s="642" t="s">
        <v>20</v>
      </c>
      <c r="AA26" s="643" t="s">
        <v>21</v>
      </c>
      <c r="AB26" s="642" t="s">
        <v>20</v>
      </c>
      <c r="AC26" s="613" t="s">
        <v>21</v>
      </c>
      <c r="AD26" s="173"/>
      <c r="AE26" s="481" t="s">
        <v>20</v>
      </c>
      <c r="AF26" s="480" t="s">
        <v>21</v>
      </c>
      <c r="AG26" s="482" t="s">
        <v>54</v>
      </c>
    </row>
    <row r="27" spans="1:33" ht="18.75" customHeight="1" x14ac:dyDescent="0.2">
      <c r="A27" s="23" t="s">
        <v>56</v>
      </c>
      <c r="B27" s="153">
        <v>42</v>
      </c>
      <c r="C27" s="142">
        <v>1724053.6</v>
      </c>
      <c r="D27" s="161">
        <v>49</v>
      </c>
      <c r="E27" s="302">
        <v>4972648.9000000004</v>
      </c>
      <c r="F27" s="155">
        <v>50</v>
      </c>
      <c r="G27" s="111">
        <v>2550116</v>
      </c>
      <c r="H27" s="157">
        <v>58</v>
      </c>
      <c r="I27" s="159">
        <v>2496655.9</v>
      </c>
      <c r="J27" s="168">
        <v>63</v>
      </c>
      <c r="K27" s="573">
        <v>4430226</v>
      </c>
      <c r="L27" s="165">
        <v>57</v>
      </c>
      <c r="M27" s="221">
        <v>4262208</v>
      </c>
      <c r="N27" s="627">
        <v>53</v>
      </c>
      <c r="O27" s="625">
        <v>5601146</v>
      </c>
      <c r="P27" s="627">
        <v>58</v>
      </c>
      <c r="Q27" s="625">
        <v>10160437</v>
      </c>
      <c r="R27" s="627">
        <v>59</v>
      </c>
      <c r="S27" s="625">
        <v>6452183</v>
      </c>
      <c r="T27" s="627">
        <v>74</v>
      </c>
      <c r="U27" s="625">
        <v>6537607</v>
      </c>
      <c r="V27" s="627">
        <v>60</v>
      </c>
      <c r="W27" s="625">
        <v>2703823</v>
      </c>
      <c r="X27" s="627">
        <v>67</v>
      </c>
      <c r="Y27" s="625">
        <v>6344257</v>
      </c>
      <c r="Z27" s="627">
        <v>46</v>
      </c>
      <c r="AA27" s="625">
        <v>2304856</v>
      </c>
      <c r="AB27" s="692"/>
      <c r="AC27" s="648"/>
      <c r="AD27" s="144"/>
      <c r="AE27" s="469">
        <f>AVERAGE(V27,T27,AB27,Z27,X27)</f>
        <v>61.75</v>
      </c>
      <c r="AF27" s="150">
        <f t="shared" ref="AF27:AF28" si="4">AVERAGE(W27,U27,S27,AA27,Y27)</f>
        <v>4868545.2</v>
      </c>
      <c r="AG27" s="438">
        <f t="shared" ref="AG27:AG28" si="5">+(AA27-S27)/S27</f>
        <v>-0.64277888584375242</v>
      </c>
    </row>
    <row r="28" spans="1:33" ht="18.75" customHeight="1" thickBot="1" x14ac:dyDescent="0.25">
      <c r="A28" s="568" t="s">
        <v>57</v>
      </c>
      <c r="B28" s="154">
        <v>38</v>
      </c>
      <c r="C28" s="40">
        <f>2476275</f>
        <v>2476275</v>
      </c>
      <c r="D28" s="183">
        <v>22</v>
      </c>
      <c r="E28" s="122">
        <v>815578</v>
      </c>
      <c r="F28" s="156">
        <v>43</v>
      </c>
      <c r="G28" s="135">
        <v>2376352</v>
      </c>
      <c r="H28" s="158">
        <v>41</v>
      </c>
      <c r="I28" s="135">
        <v>2058140</v>
      </c>
      <c r="J28" s="348">
        <v>30</v>
      </c>
      <c r="K28" s="552">
        <v>1408563</v>
      </c>
      <c r="L28" s="348">
        <v>36</v>
      </c>
      <c r="M28" s="351">
        <v>3396240</v>
      </c>
      <c r="N28" s="628">
        <v>35</v>
      </c>
      <c r="O28" s="626">
        <v>1582167</v>
      </c>
      <c r="P28" s="628">
        <v>29</v>
      </c>
      <c r="Q28" s="626">
        <v>1376246</v>
      </c>
      <c r="R28" s="628">
        <v>37</v>
      </c>
      <c r="S28" s="626">
        <v>2165610</v>
      </c>
      <c r="T28" s="628">
        <v>50</v>
      </c>
      <c r="U28" s="626">
        <v>10118056</v>
      </c>
      <c r="V28" s="628">
        <v>48</v>
      </c>
      <c r="W28" s="626">
        <v>4881064</v>
      </c>
      <c r="X28" s="628">
        <v>48</v>
      </c>
      <c r="Y28" s="626">
        <v>2999474</v>
      </c>
      <c r="Z28" s="628">
        <v>84</v>
      </c>
      <c r="AA28" s="626">
        <v>4755228</v>
      </c>
      <c r="AB28" s="693"/>
      <c r="AC28" s="652"/>
      <c r="AD28" s="144"/>
      <c r="AE28" s="471">
        <f>AVERAGE(V28,T28,AB28,Z28,X28)</f>
        <v>57.5</v>
      </c>
      <c r="AF28" s="150">
        <f t="shared" si="4"/>
        <v>4983886.4000000004</v>
      </c>
      <c r="AG28" s="438">
        <f t="shared" si="5"/>
        <v>1.1957914860016345</v>
      </c>
    </row>
    <row r="29" spans="1:33" ht="18" customHeight="1" thickTop="1" thickBot="1" x14ac:dyDescent="0.25">
      <c r="A29" s="112" t="s">
        <v>17</v>
      </c>
      <c r="B29" s="803" t="s">
        <v>7</v>
      </c>
      <c r="C29" s="797"/>
      <c r="D29" s="796" t="s">
        <v>8</v>
      </c>
      <c r="E29" s="796"/>
      <c r="F29" s="813"/>
      <c r="G29" s="799"/>
      <c r="H29" s="798"/>
      <c r="I29" s="798"/>
      <c r="J29" s="813"/>
      <c r="K29" s="798"/>
      <c r="L29" s="813"/>
      <c r="M29" s="799"/>
      <c r="N29" s="785"/>
      <c r="O29" s="786"/>
      <c r="P29" s="785"/>
      <c r="Q29" s="786"/>
      <c r="R29" s="785"/>
      <c r="S29" s="786"/>
      <c r="T29" s="785"/>
      <c r="U29" s="786"/>
      <c r="V29" s="785"/>
      <c r="W29" s="786"/>
      <c r="X29" s="785"/>
      <c r="Y29" s="786"/>
      <c r="Z29" s="785"/>
      <c r="AA29" s="786"/>
      <c r="AB29" s="785"/>
      <c r="AC29" s="789"/>
      <c r="AE29" s="822"/>
      <c r="AF29" s="823"/>
      <c r="AG29" s="441"/>
    </row>
    <row r="30" spans="1:33" ht="15" customHeight="1" x14ac:dyDescent="0.2">
      <c r="A30" s="77" t="s">
        <v>18</v>
      </c>
      <c r="B30" s="35"/>
      <c r="C30" s="60">
        <v>7340859.8099999996</v>
      </c>
      <c r="D30" s="184"/>
      <c r="E30" s="74">
        <v>1044792.56</v>
      </c>
      <c r="F30" s="131"/>
      <c r="G30" s="133">
        <v>2691019.8</v>
      </c>
      <c r="H30" s="124"/>
      <c r="I30" s="301">
        <v>2282487.7599999998</v>
      </c>
      <c r="J30" s="72"/>
      <c r="K30" s="137">
        <v>1923337.46</v>
      </c>
      <c r="L30" s="72"/>
      <c r="M30" s="176">
        <v>669848</v>
      </c>
      <c r="N30" s="75"/>
      <c r="O30" s="663">
        <v>1249687</v>
      </c>
      <c r="P30" s="94"/>
      <c r="Q30" s="663">
        <v>1679885.23</v>
      </c>
      <c r="R30" s="94"/>
      <c r="S30" s="663">
        <v>1179552.5900000001</v>
      </c>
      <c r="T30" s="94"/>
      <c r="U30" s="663">
        <v>2012244.09</v>
      </c>
      <c r="V30" s="94"/>
      <c r="W30" s="663">
        <v>2292982.64</v>
      </c>
      <c r="X30" s="94"/>
      <c r="Y30" s="663">
        <v>1910305.06</v>
      </c>
      <c r="Z30" s="94"/>
      <c r="AA30" s="663">
        <v>711307.89</v>
      </c>
      <c r="AB30" s="94"/>
      <c r="AC30" s="696"/>
      <c r="AD30" s="144"/>
      <c r="AE30" s="85"/>
      <c r="AF30" s="150">
        <f t="shared" ref="AF30:AF31" si="6">AVERAGE(W30,U30,S30,AA30,Y30)</f>
        <v>1621278.4539999999</v>
      </c>
      <c r="AG30" s="483">
        <f t="shared" ref="AG30:AG31" si="7">+(AA30-S30)/S30</f>
        <v>-0.39696805718514006</v>
      </c>
    </row>
    <row r="31" spans="1:33" ht="15" customHeight="1" thickBot="1" x14ac:dyDescent="0.25">
      <c r="A31" s="78" t="s">
        <v>19</v>
      </c>
      <c r="B31" s="37"/>
      <c r="C31" s="42">
        <f>819007.39+979397.25</f>
        <v>1798404.6400000001</v>
      </c>
      <c r="D31" s="185"/>
      <c r="E31" s="82">
        <f>942955.47+1208237.92</f>
        <v>2151193.3899999997</v>
      </c>
      <c r="F31" s="132"/>
      <c r="G31" s="42">
        <f>2343475.12</f>
        <v>2343475.12</v>
      </c>
      <c r="H31" s="126"/>
      <c r="I31" s="82">
        <v>2680660.36</v>
      </c>
      <c r="J31" s="73"/>
      <c r="K31" s="138">
        <v>2501538.11</v>
      </c>
      <c r="L31" s="73"/>
      <c r="M31" s="127">
        <v>1995835.29</v>
      </c>
      <c r="N31" s="706"/>
      <c r="O31" s="684">
        <v>2081641</v>
      </c>
      <c r="P31" s="631"/>
      <c r="Q31" s="684">
        <v>2258898.0099999998</v>
      </c>
      <c r="R31" s="631"/>
      <c r="S31" s="684">
        <v>2137822.86</v>
      </c>
      <c r="T31" s="631"/>
      <c r="U31" s="684">
        <v>2294252.2200000002</v>
      </c>
      <c r="V31" s="631"/>
      <c r="W31" s="684">
        <v>2568641.4300000002</v>
      </c>
      <c r="X31" s="631"/>
      <c r="Y31" s="684">
        <v>3202032.19</v>
      </c>
      <c r="Z31" s="631"/>
      <c r="AA31" s="684">
        <v>3046370</v>
      </c>
      <c r="AB31" s="631"/>
      <c r="AC31" s="743"/>
      <c r="AE31" s="145"/>
      <c r="AF31" s="592">
        <f t="shared" si="6"/>
        <v>2649823.7399999998</v>
      </c>
      <c r="AG31" s="593">
        <f t="shared" si="7"/>
        <v>0.42498710112960442</v>
      </c>
    </row>
    <row r="32" spans="1:33" s="10" customFormat="1" ht="39" customHeight="1" thickTop="1" x14ac:dyDescent="0.2">
      <c r="A32" s="596" t="s">
        <v>47</v>
      </c>
      <c r="B32" s="210"/>
      <c r="C32" s="252"/>
      <c r="D32" s="202"/>
      <c r="E32" s="306"/>
      <c r="F32" s="281"/>
      <c r="G32" s="28"/>
      <c r="H32" s="281"/>
      <c r="I32" s="28"/>
      <c r="J32" s="180"/>
      <c r="K32" s="253"/>
      <c r="L32" s="180"/>
      <c r="M32" s="253"/>
      <c r="N32" s="180"/>
      <c r="O32" s="253"/>
      <c r="P32" s="180"/>
      <c r="Q32" s="253"/>
      <c r="R32" s="180"/>
      <c r="S32" s="253"/>
      <c r="T32" s="180"/>
      <c r="U32" s="253"/>
      <c r="V32" s="180"/>
      <c r="W32" s="253"/>
      <c r="X32" s="180"/>
      <c r="Y32" s="253" t="s">
        <v>4</v>
      </c>
      <c r="Z32" s="180"/>
      <c r="AA32" s="253"/>
      <c r="AB32" s="180"/>
      <c r="AC32" s="253"/>
      <c r="AE32" s="307"/>
      <c r="AF32" s="11"/>
      <c r="AG32" s="594"/>
    </row>
    <row r="33" spans="1:32" ht="10.5" customHeight="1" x14ac:dyDescent="0.2">
      <c r="A33" s="16"/>
      <c r="B33" s="11"/>
      <c r="C33" s="17"/>
      <c r="D33" s="11"/>
      <c r="E33" s="12"/>
      <c r="F33" s="67"/>
      <c r="G33" s="63"/>
      <c r="H33" s="67"/>
      <c r="I33" s="63"/>
      <c r="J33" s="67"/>
      <c r="K33" s="63"/>
      <c r="L33" s="67"/>
      <c r="M33" s="63"/>
      <c r="N33" s="67"/>
      <c r="O33" s="63"/>
      <c r="P33" s="67"/>
      <c r="Q33" s="63"/>
      <c r="R33" s="67"/>
      <c r="S33" s="63"/>
      <c r="T33" s="67"/>
      <c r="U33" s="63"/>
      <c r="V33" s="67"/>
      <c r="W33" s="63"/>
      <c r="X33" s="67"/>
      <c r="Y33" s="63"/>
      <c r="Z33" s="67"/>
      <c r="AA33" s="63"/>
      <c r="AB33" s="67"/>
      <c r="AC33" s="63"/>
      <c r="AE33" s="10"/>
      <c r="AF33" s="254"/>
    </row>
  </sheetData>
  <mergeCells count="45">
    <mergeCell ref="AE29:AF29"/>
    <mergeCell ref="B22:C22"/>
    <mergeCell ref="D22:E22"/>
    <mergeCell ref="F22:G22"/>
    <mergeCell ref="H22:I22"/>
    <mergeCell ref="J22:K22"/>
    <mergeCell ref="L22:M22"/>
    <mergeCell ref="N22:O22"/>
    <mergeCell ref="B29:C29"/>
    <mergeCell ref="D29:E29"/>
    <mergeCell ref="F29:G29"/>
    <mergeCell ref="H29:I29"/>
    <mergeCell ref="J29:K29"/>
    <mergeCell ref="L29:M29"/>
    <mergeCell ref="N29:O29"/>
    <mergeCell ref="Z29:AA29"/>
    <mergeCell ref="D9:E9"/>
    <mergeCell ref="B9:C9"/>
    <mergeCell ref="F9:G9"/>
    <mergeCell ref="N9:O9"/>
    <mergeCell ref="Z9:AA9"/>
    <mergeCell ref="R9:S9"/>
    <mergeCell ref="P9:Q9"/>
    <mergeCell ref="J9:K9"/>
    <mergeCell ref="X9:Y9"/>
    <mergeCell ref="T9:U9"/>
    <mergeCell ref="V9:W9"/>
    <mergeCell ref="AE9:AF9"/>
    <mergeCell ref="H9:I9"/>
    <mergeCell ref="L9:M9"/>
    <mergeCell ref="T22:U22"/>
    <mergeCell ref="V22:W22"/>
    <mergeCell ref="X22:Y22"/>
    <mergeCell ref="Z22:AA22"/>
    <mergeCell ref="AE22:AF22"/>
    <mergeCell ref="P22:Q22"/>
    <mergeCell ref="R22:S22"/>
    <mergeCell ref="AB9:AC9"/>
    <mergeCell ref="AB22:AC22"/>
    <mergeCell ref="AB29:AC29"/>
    <mergeCell ref="P29:Q29"/>
    <mergeCell ref="R29:S29"/>
    <mergeCell ref="T29:U29"/>
    <mergeCell ref="V29:W29"/>
    <mergeCell ref="X29:Y29"/>
  </mergeCells>
  <phoneticPr fontId="0" type="noConversion"/>
  <printOptions horizontalCentered="1" verticalCentered="1"/>
  <pageMargins left="0.5" right="0.5" top="0.5" bottom="0.5" header="0.5" footer="0.25"/>
  <pageSetup scale="81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in="8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zoomScaleNormal="100" zoomScaleSheetLayoutView="70" workbookViewId="0">
      <pane xSplit="1" ySplit="1" topLeftCell="J17" activePane="bottomRight" state="frozen"/>
      <selection activeCell="N10" sqref="N10:AG31"/>
      <selection pane="topRight" activeCell="N10" sqref="N10:AG31"/>
      <selection pane="bottomLeft" activeCell="N10" sqref="N10:AG31"/>
      <selection pane="bottomRight" activeCell="N10" sqref="N10:AG31"/>
    </sheetView>
  </sheetViews>
  <sheetFormatPr defaultColWidth="10.28515625" defaultRowHeight="12.75" x14ac:dyDescent="0.2"/>
  <cols>
    <col min="1" max="1" width="34.42578125" style="1" customWidth="1"/>
    <col min="2" max="2" width="7.7109375" hidden="1" customWidth="1"/>
    <col min="3" max="3" width="10.42578125" hidden="1" customWidth="1"/>
    <col min="4" max="4" width="7.7109375" hidden="1" customWidth="1"/>
    <col min="5" max="5" width="10.42578125" hidden="1" customWidth="1"/>
    <col min="6" max="6" width="4.7109375" style="62" hidden="1" customWidth="1"/>
    <col min="7" max="7" width="10.42578125" style="62" hidden="1" customWidth="1"/>
    <col min="8" max="8" width="4.7109375" style="62" hidden="1" customWidth="1"/>
    <col min="9" max="9" width="11.28515625" style="62" hidden="1" customWidth="1"/>
    <col min="10" max="10" width="4.7109375" style="1" hidden="1" customWidth="1"/>
    <col min="11" max="11" width="10.42578125" style="1" hidden="1" customWidth="1"/>
    <col min="12" max="12" width="4.7109375" style="1" hidden="1" customWidth="1"/>
    <col min="13" max="13" width="10.42578125" style="1" hidden="1" customWidth="1"/>
    <col min="14" max="14" width="4.7109375" style="1" customWidth="1"/>
    <col min="15" max="15" width="10.42578125" style="1" customWidth="1"/>
    <col min="16" max="16" width="4.7109375" style="1" customWidth="1"/>
    <col min="17" max="17" width="10.42578125" style="1" customWidth="1"/>
    <col min="18" max="18" width="4.7109375" style="1" customWidth="1"/>
    <col min="19" max="19" width="10.42578125" style="1" customWidth="1"/>
    <col min="20" max="20" width="4.7109375" style="1" customWidth="1"/>
    <col min="21" max="21" width="10.42578125" style="1" customWidth="1"/>
    <col min="22" max="22" width="4.7109375" style="1" customWidth="1"/>
    <col min="23" max="23" width="10.42578125" style="1" customWidth="1"/>
    <col min="24" max="24" width="4.7109375" style="1" customWidth="1"/>
    <col min="25" max="25" width="10.42578125" style="1" customWidth="1"/>
    <col min="26" max="26" width="4.7109375" style="1" customWidth="1"/>
    <col min="27" max="27" width="10.42578125" style="1" customWidth="1"/>
    <col min="28" max="28" width="4.7109375" style="1" customWidth="1"/>
    <col min="29" max="29" width="10.42578125" style="1" customWidth="1"/>
    <col min="30" max="30" width="5.140625" style="1" customWidth="1"/>
    <col min="31" max="31" width="4.7109375" style="1" customWidth="1"/>
    <col min="32" max="32" width="10.28515625" style="1" customWidth="1"/>
    <col min="33" max="33" width="8.7109375" style="1" customWidth="1"/>
    <col min="34" max="16384" width="10.28515625" style="1"/>
  </cols>
  <sheetData>
    <row r="1" spans="1:33" ht="18" x14ac:dyDescent="0.25">
      <c r="A1" s="419" t="s">
        <v>48</v>
      </c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3" ht="15.75" x14ac:dyDescent="0.25">
      <c r="A2" s="419" t="s">
        <v>49</v>
      </c>
      <c r="B2" s="1"/>
      <c r="C2" s="1"/>
      <c r="D2" s="1"/>
      <c r="E2" s="1"/>
      <c r="F2" s="61"/>
      <c r="G2" s="61"/>
      <c r="H2" s="61"/>
      <c r="I2" s="61"/>
    </row>
    <row r="3" spans="1:33" s="10" customFormat="1" ht="12" x14ac:dyDescent="0.2">
      <c r="F3" s="66"/>
      <c r="G3" s="66"/>
      <c r="H3" s="66"/>
      <c r="I3" s="66"/>
      <c r="AG3" s="1"/>
    </row>
    <row r="4" spans="1:33" s="10" customFormat="1" ht="15.75" x14ac:dyDescent="0.25">
      <c r="A4" s="420" t="s">
        <v>41</v>
      </c>
      <c r="F4" s="66"/>
      <c r="G4" s="66"/>
      <c r="H4" s="66"/>
      <c r="I4" s="66"/>
      <c r="AG4" s="1"/>
    </row>
    <row r="5" spans="1:33" s="10" customFormat="1" ht="12" x14ac:dyDescent="0.2">
      <c r="F5" s="66"/>
      <c r="G5" s="66"/>
      <c r="H5" s="66"/>
      <c r="I5" s="66"/>
      <c r="AG5" s="1"/>
    </row>
    <row r="6" spans="1:33" x14ac:dyDescent="0.2">
      <c r="A6" s="2" t="s">
        <v>61</v>
      </c>
      <c r="B6" s="16"/>
      <c r="C6" s="21"/>
      <c r="D6" s="16"/>
      <c r="E6" s="21"/>
      <c r="F6" s="87"/>
      <c r="G6" s="108"/>
      <c r="H6" s="87"/>
      <c r="I6" s="108"/>
      <c r="J6" s="87"/>
      <c r="K6" s="108"/>
      <c r="L6" s="87"/>
      <c r="M6" s="108"/>
      <c r="N6" s="87"/>
      <c r="O6" s="108"/>
      <c r="P6" s="87"/>
      <c r="Q6" s="108"/>
      <c r="R6" s="87"/>
      <c r="S6" s="108"/>
      <c r="T6" s="87"/>
      <c r="U6" s="108"/>
      <c r="V6" s="87"/>
      <c r="W6" s="108"/>
      <c r="X6" s="87"/>
      <c r="Y6" s="108"/>
      <c r="Z6" s="87"/>
      <c r="AA6" s="108"/>
      <c r="AB6" s="87"/>
      <c r="AC6" s="108"/>
    </row>
    <row r="7" spans="1:33" x14ac:dyDescent="0.2">
      <c r="A7" s="578">
        <v>3670010090</v>
      </c>
      <c r="B7" s="10"/>
      <c r="C7" s="10"/>
      <c r="D7" s="10"/>
      <c r="E7" s="10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33" thickBot="1" x14ac:dyDescent="0.25">
      <c r="A8" s="16"/>
      <c r="B8" s="10"/>
      <c r="C8" s="10"/>
      <c r="D8" s="10"/>
      <c r="E8" s="10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E8" s="10"/>
      <c r="AF8" s="10"/>
    </row>
    <row r="9" spans="1:33" ht="30" customHeight="1" thickTop="1" thickBot="1" x14ac:dyDescent="0.25">
      <c r="A9" s="198"/>
      <c r="B9" s="803" t="s">
        <v>7</v>
      </c>
      <c r="C9" s="797"/>
      <c r="D9" s="796" t="s">
        <v>8</v>
      </c>
      <c r="E9" s="796"/>
      <c r="F9" s="794" t="s">
        <v>22</v>
      </c>
      <c r="G9" s="793"/>
      <c r="H9" s="792" t="s">
        <v>24</v>
      </c>
      <c r="I9" s="792"/>
      <c r="J9" s="794" t="s">
        <v>25</v>
      </c>
      <c r="K9" s="792"/>
      <c r="L9" s="794" t="s">
        <v>26</v>
      </c>
      <c r="M9" s="793"/>
      <c r="N9" s="792" t="s">
        <v>28</v>
      </c>
      <c r="O9" s="793"/>
      <c r="P9" s="792" t="s">
        <v>29</v>
      </c>
      <c r="Q9" s="793"/>
      <c r="R9" s="792" t="s">
        <v>34</v>
      </c>
      <c r="S9" s="793"/>
      <c r="T9" s="792" t="s">
        <v>35</v>
      </c>
      <c r="U9" s="793"/>
      <c r="V9" s="792" t="s">
        <v>36</v>
      </c>
      <c r="W9" s="793"/>
      <c r="X9" s="792" t="s">
        <v>37</v>
      </c>
      <c r="Y9" s="793"/>
      <c r="Z9" s="792" t="s">
        <v>38</v>
      </c>
      <c r="AA9" s="793"/>
      <c r="AB9" s="792" t="s">
        <v>60</v>
      </c>
      <c r="AC9" s="795"/>
      <c r="AD9" s="144"/>
      <c r="AE9" s="790" t="s">
        <v>27</v>
      </c>
      <c r="AF9" s="832"/>
      <c r="AG9" s="435" t="s">
        <v>43</v>
      </c>
    </row>
    <row r="10" spans="1:33" ht="18" customHeight="1" x14ac:dyDescent="0.2">
      <c r="A10" s="574" t="s">
        <v>9</v>
      </c>
      <c r="B10" s="429"/>
      <c r="C10" s="430"/>
      <c r="D10" s="7"/>
      <c r="E10" s="7"/>
      <c r="F10" s="431"/>
      <c r="G10" s="432"/>
      <c r="H10" s="433"/>
      <c r="I10" s="433"/>
      <c r="J10" s="431"/>
      <c r="K10" s="433"/>
      <c r="L10" s="431"/>
      <c r="M10" s="432"/>
      <c r="N10" s="433"/>
      <c r="O10" s="432"/>
      <c r="P10" s="433"/>
      <c r="Q10" s="432"/>
      <c r="R10" s="433"/>
      <c r="S10" s="432"/>
      <c r="T10" s="433"/>
      <c r="U10" s="432"/>
      <c r="V10" s="433"/>
      <c r="W10" s="432"/>
      <c r="X10" s="433"/>
      <c r="Y10" s="432"/>
      <c r="Z10" s="433"/>
      <c r="AA10" s="432"/>
      <c r="AB10" s="433"/>
      <c r="AC10" s="434"/>
      <c r="AD10" s="144"/>
      <c r="AE10" s="601"/>
      <c r="AF10" s="602"/>
      <c r="AG10" s="436"/>
    </row>
    <row r="11" spans="1:33" ht="15" customHeight="1" x14ac:dyDescent="0.2">
      <c r="A11" s="199" t="s">
        <v>10</v>
      </c>
      <c r="B11" s="30"/>
      <c r="C11" s="31"/>
      <c r="D11" s="3"/>
      <c r="E11" s="3"/>
      <c r="F11" s="70"/>
      <c r="G11" s="92"/>
      <c r="H11" s="64"/>
      <c r="I11" s="64"/>
      <c r="J11" s="70"/>
      <c r="K11" s="64"/>
      <c r="L11" s="70"/>
      <c r="M11" s="92"/>
      <c r="N11" s="64"/>
      <c r="O11" s="92"/>
      <c r="P11" s="64"/>
      <c r="Q11" s="92"/>
      <c r="R11" s="64"/>
      <c r="S11" s="92"/>
      <c r="T11" s="64"/>
      <c r="U11" s="92"/>
      <c r="V11" s="64"/>
      <c r="W11" s="92"/>
      <c r="X11" s="64"/>
      <c r="Y11" s="92"/>
      <c r="Z11" s="64"/>
      <c r="AA11" s="92"/>
      <c r="AB11" s="64"/>
      <c r="AC11" s="25"/>
      <c r="AD11" s="144"/>
      <c r="AE11" s="603"/>
      <c r="AF11" s="604"/>
      <c r="AG11" s="437"/>
    </row>
    <row r="12" spans="1:33" ht="15" customHeight="1" x14ac:dyDescent="0.2">
      <c r="A12" s="182" t="s">
        <v>11</v>
      </c>
      <c r="B12" s="29"/>
      <c r="C12" s="33">
        <v>1143096</v>
      </c>
      <c r="D12" s="8"/>
      <c r="E12" s="39">
        <v>1215922</v>
      </c>
      <c r="F12" s="69"/>
      <c r="G12" s="59">
        <v>1254038</v>
      </c>
      <c r="H12" s="104"/>
      <c r="I12" s="160">
        <v>1329581</v>
      </c>
      <c r="J12" s="104"/>
      <c r="K12" s="160">
        <v>1348989</v>
      </c>
      <c r="L12" s="104"/>
      <c r="M12" s="187">
        <v>1520349</v>
      </c>
      <c r="N12" s="186"/>
      <c r="O12" s="187">
        <v>1485186</v>
      </c>
      <c r="P12" s="186"/>
      <c r="Q12" s="187">
        <v>1528938</v>
      </c>
      <c r="R12" s="186"/>
      <c r="S12" s="187">
        <v>1676535</v>
      </c>
      <c r="T12" s="186"/>
      <c r="U12" s="187">
        <v>1728674</v>
      </c>
      <c r="V12" s="186"/>
      <c r="W12" s="187">
        <v>1748711</v>
      </c>
      <c r="X12" s="186"/>
      <c r="Y12" s="187">
        <v>1706983</v>
      </c>
      <c r="Z12" s="186"/>
      <c r="AA12" s="187">
        <v>1636338</v>
      </c>
      <c r="AB12" s="186"/>
      <c r="AC12" s="219">
        <v>1553089</v>
      </c>
      <c r="AD12" s="144"/>
      <c r="AE12" s="605"/>
      <c r="AF12" s="604">
        <f>AVERAGE(W12,U12,AC12,AA12,Y12)</f>
        <v>1674759</v>
      </c>
      <c r="AG12" s="438">
        <f>+(AC12-U12)/U12</f>
        <v>-0.10157207200432239</v>
      </c>
    </row>
    <row r="13" spans="1:33" ht="15" customHeight="1" x14ac:dyDescent="0.2">
      <c r="A13" s="182" t="s">
        <v>30</v>
      </c>
      <c r="B13" s="29"/>
      <c r="C13" s="33"/>
      <c r="D13" s="8"/>
      <c r="E13" s="39"/>
      <c r="F13" s="69"/>
      <c r="G13" s="59"/>
      <c r="H13" s="186"/>
      <c r="I13" s="160"/>
      <c r="J13" s="104"/>
      <c r="K13" s="160"/>
      <c r="L13" s="104"/>
      <c r="M13" s="187"/>
      <c r="N13" s="186"/>
      <c r="O13" s="187"/>
      <c r="P13" s="186"/>
      <c r="Q13" s="187"/>
      <c r="R13" s="186"/>
      <c r="S13" s="187"/>
      <c r="T13" s="186"/>
      <c r="U13" s="187"/>
      <c r="V13" s="186"/>
      <c r="W13" s="187"/>
      <c r="X13" s="186"/>
      <c r="Y13" s="187"/>
      <c r="Z13" s="186"/>
      <c r="AA13" s="187"/>
      <c r="AB13" s="186"/>
      <c r="AC13" s="219"/>
      <c r="AD13" s="144"/>
      <c r="AE13" s="605"/>
      <c r="AF13" s="523"/>
      <c r="AG13" s="437"/>
    </row>
    <row r="14" spans="1:33" ht="24.75" thickBot="1" x14ac:dyDescent="0.25">
      <c r="A14" s="266" t="s">
        <v>32</v>
      </c>
      <c r="B14" s="313"/>
      <c r="C14" s="288">
        <v>1850</v>
      </c>
      <c r="D14" s="307"/>
      <c r="E14" s="314">
        <v>1850</v>
      </c>
      <c r="F14" s="315"/>
      <c r="G14" s="286">
        <v>1850</v>
      </c>
      <c r="H14" s="285"/>
      <c r="I14" s="316">
        <v>1850</v>
      </c>
      <c r="J14" s="315"/>
      <c r="K14" s="316">
        <v>1850</v>
      </c>
      <c r="L14" s="315"/>
      <c r="M14" s="286">
        <v>1850</v>
      </c>
      <c r="N14" s="285"/>
      <c r="O14" s="286">
        <v>1850</v>
      </c>
      <c r="P14" s="285"/>
      <c r="Q14" s="286">
        <v>1850</v>
      </c>
      <c r="R14" s="285"/>
      <c r="S14" s="286">
        <v>1850</v>
      </c>
      <c r="T14" s="285"/>
      <c r="U14" s="286">
        <v>97874</v>
      </c>
      <c r="V14" s="285"/>
      <c r="W14" s="286">
        <v>97537</v>
      </c>
      <c r="X14" s="285"/>
      <c r="Y14" s="286">
        <v>101931</v>
      </c>
      <c r="Z14" s="285"/>
      <c r="AA14" s="286">
        <v>257885</v>
      </c>
      <c r="AB14" s="285"/>
      <c r="AC14" s="287">
        <v>170788</v>
      </c>
      <c r="AD14" s="144"/>
      <c r="AE14" s="606"/>
      <c r="AF14" s="604">
        <f t="shared" ref="AF14:AF15" si="0">AVERAGE(W14,U14,AC14,AA14,Y14)</f>
        <v>145203</v>
      </c>
      <c r="AG14" s="438">
        <f t="shared" ref="AG14:AG15" si="1">+(AC14-U14)/U14</f>
        <v>0.74497823732554103</v>
      </c>
    </row>
    <row r="15" spans="1:33" ht="18.75" customHeight="1" thickBot="1" x14ac:dyDescent="0.25">
      <c r="A15" s="275" t="s">
        <v>12</v>
      </c>
      <c r="B15" s="317"/>
      <c r="C15" s="318">
        <f>SUM(C12:C14)</f>
        <v>1144946</v>
      </c>
      <c r="D15" s="319"/>
      <c r="E15" s="320">
        <f>SUM(E12:E14)</f>
        <v>1217772</v>
      </c>
      <c r="F15" s="321"/>
      <c r="G15" s="290">
        <f>SUM(G12:G14)</f>
        <v>1255888</v>
      </c>
      <c r="H15" s="289"/>
      <c r="I15" s="322">
        <f>SUM(I12:I14)</f>
        <v>1331431</v>
      </c>
      <c r="J15" s="321"/>
      <c r="K15" s="322">
        <f>SUM(K12:K14)</f>
        <v>1350839</v>
      </c>
      <c r="L15" s="321"/>
      <c r="M15" s="290">
        <f>SUM(M12:M14)</f>
        <v>1522199</v>
      </c>
      <c r="N15" s="289"/>
      <c r="O15" s="290">
        <f>SUM(O12:O14)</f>
        <v>1487036</v>
      </c>
      <c r="P15" s="289"/>
      <c r="Q15" s="290">
        <f>SUM(Q12:Q14)</f>
        <v>1530788</v>
      </c>
      <c r="R15" s="289"/>
      <c r="S15" s="290">
        <f>SUM(S12:S14)</f>
        <v>1678385</v>
      </c>
      <c r="T15" s="289"/>
      <c r="U15" s="290">
        <f>SUM(U12:U14)</f>
        <v>1826548</v>
      </c>
      <c r="V15" s="289"/>
      <c r="W15" s="290">
        <f>SUM(W12:W14)</f>
        <v>1846248</v>
      </c>
      <c r="X15" s="289"/>
      <c r="Y15" s="290">
        <f>SUM(Y12:Y14)</f>
        <v>1808914</v>
      </c>
      <c r="Z15" s="289"/>
      <c r="AA15" s="290">
        <f>SUM(AA12:AA14)</f>
        <v>1894223</v>
      </c>
      <c r="AB15" s="289"/>
      <c r="AC15" s="291">
        <f>SUM(AC12:AC14)</f>
        <v>1723877</v>
      </c>
      <c r="AD15" s="144"/>
      <c r="AE15" s="607"/>
      <c r="AF15" s="608">
        <f t="shared" si="0"/>
        <v>1819962</v>
      </c>
      <c r="AG15" s="445">
        <f t="shared" si="1"/>
        <v>-5.621040344956716E-2</v>
      </c>
    </row>
    <row r="16" spans="1:33" ht="15" customHeight="1" x14ac:dyDescent="0.2">
      <c r="A16" s="199" t="s">
        <v>13</v>
      </c>
      <c r="B16" s="29"/>
      <c r="C16" s="33"/>
      <c r="D16" s="8"/>
      <c r="E16" s="39"/>
      <c r="F16" s="69"/>
      <c r="G16" s="59"/>
      <c r="H16" s="91"/>
      <c r="I16" s="107"/>
      <c r="J16" s="69"/>
      <c r="K16" s="107"/>
      <c r="L16" s="69"/>
      <c r="M16" s="59"/>
      <c r="N16" s="91"/>
      <c r="O16" s="59"/>
      <c r="P16" s="91"/>
      <c r="Q16" s="59"/>
      <c r="R16" s="91"/>
      <c r="S16" s="59"/>
      <c r="T16" s="91"/>
      <c r="U16" s="59"/>
      <c r="V16" s="91"/>
      <c r="W16" s="59"/>
      <c r="X16" s="91"/>
      <c r="Y16" s="59"/>
      <c r="Z16" s="91"/>
      <c r="AA16" s="59"/>
      <c r="AB16" s="91"/>
      <c r="AC16" s="218"/>
      <c r="AD16" s="144"/>
      <c r="AE16" s="603"/>
      <c r="AF16" s="604"/>
      <c r="AG16" s="440"/>
    </row>
    <row r="17" spans="1:33" ht="15" customHeight="1" x14ac:dyDescent="0.2">
      <c r="A17" s="182" t="s">
        <v>11</v>
      </c>
      <c r="B17" s="30"/>
      <c r="C17" s="45">
        <v>2196278</v>
      </c>
      <c r="D17" s="3"/>
      <c r="E17" s="50">
        <v>2202775</v>
      </c>
      <c r="F17" s="70"/>
      <c r="G17" s="97">
        <v>2255328</v>
      </c>
      <c r="H17" s="64"/>
      <c r="I17" s="81">
        <v>2302256</v>
      </c>
      <c r="J17" s="70"/>
      <c r="K17" s="81">
        <v>2444008</v>
      </c>
      <c r="L17" s="70"/>
      <c r="M17" s="97">
        <v>2636364</v>
      </c>
      <c r="N17" s="64"/>
      <c r="O17" s="97">
        <v>2507492</v>
      </c>
      <c r="P17" s="64"/>
      <c r="Q17" s="97">
        <v>2646550</v>
      </c>
      <c r="R17" s="64"/>
      <c r="S17" s="97">
        <v>2682047</v>
      </c>
      <c r="T17" s="64"/>
      <c r="U17" s="97">
        <v>2766076</v>
      </c>
      <c r="V17" s="64"/>
      <c r="W17" s="97">
        <v>2786105</v>
      </c>
      <c r="X17" s="64"/>
      <c r="Y17" s="97">
        <v>2874986</v>
      </c>
      <c r="Z17" s="64"/>
      <c r="AA17" s="97">
        <v>2718496</v>
      </c>
      <c r="AB17" s="64"/>
      <c r="AC17" s="215">
        <v>2059965</v>
      </c>
      <c r="AD17" s="144"/>
      <c r="AE17" s="605"/>
      <c r="AF17" s="604">
        <f>AVERAGE(W17,U17,AC17,AA17,Y17)</f>
        <v>2641125.6</v>
      </c>
      <c r="AG17" s="438">
        <f>+(AC17-U17)/U17</f>
        <v>-0.25527534312144712</v>
      </c>
    </row>
    <row r="18" spans="1:33" ht="15" customHeight="1" x14ac:dyDescent="0.2">
      <c r="A18" s="182" t="s">
        <v>30</v>
      </c>
      <c r="B18" s="30"/>
      <c r="C18" s="45"/>
      <c r="D18" s="3"/>
      <c r="E18" s="50"/>
      <c r="F18" s="70"/>
      <c r="G18" s="97"/>
      <c r="H18" s="64"/>
      <c r="I18" s="81"/>
      <c r="J18" s="70"/>
      <c r="K18" s="81"/>
      <c r="L18" s="70"/>
      <c r="M18" s="97"/>
      <c r="N18" s="64"/>
      <c r="O18" s="97"/>
      <c r="P18" s="64"/>
      <c r="Q18" s="97"/>
      <c r="R18" s="64"/>
      <c r="S18" s="97"/>
      <c r="T18" s="64"/>
      <c r="U18" s="97"/>
      <c r="V18" s="64"/>
      <c r="W18" s="97"/>
      <c r="X18" s="64"/>
      <c r="Y18" s="97"/>
      <c r="Z18" s="64"/>
      <c r="AA18" s="97"/>
      <c r="AB18" s="64"/>
      <c r="AC18" s="215"/>
      <c r="AD18" s="144"/>
      <c r="AE18" s="609"/>
      <c r="AF18" s="523"/>
      <c r="AG18" s="438"/>
    </row>
    <row r="19" spans="1:33" ht="24.75" thickBot="1" x14ac:dyDescent="0.25">
      <c r="A19" s="266" t="s">
        <v>32</v>
      </c>
      <c r="B19" s="313"/>
      <c r="C19" s="288">
        <v>995569</v>
      </c>
      <c r="D19" s="307"/>
      <c r="E19" s="314">
        <v>1030772</v>
      </c>
      <c r="F19" s="315"/>
      <c r="G19" s="286">
        <v>935538</v>
      </c>
      <c r="H19" s="285"/>
      <c r="I19" s="316">
        <v>947956</v>
      </c>
      <c r="J19" s="315"/>
      <c r="K19" s="316">
        <v>968864</v>
      </c>
      <c r="L19" s="315"/>
      <c r="M19" s="286">
        <v>413510</v>
      </c>
      <c r="N19" s="285"/>
      <c r="O19" s="286">
        <v>445330</v>
      </c>
      <c r="P19" s="285"/>
      <c r="Q19" s="286">
        <v>430001</v>
      </c>
      <c r="R19" s="285"/>
      <c r="S19" s="286">
        <v>413574</v>
      </c>
      <c r="T19" s="285"/>
      <c r="U19" s="286">
        <v>462310</v>
      </c>
      <c r="V19" s="285"/>
      <c r="W19" s="286">
        <v>462251</v>
      </c>
      <c r="X19" s="285"/>
      <c r="Y19" s="286">
        <v>394801</v>
      </c>
      <c r="Z19" s="285"/>
      <c r="AA19" s="286">
        <v>487817</v>
      </c>
      <c r="AB19" s="285"/>
      <c r="AC19" s="287">
        <v>1078220</v>
      </c>
      <c r="AD19" s="144"/>
      <c r="AE19" s="606"/>
      <c r="AF19" s="604">
        <f t="shared" ref="AF19:AF21" si="2">AVERAGE(W19,U19,AC19,AA19,Y19)</f>
        <v>577079.80000000005</v>
      </c>
      <c r="AG19" s="438">
        <f t="shared" ref="AG19:AG21" si="3">+(AC19-U19)/U19</f>
        <v>1.3322445977807098</v>
      </c>
    </row>
    <row r="20" spans="1:33" ht="18.75" customHeight="1" thickBot="1" x14ac:dyDescent="0.25">
      <c r="A20" s="275" t="s">
        <v>14</v>
      </c>
      <c r="B20" s="317"/>
      <c r="C20" s="318">
        <f>SUM(C17:C19)</f>
        <v>3191847</v>
      </c>
      <c r="D20" s="319"/>
      <c r="E20" s="320">
        <f>SUM(E17:E19)</f>
        <v>3233547</v>
      </c>
      <c r="F20" s="321"/>
      <c r="G20" s="290">
        <f>SUM(G17:G19)</f>
        <v>3190866</v>
      </c>
      <c r="H20" s="289"/>
      <c r="I20" s="322">
        <f>SUM(I17:I19)</f>
        <v>3250212</v>
      </c>
      <c r="J20" s="321"/>
      <c r="K20" s="322">
        <f>SUM(K17:K19)</f>
        <v>3412872</v>
      </c>
      <c r="L20" s="321"/>
      <c r="M20" s="290">
        <f>SUM(M17:M19)</f>
        <v>3049874</v>
      </c>
      <c r="N20" s="289"/>
      <c r="O20" s="290">
        <f>SUM(O17:O19)</f>
        <v>2952822</v>
      </c>
      <c r="P20" s="289"/>
      <c r="Q20" s="290">
        <f>SUM(Q17:Q19)</f>
        <v>3076551</v>
      </c>
      <c r="R20" s="289"/>
      <c r="S20" s="290">
        <f>SUM(S17:S19)</f>
        <v>3095621</v>
      </c>
      <c r="T20" s="289"/>
      <c r="U20" s="290">
        <f>SUM(U17:U19)</f>
        <v>3228386</v>
      </c>
      <c r="V20" s="289"/>
      <c r="W20" s="290">
        <f>SUM(W17:W19)</f>
        <v>3248356</v>
      </c>
      <c r="X20" s="289"/>
      <c r="Y20" s="290">
        <f>SUM(Y17:Y19)</f>
        <v>3269787</v>
      </c>
      <c r="Z20" s="289"/>
      <c r="AA20" s="290">
        <f>SUM(AA17:AA19)</f>
        <v>3206313</v>
      </c>
      <c r="AB20" s="289"/>
      <c r="AC20" s="291">
        <f>SUM(AC17:AC19)</f>
        <v>3138185</v>
      </c>
      <c r="AD20" s="144"/>
      <c r="AE20" s="607"/>
      <c r="AF20" s="608">
        <f t="shared" si="2"/>
        <v>3218205.4</v>
      </c>
      <c r="AG20" s="445">
        <f t="shared" si="3"/>
        <v>-2.7939967525568505E-2</v>
      </c>
    </row>
    <row r="21" spans="1:33" ht="18.75" customHeight="1" thickBot="1" x14ac:dyDescent="0.25">
      <c r="A21" s="515" t="s">
        <v>15</v>
      </c>
      <c r="B21" s="495"/>
      <c r="C21" s="496">
        <f>SUM(C15,C20)</f>
        <v>4336793</v>
      </c>
      <c r="D21" s="497"/>
      <c r="E21" s="498">
        <f>SUM(E15,E20)</f>
        <v>4451319</v>
      </c>
      <c r="F21" s="499"/>
      <c r="G21" s="500">
        <f>SUM(G15,G20)</f>
        <v>4446754</v>
      </c>
      <c r="H21" s="501"/>
      <c r="I21" s="502">
        <f>SUM(I15,I20)</f>
        <v>4581643</v>
      </c>
      <c r="J21" s="499"/>
      <c r="K21" s="502">
        <f>SUM(K15,K20)</f>
        <v>4763711</v>
      </c>
      <c r="L21" s="499"/>
      <c r="M21" s="500">
        <f>SUM(M15,M20)</f>
        <v>4572073</v>
      </c>
      <c r="N21" s="501"/>
      <c r="O21" s="500">
        <f>SUM(O15,O20)</f>
        <v>4439858</v>
      </c>
      <c r="P21" s="501"/>
      <c r="Q21" s="500">
        <f>SUM(Q15,Q20)</f>
        <v>4607339</v>
      </c>
      <c r="R21" s="501"/>
      <c r="S21" s="500">
        <f>SUM(S15,S20)</f>
        <v>4774006</v>
      </c>
      <c r="T21" s="501"/>
      <c r="U21" s="500">
        <f>SUM(U15,U20)</f>
        <v>5054934</v>
      </c>
      <c r="V21" s="501"/>
      <c r="W21" s="500">
        <f>SUM(W15,W20)</f>
        <v>5094604</v>
      </c>
      <c r="X21" s="501"/>
      <c r="Y21" s="500">
        <f>SUM(Y15,Y20)</f>
        <v>5078701</v>
      </c>
      <c r="Z21" s="501"/>
      <c r="AA21" s="500">
        <f>SUM(AA15,AA20)</f>
        <v>5100536</v>
      </c>
      <c r="AB21" s="501"/>
      <c r="AC21" s="503">
        <f>SUM(AC15,AC20)</f>
        <v>4862062</v>
      </c>
      <c r="AD21" s="144"/>
      <c r="AE21" s="610"/>
      <c r="AF21" s="584">
        <f t="shared" si="2"/>
        <v>5038167.4000000004</v>
      </c>
      <c r="AG21" s="492">
        <f t="shared" si="3"/>
        <v>-3.8155196487234054E-2</v>
      </c>
    </row>
    <row r="22" spans="1:33" ht="18" customHeight="1" thickBot="1" x14ac:dyDescent="0.25">
      <c r="A22" s="494" t="s">
        <v>40</v>
      </c>
      <c r="B22" s="841" t="s">
        <v>7</v>
      </c>
      <c r="C22" s="805"/>
      <c r="D22" s="804" t="s">
        <v>8</v>
      </c>
      <c r="E22" s="804"/>
      <c r="F22" s="842"/>
      <c r="G22" s="843"/>
      <c r="H22" s="844"/>
      <c r="I22" s="844"/>
      <c r="J22" s="842"/>
      <c r="K22" s="844"/>
      <c r="L22" s="842"/>
      <c r="M22" s="843"/>
      <c r="N22" s="844"/>
      <c r="O22" s="843"/>
      <c r="P22" s="844"/>
      <c r="Q22" s="843"/>
      <c r="R22" s="844"/>
      <c r="S22" s="843"/>
      <c r="T22" s="844"/>
      <c r="U22" s="843"/>
      <c r="V22" s="844"/>
      <c r="W22" s="843"/>
      <c r="X22" s="844"/>
      <c r="Y22" s="843"/>
      <c r="Z22" s="844"/>
      <c r="AA22" s="843"/>
      <c r="AB22" s="844"/>
      <c r="AC22" s="847"/>
      <c r="AD22" s="144"/>
      <c r="AE22" s="845"/>
      <c r="AF22" s="846"/>
      <c r="AG22" s="449"/>
    </row>
    <row r="23" spans="1:33" ht="15" customHeight="1" x14ac:dyDescent="0.2">
      <c r="A23" s="182" t="s">
        <v>42</v>
      </c>
      <c r="B23" s="35"/>
      <c r="C23" s="46">
        <f>1192958+75288</f>
        <v>1268246</v>
      </c>
      <c r="D23" s="3"/>
      <c r="E23" s="88">
        <v>1274655</v>
      </c>
      <c r="F23" s="69"/>
      <c r="G23" s="129">
        <v>1338343</v>
      </c>
      <c r="H23" s="91"/>
      <c r="I23" s="303">
        <v>1334138.73</v>
      </c>
      <c r="J23" s="575"/>
      <c r="K23" s="303">
        <v>1454964</v>
      </c>
      <c r="L23" s="69"/>
      <c r="M23" s="176">
        <v>1532141</v>
      </c>
      <c r="N23" s="91"/>
      <c r="O23" s="616">
        <v>1525337</v>
      </c>
      <c r="P23" s="94"/>
      <c r="Q23" s="617">
        <v>1606798</v>
      </c>
      <c r="R23" s="94"/>
      <c r="S23" s="617">
        <v>1687182</v>
      </c>
      <c r="T23" s="94"/>
      <c r="U23" s="617">
        <v>1993458</v>
      </c>
      <c r="V23" s="94"/>
      <c r="W23" s="617">
        <v>1870873.94</v>
      </c>
      <c r="X23" s="94"/>
      <c r="Y23" s="618">
        <v>1822922</v>
      </c>
      <c r="Z23" s="94"/>
      <c r="AA23" s="618">
        <v>1800467</v>
      </c>
      <c r="AB23" s="192"/>
      <c r="AC23" s="213"/>
      <c r="AD23" s="144"/>
      <c r="AE23" s="603"/>
      <c r="AF23" s="604">
        <f>AVERAGE(U23,S23,AA23,W23,Y23)</f>
        <v>1834980.588</v>
      </c>
      <c r="AG23" s="438">
        <f>+(AA23-S23)/S23</f>
        <v>6.714450486076784E-2</v>
      </c>
    </row>
    <row r="24" spans="1:33" ht="15" customHeight="1" x14ac:dyDescent="0.2">
      <c r="A24" s="182" t="s">
        <v>39</v>
      </c>
      <c r="B24" s="34"/>
      <c r="C24" s="47"/>
      <c r="D24" s="5"/>
      <c r="E24" s="103"/>
      <c r="F24" s="48"/>
      <c r="G24" s="345">
        <v>2014255.4799999988</v>
      </c>
      <c r="H24" s="48"/>
      <c r="I24" s="111">
        <v>1928467.179999999</v>
      </c>
      <c r="J24" s="48"/>
      <c r="K24" s="111">
        <v>2213131.5799999954</v>
      </c>
      <c r="L24" s="48"/>
      <c r="M24" s="111">
        <v>2738375.5400000098</v>
      </c>
      <c r="N24" s="48"/>
      <c r="O24" s="619">
        <v>2666436.7399999951</v>
      </c>
      <c r="P24" s="43"/>
      <c r="Q24" s="619">
        <v>2850578.5700000012</v>
      </c>
      <c r="R24" s="43"/>
      <c r="S24" s="619">
        <v>2924195.200000002</v>
      </c>
      <c r="T24" s="43"/>
      <c r="U24" s="619">
        <v>2722588.2699999991</v>
      </c>
      <c r="V24" s="43"/>
      <c r="W24" s="619">
        <v>2653570.430000002</v>
      </c>
      <c r="X24" s="26"/>
      <c r="Y24" s="620">
        <v>2655564</v>
      </c>
      <c r="Z24" s="26"/>
      <c r="AA24" s="620">
        <v>2832363</v>
      </c>
      <c r="AB24" s="88"/>
      <c r="AC24" s="211"/>
      <c r="AD24" s="144"/>
      <c r="AE24" s="603"/>
      <c r="AF24" s="604">
        <f t="shared" ref="AF24:AF25" si="4">AVERAGE(U24,S24,AA24,W24,Y24)</f>
        <v>2757656.1800000006</v>
      </c>
      <c r="AG24" s="438">
        <f t="shared" ref="AG24:AG25" si="5">+(AA24-S24)/S24</f>
        <v>-3.1404264667420967E-2</v>
      </c>
    </row>
    <row r="25" spans="1:33" ht="15" customHeight="1" thickBot="1" x14ac:dyDescent="0.25">
      <c r="A25" s="190" t="s">
        <v>45</v>
      </c>
      <c r="B25" s="304"/>
      <c r="C25" s="326"/>
      <c r="D25" s="331"/>
      <c r="E25" s="305"/>
      <c r="F25" s="304"/>
      <c r="G25" s="330">
        <v>951637.71</v>
      </c>
      <c r="H25" s="304"/>
      <c r="I25" s="330">
        <v>865578.22000000044</v>
      </c>
      <c r="J25" s="304"/>
      <c r="K25" s="330">
        <v>905753.12</v>
      </c>
      <c r="L25" s="304"/>
      <c r="M25" s="330">
        <v>892582.15000000026</v>
      </c>
      <c r="N25" s="304"/>
      <c r="O25" s="621">
        <v>910805.28999999957</v>
      </c>
      <c r="P25" s="622"/>
      <c r="Q25" s="621">
        <v>954007.18000000063</v>
      </c>
      <c r="R25" s="622"/>
      <c r="S25" s="621">
        <v>1025351.3400000003</v>
      </c>
      <c r="T25" s="622"/>
      <c r="U25" s="621">
        <v>1080315.7700000003</v>
      </c>
      <c r="V25" s="622"/>
      <c r="W25" s="621">
        <v>1145343.7599999993</v>
      </c>
      <c r="X25" s="623"/>
      <c r="Y25" s="624">
        <v>1019268</v>
      </c>
      <c r="Z25" s="623"/>
      <c r="AA25" s="624">
        <v>817588</v>
      </c>
      <c r="AB25" s="328"/>
      <c r="AC25" s="329"/>
      <c r="AD25" s="10"/>
      <c r="AE25" s="611"/>
      <c r="AF25" s="604">
        <f t="shared" si="4"/>
        <v>1017573.3739999998</v>
      </c>
      <c r="AG25" s="438">
        <f t="shared" si="5"/>
        <v>-0.20262648703419089</v>
      </c>
    </row>
    <row r="26" spans="1:33" ht="18" customHeight="1" thickTop="1" x14ac:dyDescent="0.2">
      <c r="A26" s="444" t="s">
        <v>53</v>
      </c>
      <c r="B26" s="485" t="s">
        <v>20</v>
      </c>
      <c r="C26" s="545" t="s">
        <v>21</v>
      </c>
      <c r="D26" s="546" t="s">
        <v>20</v>
      </c>
      <c r="E26" s="488" t="s">
        <v>21</v>
      </c>
      <c r="F26" s="476" t="s">
        <v>20</v>
      </c>
      <c r="G26" s="479" t="s">
        <v>21</v>
      </c>
      <c r="H26" s="472" t="s">
        <v>20</v>
      </c>
      <c r="I26" s="550" t="s">
        <v>21</v>
      </c>
      <c r="J26" s="476" t="s">
        <v>20</v>
      </c>
      <c r="K26" s="550" t="s">
        <v>21</v>
      </c>
      <c r="L26" s="476" t="s">
        <v>20</v>
      </c>
      <c r="M26" s="479" t="s">
        <v>21</v>
      </c>
      <c r="N26" s="472" t="s">
        <v>20</v>
      </c>
      <c r="O26" s="479" t="s">
        <v>21</v>
      </c>
      <c r="P26" s="472" t="s">
        <v>20</v>
      </c>
      <c r="Q26" s="479" t="s">
        <v>21</v>
      </c>
      <c r="R26" s="472" t="s">
        <v>20</v>
      </c>
      <c r="S26" s="479" t="s">
        <v>21</v>
      </c>
      <c r="T26" s="472" t="s">
        <v>20</v>
      </c>
      <c r="U26" s="479" t="s">
        <v>21</v>
      </c>
      <c r="V26" s="472" t="s">
        <v>20</v>
      </c>
      <c r="W26" s="479" t="s">
        <v>21</v>
      </c>
      <c r="X26" s="472" t="s">
        <v>20</v>
      </c>
      <c r="Y26" s="479" t="s">
        <v>21</v>
      </c>
      <c r="Z26" s="472" t="s">
        <v>20</v>
      </c>
      <c r="AA26" s="479" t="s">
        <v>21</v>
      </c>
      <c r="AB26" s="472" t="s">
        <v>20</v>
      </c>
      <c r="AC26" s="480" t="s">
        <v>21</v>
      </c>
      <c r="AD26" s="173"/>
      <c r="AE26" s="612" t="s">
        <v>20</v>
      </c>
      <c r="AF26" s="613" t="s">
        <v>21</v>
      </c>
      <c r="AG26" s="482" t="s">
        <v>54</v>
      </c>
    </row>
    <row r="27" spans="1:33" ht="15" customHeight="1" x14ac:dyDescent="0.2">
      <c r="A27" s="182" t="s">
        <v>56</v>
      </c>
      <c r="B27" s="153">
        <v>35</v>
      </c>
      <c r="C27" s="308">
        <v>1163069</v>
      </c>
      <c r="D27" s="161">
        <v>16</v>
      </c>
      <c r="E27" s="309">
        <v>596629.15</v>
      </c>
      <c r="F27" s="168">
        <v>24</v>
      </c>
      <c r="G27" s="221">
        <v>818332</v>
      </c>
      <c r="H27" s="222">
        <v>11</v>
      </c>
      <c r="I27" s="577">
        <v>543960.4</v>
      </c>
      <c r="J27" s="222">
        <v>19</v>
      </c>
      <c r="K27" s="576">
        <v>745107</v>
      </c>
      <c r="L27" s="165">
        <v>37</v>
      </c>
      <c r="M27" s="221">
        <v>2951160</v>
      </c>
      <c r="N27" s="165">
        <v>24</v>
      </c>
      <c r="O27" s="625">
        <v>3289678</v>
      </c>
      <c r="P27" s="165">
        <v>42</v>
      </c>
      <c r="Q27" s="625">
        <v>3055269</v>
      </c>
      <c r="R27" s="165">
        <v>37</v>
      </c>
      <c r="S27" s="625">
        <v>2942028</v>
      </c>
      <c r="T27" s="165">
        <v>33</v>
      </c>
      <c r="U27" s="625">
        <v>1487173</v>
      </c>
      <c r="V27" s="165">
        <v>32</v>
      </c>
      <c r="W27" s="625">
        <v>2548113</v>
      </c>
      <c r="X27" s="165">
        <v>43</v>
      </c>
      <c r="Y27" s="625">
        <v>3324180</v>
      </c>
      <c r="Z27" s="627">
        <v>53</v>
      </c>
      <c r="AA27" s="625">
        <v>1643191</v>
      </c>
      <c r="AB27" s="352"/>
      <c r="AC27" s="468"/>
      <c r="AD27" s="144"/>
      <c r="AE27" s="469">
        <f>AVERAGE(V27,T27,R27,Z27,X27)</f>
        <v>39.6</v>
      </c>
      <c r="AF27" s="604">
        <f t="shared" ref="AF27:AF28" si="6">AVERAGE(W27,U27,S27,AA27,Y27)</f>
        <v>2388937</v>
      </c>
      <c r="AG27" s="438">
        <f t="shared" ref="AG27:AG28" si="7">+(AA27-S27)/S27</f>
        <v>-0.4414767636473888</v>
      </c>
    </row>
    <row r="28" spans="1:33" ht="15" customHeight="1" thickBot="1" x14ac:dyDescent="0.25">
      <c r="A28" s="190" t="s">
        <v>57</v>
      </c>
      <c r="B28" s="237">
        <v>20</v>
      </c>
      <c r="C28" s="42">
        <v>390158</v>
      </c>
      <c r="D28" s="238">
        <v>15</v>
      </c>
      <c r="E28" s="226">
        <v>325670.76</v>
      </c>
      <c r="F28" s="348">
        <v>14</v>
      </c>
      <c r="G28" s="351">
        <v>387539</v>
      </c>
      <c r="H28" s="464">
        <v>16</v>
      </c>
      <c r="I28" s="350">
        <v>633383</v>
      </c>
      <c r="J28" s="464">
        <v>20</v>
      </c>
      <c r="K28" s="552">
        <v>1046426</v>
      </c>
      <c r="L28" s="348">
        <v>24</v>
      </c>
      <c r="M28" s="351">
        <v>1082763</v>
      </c>
      <c r="N28" s="348">
        <v>15</v>
      </c>
      <c r="O28" s="626">
        <v>514216</v>
      </c>
      <c r="P28" s="348">
        <v>15</v>
      </c>
      <c r="Q28" s="626">
        <v>368293</v>
      </c>
      <c r="R28" s="348">
        <v>16</v>
      </c>
      <c r="S28" s="626">
        <v>755787</v>
      </c>
      <c r="T28" s="348">
        <v>22</v>
      </c>
      <c r="U28" s="626">
        <v>610161</v>
      </c>
      <c r="V28" s="348">
        <v>18</v>
      </c>
      <c r="W28" s="626">
        <v>1212934</v>
      </c>
      <c r="X28" s="348">
        <v>22</v>
      </c>
      <c r="Y28" s="626">
        <v>528216</v>
      </c>
      <c r="Z28" s="628">
        <v>40</v>
      </c>
      <c r="AA28" s="626">
        <v>1153206</v>
      </c>
      <c r="AB28" s="353"/>
      <c r="AC28" s="470"/>
      <c r="AD28" s="144"/>
      <c r="AE28" s="471">
        <f>AVERAGE(V28,T28,R28,Z28,X28)</f>
        <v>23.6</v>
      </c>
      <c r="AF28" s="604">
        <f t="shared" si="6"/>
        <v>852060.8</v>
      </c>
      <c r="AG28" s="438">
        <f t="shared" si="7"/>
        <v>0.52583465976525134</v>
      </c>
    </row>
    <row r="29" spans="1:33" ht="18" customHeight="1" thickTop="1" thickBot="1" x14ac:dyDescent="0.25">
      <c r="A29" s="112" t="s">
        <v>17</v>
      </c>
      <c r="B29" s="803" t="s">
        <v>7</v>
      </c>
      <c r="C29" s="797"/>
      <c r="D29" s="796" t="s">
        <v>8</v>
      </c>
      <c r="E29" s="796"/>
      <c r="F29" s="813"/>
      <c r="G29" s="799"/>
      <c r="H29" s="798"/>
      <c r="I29" s="798"/>
      <c r="J29" s="813"/>
      <c r="K29" s="798"/>
      <c r="L29" s="813"/>
      <c r="M29" s="799"/>
      <c r="N29" s="798"/>
      <c r="O29" s="799"/>
      <c r="P29" s="798"/>
      <c r="Q29" s="799"/>
      <c r="R29" s="798"/>
      <c r="S29" s="799"/>
      <c r="T29" s="798"/>
      <c r="U29" s="799"/>
      <c r="V29" s="798"/>
      <c r="W29" s="799"/>
      <c r="X29" s="798"/>
      <c r="Y29" s="799"/>
      <c r="Z29" s="785"/>
      <c r="AA29" s="786"/>
      <c r="AB29" s="798"/>
      <c r="AC29" s="848"/>
      <c r="AD29" s="144"/>
      <c r="AE29" s="781"/>
      <c r="AF29" s="819"/>
      <c r="AG29" s="441"/>
    </row>
    <row r="30" spans="1:33" ht="15" customHeight="1" x14ac:dyDescent="0.2">
      <c r="A30" s="189" t="s">
        <v>18</v>
      </c>
      <c r="B30" s="35"/>
      <c r="C30" s="41">
        <v>847053.52</v>
      </c>
      <c r="D30" s="9"/>
      <c r="E30" s="74">
        <v>262144.90999999997</v>
      </c>
      <c r="F30" s="72"/>
      <c r="G30" s="115">
        <v>127059.07</v>
      </c>
      <c r="H30" s="95"/>
      <c r="I30" s="121">
        <v>214131</v>
      </c>
      <c r="J30" s="72"/>
      <c r="K30" s="121">
        <v>279670.56</v>
      </c>
      <c r="L30" s="72"/>
      <c r="M30" s="179">
        <v>103333</v>
      </c>
      <c r="N30" s="95"/>
      <c r="O30" s="629">
        <v>99865</v>
      </c>
      <c r="P30" s="94"/>
      <c r="Q30" s="629">
        <v>114341.74</v>
      </c>
      <c r="R30" s="94"/>
      <c r="S30" s="629">
        <v>150823.43</v>
      </c>
      <c r="T30" s="94"/>
      <c r="U30" s="629">
        <v>204293.29</v>
      </c>
      <c r="V30" s="94"/>
      <c r="W30" s="629">
        <v>155788.78</v>
      </c>
      <c r="X30" s="94"/>
      <c r="Y30" s="629">
        <v>216501.8</v>
      </c>
      <c r="Z30" s="95"/>
      <c r="AA30" s="179">
        <v>131829.5</v>
      </c>
      <c r="AB30" s="95"/>
      <c r="AC30" s="214"/>
      <c r="AD30" s="144"/>
      <c r="AE30" s="603"/>
      <c r="AF30" s="604">
        <f t="shared" ref="AF30:AF31" si="8">AVERAGE(W30,U30,S30,AA30,Y30)</f>
        <v>171847.36000000002</v>
      </c>
      <c r="AG30" s="483">
        <f t="shared" ref="AG30" si="9">+(AA30-S30)/S30</f>
        <v>-0.12593487629872888</v>
      </c>
    </row>
    <row r="31" spans="1:33" ht="15" customHeight="1" thickBot="1" x14ac:dyDescent="0.25">
      <c r="A31" s="190" t="s">
        <v>19</v>
      </c>
      <c r="B31" s="37"/>
      <c r="C31" s="42">
        <v>0</v>
      </c>
      <c r="D31" s="6"/>
      <c r="E31" s="79">
        <v>0</v>
      </c>
      <c r="F31" s="73"/>
      <c r="G31" s="79">
        <v>0</v>
      </c>
      <c r="H31" s="73"/>
      <c r="I31" s="79">
        <v>0</v>
      </c>
      <c r="J31" s="73"/>
      <c r="K31" s="79">
        <v>0</v>
      </c>
      <c r="L31" s="73"/>
      <c r="M31" s="102">
        <v>0</v>
      </c>
      <c r="N31" s="96"/>
      <c r="O31" s="630">
        <v>0</v>
      </c>
      <c r="P31" s="631"/>
      <c r="Q31" s="630">
        <v>0</v>
      </c>
      <c r="R31" s="631"/>
      <c r="S31" s="630">
        <v>0</v>
      </c>
      <c r="T31" s="631"/>
      <c r="U31" s="630">
        <v>0</v>
      </c>
      <c r="V31" s="631"/>
      <c r="W31" s="630">
        <v>0</v>
      </c>
      <c r="X31" s="631"/>
      <c r="Y31" s="630">
        <v>0</v>
      </c>
      <c r="Z31" s="96"/>
      <c r="AA31" s="102">
        <v>0</v>
      </c>
      <c r="AB31" s="96"/>
      <c r="AC31" s="212"/>
      <c r="AE31" s="614"/>
      <c r="AF31" s="615">
        <f t="shared" si="8"/>
        <v>0</v>
      </c>
      <c r="AG31" s="484">
        <v>0</v>
      </c>
    </row>
    <row r="32" spans="1:33" s="10" customFormat="1" ht="36.75" customHeight="1" thickTop="1" x14ac:dyDescent="0.2">
      <c r="A32" s="596" t="s">
        <v>47</v>
      </c>
      <c r="B32" s="210"/>
      <c r="C32" s="252"/>
      <c r="D32" s="210"/>
      <c r="E32" s="225"/>
      <c r="F32" s="180"/>
      <c r="G32" s="253"/>
      <c r="H32" s="180"/>
      <c r="I32" s="253"/>
      <c r="J32" s="180"/>
      <c r="K32" s="253"/>
      <c r="L32" s="180"/>
      <c r="M32" s="253"/>
      <c r="N32" s="180"/>
      <c r="O32" s="253"/>
      <c r="P32" s="180"/>
      <c r="Q32" s="253"/>
      <c r="R32" s="180"/>
      <c r="S32" s="253"/>
      <c r="T32" s="180"/>
      <c r="U32" s="253"/>
      <c r="V32" s="180"/>
      <c r="W32" s="253"/>
      <c r="X32" s="180"/>
      <c r="Y32" s="253"/>
      <c r="Z32" s="180"/>
      <c r="AA32" s="253"/>
      <c r="AB32" s="180"/>
      <c r="AC32" s="253" t="s">
        <v>4</v>
      </c>
      <c r="AF32" s="11"/>
      <c r="AG32" s="1"/>
    </row>
  </sheetData>
  <mergeCells count="45">
    <mergeCell ref="B9:C9"/>
    <mergeCell ref="T9:U9"/>
    <mergeCell ref="AE22:AF22"/>
    <mergeCell ref="AE29:AF29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J29:K29"/>
    <mergeCell ref="AB22:AC22"/>
    <mergeCell ref="AB29:AC29"/>
    <mergeCell ref="AE9:AF9"/>
    <mergeCell ref="L9:M9"/>
    <mergeCell ref="N9:O9"/>
    <mergeCell ref="P9:Q9"/>
    <mergeCell ref="R9:S9"/>
    <mergeCell ref="Z9:AA9"/>
    <mergeCell ref="V9:W9"/>
    <mergeCell ref="X9:Y9"/>
    <mergeCell ref="AB9:AC9"/>
    <mergeCell ref="Z29:AA29"/>
    <mergeCell ref="H9:I9"/>
    <mergeCell ref="F9:G9"/>
    <mergeCell ref="D9:E9"/>
    <mergeCell ref="V29:W29"/>
    <mergeCell ref="X29:Y29"/>
    <mergeCell ref="N29:O29"/>
    <mergeCell ref="P29:Q29"/>
    <mergeCell ref="R29:S29"/>
    <mergeCell ref="D29:E29"/>
    <mergeCell ref="F29:G29"/>
    <mergeCell ref="H29:I29"/>
    <mergeCell ref="J9:K9"/>
    <mergeCell ref="T29:U29"/>
    <mergeCell ref="B22:C22"/>
    <mergeCell ref="D22:E22"/>
    <mergeCell ref="F22:G22"/>
    <mergeCell ref="H22:I22"/>
    <mergeCell ref="L29:M29"/>
    <mergeCell ref="B29:C29"/>
  </mergeCells>
  <phoneticPr fontId="0" type="noConversion"/>
  <printOptions horizontalCentered="1" verticalCentered="1"/>
  <pageMargins left="0.5" right="0.5" top="0.5" bottom="0.5" header="0.5" footer="0.25"/>
  <pageSetup scale="81" orientation="landscape" horizontalDpi="4294967292" verticalDpi="4294967292" r:id="rId1"/>
  <headerFooter alignWithMargins="0">
    <oddFooter>&amp;LPrepared by Planning and Analysis&amp;C&amp;P of &amp;N&amp;RUpdated &amp;D</oddFooter>
  </headerFooter>
  <colBreaks count="1" manualBreakCount="1">
    <brk id="29" min="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zoomScaleNormal="100" zoomScaleSheetLayoutView="100" workbookViewId="0">
      <pane xSplit="1" ySplit="3" topLeftCell="N4" activePane="bottomRight" state="frozen"/>
      <selection activeCell="N10" sqref="N10:AG31"/>
      <selection pane="topRight" activeCell="N10" sqref="N10:AG31"/>
      <selection pane="bottomLeft" activeCell="N10" sqref="N10:AG31"/>
      <selection pane="bottomRight" activeCell="N10" sqref="N10:AG31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5703125" hidden="1" customWidth="1"/>
    <col min="4" max="4" width="4.7109375" hidden="1" customWidth="1"/>
    <col min="5" max="5" width="10.7109375" hidden="1" customWidth="1"/>
    <col min="6" max="6" width="4.7109375" style="62" hidden="1" customWidth="1"/>
    <col min="7" max="7" width="10.7109375" style="62" hidden="1" customWidth="1"/>
    <col min="8" max="8" width="4.7109375" style="62" hidden="1" customWidth="1"/>
    <col min="9" max="9" width="10.7109375" style="62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2.7109375" style="1" customWidth="1"/>
    <col min="31" max="31" width="4.7109375" style="1" customWidth="1"/>
    <col min="32" max="32" width="10.85546875" style="1" customWidth="1"/>
    <col min="33" max="33" width="8.7109375" style="1" customWidth="1"/>
    <col min="34" max="16384" width="10.28515625" style="1"/>
  </cols>
  <sheetData>
    <row r="1" spans="1:33" ht="15.75" x14ac:dyDescent="0.25">
      <c r="A1" s="419" t="s">
        <v>48</v>
      </c>
    </row>
    <row r="2" spans="1:33" ht="15.75" x14ac:dyDescent="0.25">
      <c r="A2" s="419" t="s">
        <v>49</v>
      </c>
    </row>
    <row r="3" spans="1:33" ht="5.25" customHeight="1" x14ac:dyDescent="0.25">
      <c r="A3" s="419"/>
    </row>
    <row r="4" spans="1:33" ht="15.75" x14ac:dyDescent="0.25">
      <c r="A4" s="420" t="s">
        <v>41</v>
      </c>
    </row>
    <row r="5" spans="1:33" ht="6" customHeight="1" x14ac:dyDescent="0.25">
      <c r="A5" s="420"/>
    </row>
    <row r="6" spans="1:33" x14ac:dyDescent="0.2">
      <c r="A6" s="2" t="s">
        <v>2</v>
      </c>
      <c r="B6" s="1"/>
      <c r="C6" s="1"/>
      <c r="D6" s="1"/>
      <c r="E6" s="1"/>
      <c r="F6" s="61"/>
      <c r="G6" s="61"/>
      <c r="H6" s="61"/>
      <c r="I6" s="61"/>
    </row>
    <row r="7" spans="1:33" x14ac:dyDescent="0.2">
      <c r="A7" s="421">
        <v>3670010110</v>
      </c>
      <c r="B7" s="1"/>
      <c r="C7" s="1"/>
      <c r="D7" s="1"/>
      <c r="E7" s="1"/>
      <c r="F7" s="61"/>
      <c r="G7" s="61"/>
      <c r="H7" s="61"/>
      <c r="I7" s="61"/>
    </row>
    <row r="8" spans="1:33" ht="12" customHeight="1" thickBot="1" x14ac:dyDescent="0.25">
      <c r="A8" s="16"/>
      <c r="B8" s="10"/>
      <c r="C8" s="10"/>
      <c r="D8" s="10"/>
      <c r="E8" s="10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E8" s="10"/>
      <c r="AF8" s="10"/>
    </row>
    <row r="9" spans="1:33" ht="30" customHeight="1" thickTop="1" thickBot="1" x14ac:dyDescent="0.25">
      <c r="A9" s="363"/>
      <c r="B9" s="803" t="s">
        <v>7</v>
      </c>
      <c r="C9" s="797"/>
      <c r="D9" s="796" t="s">
        <v>8</v>
      </c>
      <c r="E9" s="796"/>
      <c r="F9" s="794" t="s">
        <v>22</v>
      </c>
      <c r="G9" s="793"/>
      <c r="H9" s="794" t="s">
        <v>24</v>
      </c>
      <c r="I9" s="793"/>
      <c r="J9" s="792" t="s">
        <v>25</v>
      </c>
      <c r="K9" s="792"/>
      <c r="L9" s="794" t="s">
        <v>26</v>
      </c>
      <c r="M9" s="793"/>
      <c r="N9" s="792" t="s">
        <v>28</v>
      </c>
      <c r="O9" s="793"/>
      <c r="P9" s="792" t="s">
        <v>29</v>
      </c>
      <c r="Q9" s="793"/>
      <c r="R9" s="792" t="s">
        <v>34</v>
      </c>
      <c r="S9" s="793"/>
      <c r="T9" s="792" t="s">
        <v>35</v>
      </c>
      <c r="U9" s="793"/>
      <c r="V9" s="792" t="s">
        <v>36</v>
      </c>
      <c r="W9" s="793"/>
      <c r="X9" s="792" t="s">
        <v>37</v>
      </c>
      <c r="Y9" s="793"/>
      <c r="Z9" s="792" t="s">
        <v>38</v>
      </c>
      <c r="AA9" s="793"/>
      <c r="AB9" s="792" t="s">
        <v>60</v>
      </c>
      <c r="AC9" s="795"/>
      <c r="AD9" s="146"/>
      <c r="AE9" s="806" t="s">
        <v>27</v>
      </c>
      <c r="AF9" s="807"/>
      <c r="AG9" s="435" t="s">
        <v>43</v>
      </c>
    </row>
    <row r="10" spans="1:33" ht="18" customHeight="1" x14ac:dyDescent="0.2">
      <c r="A10" s="364" t="s">
        <v>9</v>
      </c>
      <c r="B10" s="365"/>
      <c r="C10" s="366"/>
      <c r="D10" s="367"/>
      <c r="E10" s="367"/>
      <c r="F10" s="368"/>
      <c r="G10" s="369"/>
      <c r="H10" s="368"/>
      <c r="I10" s="369"/>
      <c r="J10" s="370"/>
      <c r="K10" s="370"/>
      <c r="L10" s="368"/>
      <c r="M10" s="369"/>
      <c r="N10" s="744"/>
      <c r="O10" s="745"/>
      <c r="P10" s="744"/>
      <c r="Q10" s="745"/>
      <c r="R10" s="744"/>
      <c r="S10" s="745"/>
      <c r="T10" s="744"/>
      <c r="U10" s="745"/>
      <c r="V10" s="744"/>
      <c r="W10" s="745"/>
      <c r="X10" s="744"/>
      <c r="Y10" s="745"/>
      <c r="Z10" s="744"/>
      <c r="AA10" s="745"/>
      <c r="AB10" s="744"/>
      <c r="AC10" s="746"/>
      <c r="AD10" s="609"/>
      <c r="AE10" s="747"/>
      <c r="AF10" s="748"/>
      <c r="AG10" s="436"/>
    </row>
    <row r="11" spans="1:33" ht="15" customHeight="1" x14ac:dyDescent="0.2">
      <c r="A11" s="181" t="s">
        <v>10</v>
      </c>
      <c r="B11" s="371"/>
      <c r="C11" s="372"/>
      <c r="D11" s="373"/>
      <c r="E11" s="373"/>
      <c r="F11" s="374"/>
      <c r="G11" s="101"/>
      <c r="H11" s="374"/>
      <c r="I11" s="101"/>
      <c r="J11" s="88"/>
      <c r="K11" s="88"/>
      <c r="L11" s="374"/>
      <c r="M11" s="101"/>
      <c r="N11" s="26"/>
      <c r="O11" s="58"/>
      <c r="P11" s="26"/>
      <c r="Q11" s="58"/>
      <c r="R11" s="26"/>
      <c r="S11" s="58"/>
      <c r="T11" s="26"/>
      <c r="U11" s="58"/>
      <c r="V11" s="26"/>
      <c r="W11" s="58"/>
      <c r="X11" s="26"/>
      <c r="Y11" s="58"/>
      <c r="Z11" s="26"/>
      <c r="AA11" s="58"/>
      <c r="AB11" s="26"/>
      <c r="AC11" s="65"/>
      <c r="AD11" s="609"/>
      <c r="AE11" s="603"/>
      <c r="AF11" s="604"/>
      <c r="AG11" s="437"/>
    </row>
    <row r="12" spans="1:33" ht="15" customHeight="1" x14ac:dyDescent="0.2">
      <c r="A12" s="182" t="s">
        <v>11</v>
      </c>
      <c r="B12" s="375"/>
      <c r="C12" s="376">
        <v>202064</v>
      </c>
      <c r="D12" s="284"/>
      <c r="E12" s="377">
        <v>225573</v>
      </c>
      <c r="F12" s="170"/>
      <c r="G12" s="378">
        <v>204397</v>
      </c>
      <c r="H12" s="170"/>
      <c r="I12" s="378">
        <v>203633</v>
      </c>
      <c r="J12" s="192"/>
      <c r="K12" s="379">
        <v>232556</v>
      </c>
      <c r="L12" s="170"/>
      <c r="M12" s="378">
        <v>251551</v>
      </c>
      <c r="N12" s="94"/>
      <c r="O12" s="98">
        <v>249621</v>
      </c>
      <c r="P12" s="94"/>
      <c r="Q12" s="98">
        <v>254377</v>
      </c>
      <c r="R12" s="94"/>
      <c r="S12" s="98">
        <v>2099532</v>
      </c>
      <c r="T12" s="94"/>
      <c r="U12" s="98">
        <v>2849951</v>
      </c>
      <c r="V12" s="94"/>
      <c r="W12" s="98">
        <v>2902530</v>
      </c>
      <c r="X12" s="94"/>
      <c r="Y12" s="98">
        <v>3026589</v>
      </c>
      <c r="Z12" s="94"/>
      <c r="AA12" s="98">
        <v>2903591</v>
      </c>
      <c r="AB12" s="94"/>
      <c r="AC12" s="217">
        <v>2961915</v>
      </c>
      <c r="AD12" s="609"/>
      <c r="AE12" s="605"/>
      <c r="AF12" s="523">
        <f>AVERAGE(U12,AC12,Y12,W12,AA12)</f>
        <v>2928915.2</v>
      </c>
      <c r="AG12" s="438">
        <f>+(AC12-U12)/U12</f>
        <v>3.9286289483573579E-2</v>
      </c>
    </row>
    <row r="13" spans="1:33" ht="15" customHeight="1" x14ac:dyDescent="0.2">
      <c r="A13" s="182" t="s">
        <v>30</v>
      </c>
      <c r="B13" s="375"/>
      <c r="C13" s="376"/>
      <c r="D13" s="284"/>
      <c r="E13" s="377"/>
      <c r="F13" s="170"/>
      <c r="G13" s="378"/>
      <c r="H13" s="170"/>
      <c r="I13" s="378"/>
      <c r="J13" s="192"/>
      <c r="K13" s="379"/>
      <c r="L13" s="170"/>
      <c r="M13" s="378"/>
      <c r="N13" s="94"/>
      <c r="O13" s="98"/>
      <c r="P13" s="94"/>
      <c r="Q13" s="98"/>
      <c r="R13" s="94"/>
      <c r="S13" s="98"/>
      <c r="T13" s="94"/>
      <c r="U13" s="98"/>
      <c r="V13" s="94"/>
      <c r="W13" s="98"/>
      <c r="X13" s="94"/>
      <c r="Y13" s="98"/>
      <c r="Z13" s="94"/>
      <c r="AA13" s="98"/>
      <c r="AB13" s="94"/>
      <c r="AC13" s="217"/>
      <c r="AD13" s="609"/>
      <c r="AE13" s="609"/>
      <c r="AF13" s="523"/>
      <c r="AG13" s="437"/>
    </row>
    <row r="14" spans="1:33" ht="30" customHeight="1" thickBot="1" x14ac:dyDescent="0.25">
      <c r="A14" s="266" t="s">
        <v>31</v>
      </c>
      <c r="B14" s="380"/>
      <c r="C14" s="381"/>
      <c r="D14" s="325"/>
      <c r="E14" s="382"/>
      <c r="F14" s="383"/>
      <c r="G14" s="384"/>
      <c r="H14" s="383"/>
      <c r="I14" s="384"/>
      <c r="J14" s="164"/>
      <c r="K14" s="385"/>
      <c r="L14" s="383"/>
      <c r="M14" s="384"/>
      <c r="N14" s="258"/>
      <c r="O14" s="264"/>
      <c r="P14" s="258"/>
      <c r="Q14" s="264">
        <v>40912</v>
      </c>
      <c r="R14" s="258"/>
      <c r="S14" s="264">
        <v>41913</v>
      </c>
      <c r="T14" s="258"/>
      <c r="U14" s="264">
        <v>42560</v>
      </c>
      <c r="V14" s="258"/>
      <c r="W14" s="264">
        <v>53495</v>
      </c>
      <c r="X14" s="258"/>
      <c r="Y14" s="264">
        <v>163559</v>
      </c>
      <c r="Z14" s="258"/>
      <c r="AA14" s="264">
        <v>162269</v>
      </c>
      <c r="AB14" s="258"/>
      <c r="AC14" s="265">
        <v>234919</v>
      </c>
      <c r="AD14" s="609"/>
      <c r="AE14" s="606"/>
      <c r="AF14" s="583">
        <f t="shared" ref="AF14:AF15" si="0">AVERAGE(U14,AC14,Y14,W14,AA14)</f>
        <v>131360.4</v>
      </c>
      <c r="AG14" s="438">
        <f t="shared" ref="AG14:AG15" si="1">+(AC14-U14)/U14</f>
        <v>4.5197133458646617</v>
      </c>
    </row>
    <row r="15" spans="1:33" ht="17.25" customHeight="1" thickBot="1" x14ac:dyDescent="0.25">
      <c r="A15" s="275" t="s">
        <v>12</v>
      </c>
      <c r="B15" s="386"/>
      <c r="C15" s="387">
        <f>SUM(C12:C14)</f>
        <v>202064</v>
      </c>
      <c r="D15" s="388"/>
      <c r="E15" s="389">
        <f>SUM(E12:E14)</f>
        <v>225573</v>
      </c>
      <c r="F15" s="390"/>
      <c r="G15" s="391">
        <f>SUM(G12:G14)</f>
        <v>204397</v>
      </c>
      <c r="H15" s="390"/>
      <c r="I15" s="391">
        <f>SUM(I12:I14)</f>
        <v>203633</v>
      </c>
      <c r="J15" s="392"/>
      <c r="K15" s="393">
        <f>SUM(K12:K14)</f>
        <v>232556</v>
      </c>
      <c r="L15" s="390"/>
      <c r="M15" s="391">
        <f>SUM(M12:M14)</f>
        <v>251551</v>
      </c>
      <c r="N15" s="271"/>
      <c r="O15" s="270">
        <f>SUM(O12:O14)</f>
        <v>249621</v>
      </c>
      <c r="P15" s="271"/>
      <c r="Q15" s="270">
        <f>SUM(Q12:Q14)</f>
        <v>295289</v>
      </c>
      <c r="R15" s="271"/>
      <c r="S15" s="270">
        <f>SUM(S12:S14)</f>
        <v>2141445</v>
      </c>
      <c r="T15" s="271"/>
      <c r="U15" s="270">
        <f>SUM(U12:U14)</f>
        <v>2892511</v>
      </c>
      <c r="V15" s="271"/>
      <c r="W15" s="270">
        <f>SUM(W12:W14)</f>
        <v>2956025</v>
      </c>
      <c r="X15" s="271"/>
      <c r="Y15" s="270">
        <f>SUM(Y12:Y14)</f>
        <v>3190148</v>
      </c>
      <c r="Z15" s="271"/>
      <c r="AA15" s="270">
        <f>SUM(AA12:AA14)</f>
        <v>3065860</v>
      </c>
      <c r="AB15" s="271"/>
      <c r="AC15" s="272">
        <f>SUM(AC12:AC14)</f>
        <v>3196834</v>
      </c>
      <c r="AD15" s="609"/>
      <c r="AE15" s="660"/>
      <c r="AF15" s="608">
        <f t="shared" si="0"/>
        <v>3060275.6</v>
      </c>
      <c r="AG15" s="445">
        <f t="shared" si="1"/>
        <v>0.10521066298451415</v>
      </c>
    </row>
    <row r="16" spans="1:33" ht="15" customHeight="1" x14ac:dyDescent="0.2">
      <c r="A16" s="199" t="s">
        <v>13</v>
      </c>
      <c r="B16" s="375"/>
      <c r="C16" s="376"/>
      <c r="D16" s="284"/>
      <c r="E16" s="377"/>
      <c r="F16" s="170"/>
      <c r="G16" s="378"/>
      <c r="H16" s="170"/>
      <c r="I16" s="378"/>
      <c r="J16" s="192"/>
      <c r="K16" s="379"/>
      <c r="L16" s="170"/>
      <c r="M16" s="378"/>
      <c r="N16" s="94"/>
      <c r="O16" s="98"/>
      <c r="P16" s="94"/>
      <c r="Q16" s="98"/>
      <c r="R16" s="94"/>
      <c r="S16" s="98"/>
      <c r="T16" s="94"/>
      <c r="U16" s="98"/>
      <c r="V16" s="94"/>
      <c r="W16" s="98"/>
      <c r="X16" s="94"/>
      <c r="Y16" s="98"/>
      <c r="Z16" s="94"/>
      <c r="AA16" s="98"/>
      <c r="AB16" s="94"/>
      <c r="AC16" s="217"/>
      <c r="AD16" s="609"/>
      <c r="AE16" s="603"/>
      <c r="AF16" s="604"/>
      <c r="AG16" s="440"/>
    </row>
    <row r="17" spans="1:33" ht="15" customHeight="1" x14ac:dyDescent="0.2">
      <c r="A17" s="182" t="s">
        <v>11</v>
      </c>
      <c r="B17" s="371"/>
      <c r="C17" s="395">
        <v>2339343</v>
      </c>
      <c r="D17" s="373"/>
      <c r="E17" s="396">
        <v>2481457</v>
      </c>
      <c r="F17" s="374"/>
      <c r="G17" s="397">
        <v>2336248</v>
      </c>
      <c r="H17" s="374"/>
      <c r="I17" s="397">
        <v>2395390</v>
      </c>
      <c r="J17" s="88"/>
      <c r="K17" s="398">
        <v>2466616</v>
      </c>
      <c r="L17" s="374"/>
      <c r="M17" s="397">
        <v>2784583</v>
      </c>
      <c r="N17" s="26"/>
      <c r="O17" s="99">
        <v>2550792</v>
      </c>
      <c r="P17" s="26"/>
      <c r="Q17" s="99">
        <v>2599468</v>
      </c>
      <c r="R17" s="26"/>
      <c r="S17" s="99">
        <v>903313</v>
      </c>
      <c r="T17" s="26"/>
      <c r="U17" s="99">
        <v>391691</v>
      </c>
      <c r="V17" s="26"/>
      <c r="W17" s="99">
        <v>458534</v>
      </c>
      <c r="X17" s="26"/>
      <c r="Y17" s="99">
        <v>707620</v>
      </c>
      <c r="Z17" s="26"/>
      <c r="AA17" s="99">
        <v>705454</v>
      </c>
      <c r="AB17" s="26"/>
      <c r="AC17" s="216">
        <v>158062</v>
      </c>
      <c r="AD17" s="609"/>
      <c r="AE17" s="605"/>
      <c r="AF17" s="523">
        <f t="shared" ref="AF17:AF21" si="2">AVERAGE(U17,AC17,Y17,W17,AA17)</f>
        <v>484272.2</v>
      </c>
      <c r="AG17" s="438">
        <f t="shared" ref="AG17:AG21" si="3">+(AC17-U17)/U17</f>
        <v>-0.59646251764783975</v>
      </c>
    </row>
    <row r="18" spans="1:33" ht="15" customHeight="1" x14ac:dyDescent="0.2">
      <c r="A18" s="182" t="s">
        <v>30</v>
      </c>
      <c r="B18" s="371"/>
      <c r="C18" s="395"/>
      <c r="D18" s="373"/>
      <c r="E18" s="396"/>
      <c r="F18" s="374"/>
      <c r="G18" s="399"/>
      <c r="H18" s="374"/>
      <c r="I18" s="397">
        <v>24540</v>
      </c>
      <c r="J18" s="88"/>
      <c r="K18" s="398">
        <v>24539</v>
      </c>
      <c r="L18" s="374"/>
      <c r="M18" s="397">
        <v>24535</v>
      </c>
      <c r="N18" s="26"/>
      <c r="O18" s="99">
        <v>24539</v>
      </c>
      <c r="P18" s="26"/>
      <c r="Q18" s="99">
        <v>24532</v>
      </c>
      <c r="R18" s="26"/>
      <c r="S18" s="99">
        <v>24533</v>
      </c>
      <c r="T18" s="26"/>
      <c r="U18" s="99">
        <v>24532</v>
      </c>
      <c r="V18" s="26"/>
      <c r="W18" s="99">
        <v>24525</v>
      </c>
      <c r="X18" s="26"/>
      <c r="Y18" s="99">
        <v>24524</v>
      </c>
      <c r="Z18" s="26"/>
      <c r="AA18" s="99">
        <v>24527</v>
      </c>
      <c r="AB18" s="26"/>
      <c r="AC18" s="216">
        <v>24529</v>
      </c>
      <c r="AD18" s="609"/>
      <c r="AE18" s="609"/>
      <c r="AF18" s="523">
        <f t="shared" si="2"/>
        <v>24527.4</v>
      </c>
      <c r="AG18" s="438">
        <f t="shared" si="3"/>
        <v>-1.222892548508071E-4</v>
      </c>
    </row>
    <row r="19" spans="1:33" ht="30" customHeight="1" thickBot="1" x14ac:dyDescent="0.25">
      <c r="A19" s="266" t="s">
        <v>32</v>
      </c>
      <c r="B19" s="380"/>
      <c r="C19" s="400">
        <v>1503906</v>
      </c>
      <c r="D19" s="401"/>
      <c r="E19" s="402">
        <v>588397</v>
      </c>
      <c r="F19" s="403"/>
      <c r="G19" s="404">
        <v>563446</v>
      </c>
      <c r="H19" s="403"/>
      <c r="I19" s="400">
        <v>666915</v>
      </c>
      <c r="J19" s="164"/>
      <c r="K19" s="382">
        <v>685794</v>
      </c>
      <c r="L19" s="383"/>
      <c r="M19" s="381">
        <v>522810</v>
      </c>
      <c r="N19" s="258"/>
      <c r="O19" s="749">
        <v>564196</v>
      </c>
      <c r="P19" s="258"/>
      <c r="Q19" s="749">
        <v>571975</v>
      </c>
      <c r="R19" s="258"/>
      <c r="S19" s="264">
        <v>584202</v>
      </c>
      <c r="T19" s="258"/>
      <c r="U19" s="750">
        <v>592688</v>
      </c>
      <c r="V19" s="258"/>
      <c r="W19" s="264">
        <v>708078</v>
      </c>
      <c r="X19" s="258"/>
      <c r="Y19" s="264">
        <v>691795</v>
      </c>
      <c r="Z19" s="258"/>
      <c r="AA19" s="264">
        <v>875624</v>
      </c>
      <c r="AB19" s="258"/>
      <c r="AC19" s="265">
        <v>1542970</v>
      </c>
      <c r="AD19" s="609"/>
      <c r="AE19" s="606"/>
      <c r="AF19" s="523">
        <f t="shared" si="2"/>
        <v>882231</v>
      </c>
      <c r="AG19" s="438">
        <f t="shared" si="3"/>
        <v>1.603342736819372</v>
      </c>
    </row>
    <row r="20" spans="1:33" ht="18.75" customHeight="1" thickBot="1" x14ac:dyDescent="0.25">
      <c r="A20" s="275" t="s">
        <v>14</v>
      </c>
      <c r="B20" s="386"/>
      <c r="C20" s="405">
        <f>SUM(C17:C19)</f>
        <v>3843249</v>
      </c>
      <c r="D20" s="406"/>
      <c r="E20" s="407">
        <f>SUM(E17:E19)</f>
        <v>3069854</v>
      </c>
      <c r="F20" s="408"/>
      <c r="G20" s="409">
        <f>SUM(G17:G19)</f>
        <v>2899694</v>
      </c>
      <c r="H20" s="408"/>
      <c r="I20" s="409">
        <f>SUM(I17:I19)</f>
        <v>3086845</v>
      </c>
      <c r="J20" s="392"/>
      <c r="K20" s="393">
        <f>SUM(K17:K19)</f>
        <v>3176949</v>
      </c>
      <c r="L20" s="390"/>
      <c r="M20" s="391">
        <f>SUM(M17:M19)</f>
        <v>3331928</v>
      </c>
      <c r="N20" s="271"/>
      <c r="O20" s="270">
        <f>SUM(O17:O19)</f>
        <v>3139527</v>
      </c>
      <c r="P20" s="271"/>
      <c r="Q20" s="270">
        <f>SUM(Q17:Q19)</f>
        <v>3195975</v>
      </c>
      <c r="R20" s="271"/>
      <c r="S20" s="270">
        <f>SUM(S17:S19)</f>
        <v>1512048</v>
      </c>
      <c r="T20" s="271"/>
      <c r="U20" s="270">
        <f>SUM(U17:U19)</f>
        <v>1008911</v>
      </c>
      <c r="V20" s="271"/>
      <c r="W20" s="270">
        <f>SUM(W17:W19)</f>
        <v>1191137</v>
      </c>
      <c r="X20" s="271"/>
      <c r="Y20" s="270">
        <f>SUM(Y17:Y19)</f>
        <v>1423939</v>
      </c>
      <c r="Z20" s="271"/>
      <c r="AA20" s="270">
        <f>SUM(AA17:AA19)</f>
        <v>1605605</v>
      </c>
      <c r="AB20" s="271"/>
      <c r="AC20" s="272">
        <f>SUM(AC17:AC19)</f>
        <v>1725561</v>
      </c>
      <c r="AD20" s="609"/>
      <c r="AE20" s="660"/>
      <c r="AF20" s="608">
        <f t="shared" si="2"/>
        <v>1391030.6</v>
      </c>
      <c r="AG20" s="491">
        <f t="shared" si="3"/>
        <v>0.7103203354904446</v>
      </c>
    </row>
    <row r="21" spans="1:33" ht="18.75" customHeight="1" thickBot="1" x14ac:dyDescent="0.25">
      <c r="A21" s="354" t="s">
        <v>15</v>
      </c>
      <c r="B21" s="410"/>
      <c r="C21" s="411">
        <f>SUM(C15,C20)</f>
        <v>4045313</v>
      </c>
      <c r="D21" s="223"/>
      <c r="E21" s="412">
        <f>SUM(E15,E20)</f>
        <v>3295427</v>
      </c>
      <c r="F21" s="413"/>
      <c r="G21" s="414">
        <f>SUM(G15,G20)</f>
        <v>3104091</v>
      </c>
      <c r="H21" s="413"/>
      <c r="I21" s="414">
        <f>SUM(I15,I20)</f>
        <v>3290478</v>
      </c>
      <c r="J21" s="262"/>
      <c r="K21" s="415">
        <f>SUM(K15,K20)</f>
        <v>3409505</v>
      </c>
      <c r="L21" s="416"/>
      <c r="M21" s="417">
        <f>SUM(M15,M20)</f>
        <v>3583479</v>
      </c>
      <c r="N21" s="117"/>
      <c r="O21" s="751">
        <f>SUM(O15,O20)</f>
        <v>3389148</v>
      </c>
      <c r="P21" s="117"/>
      <c r="Q21" s="751">
        <f>SUM(Q15,Q20)</f>
        <v>3491264</v>
      </c>
      <c r="R21" s="117"/>
      <c r="S21" s="751">
        <f>SUM(S15,S20)</f>
        <v>3653493</v>
      </c>
      <c r="T21" s="117"/>
      <c r="U21" s="751">
        <f>SUM(U15,U20)</f>
        <v>3901422</v>
      </c>
      <c r="V21" s="117"/>
      <c r="W21" s="751">
        <f>SUM(W15,W20)</f>
        <v>4147162</v>
      </c>
      <c r="X21" s="117"/>
      <c r="Y21" s="751">
        <f>SUM(Y15,Y20)</f>
        <v>4614087</v>
      </c>
      <c r="Z21" s="117"/>
      <c r="AA21" s="751">
        <f>SUM(AA15,AA20)</f>
        <v>4671465</v>
      </c>
      <c r="AB21" s="117"/>
      <c r="AC21" s="752">
        <f>SUM(AC15,AC20)</f>
        <v>4922395</v>
      </c>
      <c r="AD21" s="609"/>
      <c r="AE21" s="668"/>
      <c r="AF21" s="669">
        <f t="shared" si="2"/>
        <v>4451306.2</v>
      </c>
      <c r="AG21" s="492">
        <f t="shared" si="3"/>
        <v>0.26169253159489025</v>
      </c>
    </row>
    <row r="22" spans="1:33" ht="18" customHeight="1" x14ac:dyDescent="0.2">
      <c r="A22" s="355" t="s">
        <v>46</v>
      </c>
      <c r="B22" s="859"/>
      <c r="C22" s="860"/>
      <c r="D22" s="861"/>
      <c r="E22" s="861"/>
      <c r="F22" s="862"/>
      <c r="G22" s="863"/>
      <c r="H22" s="862"/>
      <c r="I22" s="863"/>
      <c r="J22" s="864"/>
      <c r="K22" s="864"/>
      <c r="L22" s="857"/>
      <c r="M22" s="858"/>
      <c r="N22" s="852"/>
      <c r="O22" s="853"/>
      <c r="P22" s="852"/>
      <c r="Q22" s="853"/>
      <c r="R22" s="852"/>
      <c r="S22" s="853"/>
      <c r="T22" s="852"/>
      <c r="U22" s="853"/>
      <c r="V22" s="852"/>
      <c r="W22" s="853"/>
      <c r="X22" s="852"/>
      <c r="Y22" s="853"/>
      <c r="Z22" s="852"/>
      <c r="AA22" s="853"/>
      <c r="AB22" s="852"/>
      <c r="AC22" s="854"/>
      <c r="AD22" s="753"/>
      <c r="AE22" s="817"/>
      <c r="AF22" s="818"/>
      <c r="AG22" s="449"/>
    </row>
    <row r="23" spans="1:33" ht="15" customHeight="1" x14ac:dyDescent="0.2">
      <c r="A23" s="182" t="s">
        <v>42</v>
      </c>
      <c r="B23" s="48"/>
      <c r="C23" s="46">
        <f>5999+205012</f>
        <v>211011</v>
      </c>
      <c r="D23" s="204"/>
      <c r="E23" s="103">
        <v>273411</v>
      </c>
      <c r="F23" s="55"/>
      <c r="G23" s="111">
        <v>247527.07</v>
      </c>
      <c r="H23" s="55"/>
      <c r="I23" s="111">
        <v>222610.56</v>
      </c>
      <c r="J23" s="70"/>
      <c r="K23" s="101">
        <v>241409</v>
      </c>
      <c r="L23" s="70"/>
      <c r="M23" s="356">
        <v>214830</v>
      </c>
      <c r="N23" s="26"/>
      <c r="O23" s="58">
        <v>289997</v>
      </c>
      <c r="P23" s="26"/>
      <c r="Q23" s="58">
        <v>236890</v>
      </c>
      <c r="R23" s="26"/>
      <c r="S23" s="58">
        <v>115687</v>
      </c>
      <c r="T23" s="26"/>
      <c r="U23" s="58">
        <v>483477</v>
      </c>
      <c r="V23" s="26"/>
      <c r="W23" s="58">
        <v>478417.62</v>
      </c>
      <c r="X23" s="26"/>
      <c r="Y23" s="635">
        <v>435805</v>
      </c>
      <c r="Z23" s="26"/>
      <c r="AA23" s="635">
        <v>542566</v>
      </c>
      <c r="AB23" s="26"/>
      <c r="AC23" s="636"/>
      <c r="AD23" s="634"/>
      <c r="AE23" s="605"/>
      <c r="AF23" s="523">
        <f>AVERAGE(U23,S23,AA23,W23,Y23)</f>
        <v>411190.52400000003</v>
      </c>
      <c r="AG23" s="438">
        <f>+(AA23-S23)/S23</f>
        <v>3.6899478765980622</v>
      </c>
    </row>
    <row r="24" spans="1:33" ht="15" customHeight="1" x14ac:dyDescent="0.2">
      <c r="A24" s="182" t="s">
        <v>44</v>
      </c>
      <c r="B24" s="34"/>
      <c r="C24" s="47"/>
      <c r="D24" s="205"/>
      <c r="E24" s="103"/>
      <c r="F24" s="205"/>
      <c r="G24" s="347">
        <v>5900227.939999993</v>
      </c>
      <c r="H24" s="205"/>
      <c r="I24" s="103">
        <v>6600016.2500000047</v>
      </c>
      <c r="J24" s="205"/>
      <c r="K24" s="103">
        <v>5903836.4900000039</v>
      </c>
      <c r="L24" s="205"/>
      <c r="M24" s="103">
        <v>8454129.5500000156</v>
      </c>
      <c r="N24" s="739"/>
      <c r="O24" s="754">
        <v>7928478.0099999961</v>
      </c>
      <c r="P24" s="739"/>
      <c r="Q24" s="754">
        <v>8744673.3900000062</v>
      </c>
      <c r="R24" s="739"/>
      <c r="S24" s="754">
        <v>8215236.6799999997</v>
      </c>
      <c r="T24" s="739"/>
      <c r="U24" s="754">
        <v>8526526.7699999958</v>
      </c>
      <c r="V24" s="739"/>
      <c r="W24" s="619">
        <v>10482650.830000006</v>
      </c>
      <c r="X24" s="26"/>
      <c r="Y24" s="620">
        <v>11544142</v>
      </c>
      <c r="Z24" s="26"/>
      <c r="AA24" s="620">
        <v>10968154</v>
      </c>
      <c r="AB24" s="26"/>
      <c r="AC24" s="638"/>
      <c r="AD24" s="634"/>
      <c r="AE24" s="605"/>
      <c r="AF24" s="523">
        <f t="shared" ref="AF24:AF25" si="4">AVERAGE(U24,S24,AA24,W24,Y24)</f>
        <v>9947342.0559999999</v>
      </c>
      <c r="AG24" s="438">
        <f t="shared" ref="AG24:AG25" si="5">+(AA24-S24)/S24</f>
        <v>0.335098966375732</v>
      </c>
    </row>
    <row r="25" spans="1:33" ht="15" customHeight="1" thickBot="1" x14ac:dyDescent="0.25">
      <c r="A25" s="190" t="s">
        <v>45</v>
      </c>
      <c r="B25" s="304"/>
      <c r="C25" s="326"/>
      <c r="D25" s="327"/>
      <c r="E25" s="305"/>
      <c r="F25" s="327"/>
      <c r="G25" s="330">
        <v>314827.49</v>
      </c>
      <c r="H25" s="327"/>
      <c r="I25" s="330">
        <v>414661.75000000006</v>
      </c>
      <c r="J25" s="327"/>
      <c r="K25" s="330">
        <v>461246.52999999991</v>
      </c>
      <c r="L25" s="327"/>
      <c r="M25" s="330">
        <v>474368.40999999986</v>
      </c>
      <c r="N25" s="755"/>
      <c r="O25" s="621">
        <v>551185.42000000039</v>
      </c>
      <c r="P25" s="755"/>
      <c r="Q25" s="621">
        <v>569541.90000000014</v>
      </c>
      <c r="R25" s="755"/>
      <c r="S25" s="621">
        <v>599364.88999999955</v>
      </c>
      <c r="T25" s="755"/>
      <c r="U25" s="621">
        <v>593245.00999999989</v>
      </c>
      <c r="V25" s="755"/>
      <c r="W25" s="621">
        <v>640626.82999999996</v>
      </c>
      <c r="X25" s="623"/>
      <c r="Y25" s="624">
        <v>616629</v>
      </c>
      <c r="Z25" s="623"/>
      <c r="AA25" s="624">
        <v>658632</v>
      </c>
      <c r="AB25" s="623"/>
      <c r="AC25" s="756"/>
      <c r="AD25" s="634"/>
      <c r="AE25" s="614"/>
      <c r="AF25" s="523">
        <f t="shared" si="4"/>
        <v>621699.54599999986</v>
      </c>
      <c r="AG25" s="438">
        <f t="shared" si="5"/>
        <v>9.8883186167278661E-2</v>
      </c>
    </row>
    <row r="26" spans="1:33" ht="18" customHeight="1" thickTop="1" x14ac:dyDescent="0.2">
      <c r="A26" s="188" t="s">
        <v>50</v>
      </c>
      <c r="B26" s="489" t="s">
        <v>20</v>
      </c>
      <c r="C26" s="486" t="s">
        <v>21</v>
      </c>
      <c r="D26" s="489" t="s">
        <v>20</v>
      </c>
      <c r="E26" s="486" t="s">
        <v>21</v>
      </c>
      <c r="F26" s="490" t="s">
        <v>20</v>
      </c>
      <c r="G26" s="362" t="s">
        <v>21</v>
      </c>
      <c r="H26" s="359" t="s">
        <v>20</v>
      </c>
      <c r="I26" s="360" t="s">
        <v>21</v>
      </c>
      <c r="J26" s="361" t="s">
        <v>20</v>
      </c>
      <c r="K26" s="427" t="s">
        <v>21</v>
      </c>
      <c r="L26" s="359" t="s">
        <v>20</v>
      </c>
      <c r="M26" s="360" t="s">
        <v>21</v>
      </c>
      <c r="N26" s="757" t="s">
        <v>20</v>
      </c>
      <c r="O26" s="758" t="s">
        <v>21</v>
      </c>
      <c r="P26" s="759" t="s">
        <v>20</v>
      </c>
      <c r="Q26" s="760" t="s">
        <v>21</v>
      </c>
      <c r="R26" s="757" t="s">
        <v>20</v>
      </c>
      <c r="S26" s="758" t="s">
        <v>21</v>
      </c>
      <c r="T26" s="759" t="s">
        <v>20</v>
      </c>
      <c r="U26" s="760" t="s">
        <v>21</v>
      </c>
      <c r="V26" s="757" t="s">
        <v>20</v>
      </c>
      <c r="W26" s="758" t="s">
        <v>21</v>
      </c>
      <c r="X26" s="759" t="s">
        <v>20</v>
      </c>
      <c r="Y26" s="760" t="s">
        <v>21</v>
      </c>
      <c r="Z26" s="759" t="s">
        <v>20</v>
      </c>
      <c r="AA26" s="760" t="s">
        <v>21</v>
      </c>
      <c r="AB26" s="761" t="s">
        <v>20</v>
      </c>
      <c r="AC26" s="762" t="s">
        <v>21</v>
      </c>
      <c r="AD26" s="609"/>
      <c r="AE26" s="612" t="s">
        <v>20</v>
      </c>
      <c r="AF26" s="679" t="s">
        <v>21</v>
      </c>
      <c r="AG26" s="482" t="s">
        <v>54</v>
      </c>
    </row>
    <row r="27" spans="1:33" ht="15" customHeight="1" x14ac:dyDescent="0.2">
      <c r="A27" s="182" t="s">
        <v>56</v>
      </c>
      <c r="B27" s="153">
        <v>69</v>
      </c>
      <c r="C27" s="423">
        <v>9084334.1799999997</v>
      </c>
      <c r="D27" s="161">
        <v>64</v>
      </c>
      <c r="E27" s="425">
        <v>5878955.25</v>
      </c>
      <c r="F27" s="168">
        <v>57</v>
      </c>
      <c r="G27" s="111">
        <v>9765642</v>
      </c>
      <c r="H27" s="155">
        <v>45</v>
      </c>
      <c r="I27" s="349">
        <v>4015989.96</v>
      </c>
      <c r="J27" s="168">
        <v>61</v>
      </c>
      <c r="K27" s="134">
        <v>6196897</v>
      </c>
      <c r="L27" s="193">
        <v>75</v>
      </c>
      <c r="M27" s="221">
        <v>10695345</v>
      </c>
      <c r="N27" s="627">
        <v>64</v>
      </c>
      <c r="O27" s="619">
        <v>9500241</v>
      </c>
      <c r="P27" s="637">
        <v>79</v>
      </c>
      <c r="Q27" s="625">
        <v>9639122</v>
      </c>
      <c r="R27" s="627">
        <v>60</v>
      </c>
      <c r="S27" s="619">
        <v>6567946</v>
      </c>
      <c r="T27" s="637">
        <v>65</v>
      </c>
      <c r="U27" s="625">
        <v>7446170</v>
      </c>
      <c r="V27" s="627">
        <v>84</v>
      </c>
      <c r="W27" s="619">
        <v>8814297</v>
      </c>
      <c r="X27" s="637">
        <v>89</v>
      </c>
      <c r="Y27" s="625">
        <v>7141306</v>
      </c>
      <c r="Z27" s="637">
        <v>90</v>
      </c>
      <c r="AA27" s="625">
        <v>6162965</v>
      </c>
      <c r="AB27" s="692"/>
      <c r="AC27" s="636"/>
      <c r="AD27" s="609"/>
      <c r="AE27" s="469">
        <f>AVERAGE(T27,R27,Z27,X27,V27)</f>
        <v>77.599999999999994</v>
      </c>
      <c r="AF27" s="523">
        <f t="shared" ref="AF27:AF28" si="6">AVERAGE(U27,S27,AA27,W27,Y27)</f>
        <v>7226536.7999999998</v>
      </c>
      <c r="AG27" s="483">
        <f t="shared" ref="AG27:AG28" si="7">+(AA27-S27)/S27</f>
        <v>-6.1660220714360316E-2</v>
      </c>
    </row>
    <row r="28" spans="1:33" ht="15" customHeight="1" thickBot="1" x14ac:dyDescent="0.25">
      <c r="A28" s="190" t="s">
        <v>57</v>
      </c>
      <c r="B28" s="237">
        <v>54</v>
      </c>
      <c r="C28" s="424">
        <v>5322627</v>
      </c>
      <c r="D28" s="283">
        <v>52</v>
      </c>
      <c r="E28" s="426">
        <v>4105331.72</v>
      </c>
      <c r="F28" s="348">
        <v>58</v>
      </c>
      <c r="G28" s="227">
        <v>4214156</v>
      </c>
      <c r="H28" s="239">
        <v>62</v>
      </c>
      <c r="I28" s="350">
        <v>5343061</v>
      </c>
      <c r="J28" s="348">
        <v>52</v>
      </c>
      <c r="K28" s="240">
        <v>3714770</v>
      </c>
      <c r="L28" s="239">
        <v>60</v>
      </c>
      <c r="M28" s="351">
        <v>7607972</v>
      </c>
      <c r="N28" s="628">
        <v>60</v>
      </c>
      <c r="O28" s="684">
        <v>6754886</v>
      </c>
      <c r="P28" s="682">
        <v>56</v>
      </c>
      <c r="Q28" s="626">
        <v>5451762</v>
      </c>
      <c r="R28" s="628">
        <v>61</v>
      </c>
      <c r="S28" s="684">
        <v>7375691</v>
      </c>
      <c r="T28" s="682">
        <v>63</v>
      </c>
      <c r="U28" s="626">
        <v>9373376</v>
      </c>
      <c r="V28" s="628">
        <v>71</v>
      </c>
      <c r="W28" s="684">
        <v>8563872</v>
      </c>
      <c r="X28" s="682">
        <v>71</v>
      </c>
      <c r="Y28" s="626">
        <v>8040595</v>
      </c>
      <c r="Z28" s="682">
        <v>86</v>
      </c>
      <c r="AA28" s="626">
        <v>7442382</v>
      </c>
      <c r="AB28" s="693"/>
      <c r="AC28" s="641"/>
      <c r="AD28" s="609"/>
      <c r="AE28" s="471">
        <f>AVERAGE(T28,R28,Z28,X28,V28)</f>
        <v>70.400000000000006</v>
      </c>
      <c r="AF28" s="523">
        <f t="shared" si="6"/>
        <v>8159183.2000000002</v>
      </c>
      <c r="AG28" s="483">
        <f t="shared" si="7"/>
        <v>9.0420002681782623E-3</v>
      </c>
    </row>
    <row r="29" spans="1:33" ht="18" customHeight="1" thickTop="1" x14ac:dyDescent="0.2">
      <c r="A29" s="112" t="s">
        <v>17</v>
      </c>
      <c r="B29" s="865"/>
      <c r="C29" s="866"/>
      <c r="D29" s="867"/>
      <c r="E29" s="867"/>
      <c r="F29" s="868"/>
      <c r="G29" s="869"/>
      <c r="H29" s="868"/>
      <c r="I29" s="869"/>
      <c r="J29" s="870"/>
      <c r="K29" s="870"/>
      <c r="L29" s="855"/>
      <c r="M29" s="856"/>
      <c r="N29" s="849"/>
      <c r="O29" s="850"/>
      <c r="P29" s="849"/>
      <c r="Q29" s="850"/>
      <c r="R29" s="849"/>
      <c r="S29" s="850"/>
      <c r="T29" s="849"/>
      <c r="U29" s="850"/>
      <c r="V29" s="849"/>
      <c r="W29" s="850"/>
      <c r="X29" s="849"/>
      <c r="Y29" s="850"/>
      <c r="Z29" s="849"/>
      <c r="AA29" s="850"/>
      <c r="AB29" s="849"/>
      <c r="AC29" s="851"/>
      <c r="AD29" s="763"/>
      <c r="AE29" s="833"/>
      <c r="AF29" s="834"/>
      <c r="AG29" s="441"/>
    </row>
    <row r="30" spans="1:33" ht="15" customHeight="1" x14ac:dyDescent="0.2">
      <c r="A30" s="189" t="s">
        <v>18</v>
      </c>
      <c r="B30" s="48"/>
      <c r="C30" s="54">
        <v>500</v>
      </c>
      <c r="D30" s="48"/>
      <c r="E30" s="203">
        <v>3379</v>
      </c>
      <c r="F30" s="76"/>
      <c r="G30" s="422">
        <v>80</v>
      </c>
      <c r="H30" s="76"/>
      <c r="I30" s="418">
        <v>14904</v>
      </c>
      <c r="J30" s="357"/>
      <c r="K30" s="418">
        <v>10595</v>
      </c>
      <c r="L30" s="357"/>
      <c r="M30" s="356">
        <v>515</v>
      </c>
      <c r="N30" s="764"/>
      <c r="O30" s="661">
        <v>53039</v>
      </c>
      <c r="P30" s="764"/>
      <c r="Q30" s="661">
        <v>37441.1</v>
      </c>
      <c r="R30" s="764"/>
      <c r="S30" s="661">
        <v>11650</v>
      </c>
      <c r="T30" s="764"/>
      <c r="U30" s="661">
        <v>61460</v>
      </c>
      <c r="V30" s="764"/>
      <c r="W30" s="661">
        <v>428100</v>
      </c>
      <c r="X30" s="764"/>
      <c r="Y30" s="661">
        <v>442885</v>
      </c>
      <c r="Z30" s="764"/>
      <c r="AA30" s="661">
        <v>659973.87</v>
      </c>
      <c r="AB30" s="764"/>
      <c r="AC30" s="765"/>
      <c r="AD30" s="609"/>
      <c r="AE30" s="605"/>
      <c r="AF30" s="523">
        <f t="shared" ref="AF30:AF31" si="8">AVERAGE(U30,S30,AA30,W30,Y30)</f>
        <v>320813.77400000003</v>
      </c>
      <c r="AG30" s="483">
        <f t="shared" ref="AG30" si="9">+(AA30-S30)/S30</f>
        <v>55.650117596566524</v>
      </c>
    </row>
    <row r="31" spans="1:33" ht="15" customHeight="1" thickBot="1" x14ac:dyDescent="0.25">
      <c r="A31" s="190" t="s">
        <v>19</v>
      </c>
      <c r="B31" s="37"/>
      <c r="C31" s="42">
        <v>0</v>
      </c>
      <c r="D31" s="37"/>
      <c r="E31" s="79">
        <v>0</v>
      </c>
      <c r="F31" s="73"/>
      <c r="G31" s="79">
        <v>0</v>
      </c>
      <c r="H31" s="73"/>
      <c r="I31" s="100">
        <v>0</v>
      </c>
      <c r="J31" s="73"/>
      <c r="K31" s="100">
        <v>0</v>
      </c>
      <c r="L31" s="73"/>
      <c r="M31" s="102">
        <v>0</v>
      </c>
      <c r="N31" s="631"/>
      <c r="O31" s="630">
        <v>0</v>
      </c>
      <c r="P31" s="631"/>
      <c r="Q31" s="630">
        <v>0</v>
      </c>
      <c r="R31" s="631"/>
      <c r="S31" s="630">
        <v>0</v>
      </c>
      <c r="T31" s="631"/>
      <c r="U31" s="630">
        <v>0</v>
      </c>
      <c r="V31" s="631"/>
      <c r="W31" s="630">
        <v>405702.62</v>
      </c>
      <c r="X31" s="631"/>
      <c r="Y31" s="630">
        <v>779708.35</v>
      </c>
      <c r="Z31" s="631"/>
      <c r="AA31" s="630">
        <v>1142770</v>
      </c>
      <c r="AB31" s="631"/>
      <c r="AC31" s="659"/>
      <c r="AD31" s="673"/>
      <c r="AE31" s="614"/>
      <c r="AF31" s="583">
        <f t="shared" si="8"/>
        <v>465636.19400000002</v>
      </c>
      <c r="AG31" s="595"/>
    </row>
    <row r="32" spans="1:33" ht="34.5" thickTop="1" x14ac:dyDescent="0.2">
      <c r="A32" s="596" t="s">
        <v>47</v>
      </c>
      <c r="N32" s="673"/>
      <c r="O32" s="673"/>
      <c r="P32" s="673"/>
      <c r="Q32" s="673"/>
      <c r="R32" s="673"/>
      <c r="S32" s="673"/>
      <c r="T32" s="673"/>
      <c r="U32" s="673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766"/>
    </row>
    <row r="33" spans="1:28" x14ac:dyDescent="0.2">
      <c r="A33" s="15"/>
    </row>
    <row r="38" spans="1:28" x14ac:dyDescent="0.2">
      <c r="AB38" s="1" t="s">
        <v>4</v>
      </c>
    </row>
  </sheetData>
  <mergeCells count="45">
    <mergeCell ref="B29:C29"/>
    <mergeCell ref="D29:E29"/>
    <mergeCell ref="F29:G29"/>
    <mergeCell ref="H29:I29"/>
    <mergeCell ref="J29:K29"/>
    <mergeCell ref="B22:C22"/>
    <mergeCell ref="D22:E22"/>
    <mergeCell ref="F22:G22"/>
    <mergeCell ref="H22:I22"/>
    <mergeCell ref="J22:K22"/>
    <mergeCell ref="B9:C9"/>
    <mergeCell ref="D9:E9"/>
    <mergeCell ref="N9:O9"/>
    <mergeCell ref="P9:Q9"/>
    <mergeCell ref="R9:S9"/>
    <mergeCell ref="F9:G9"/>
    <mergeCell ref="J9:K9"/>
    <mergeCell ref="H9:I9"/>
    <mergeCell ref="L29:M29"/>
    <mergeCell ref="T9:U9"/>
    <mergeCell ref="V9:W9"/>
    <mergeCell ref="N22:O22"/>
    <mergeCell ref="P22:Q22"/>
    <mergeCell ref="R22:S22"/>
    <mergeCell ref="L9:M9"/>
    <mergeCell ref="L22:M22"/>
    <mergeCell ref="AE9:AF9"/>
    <mergeCell ref="Z9:AA9"/>
    <mergeCell ref="T22:U22"/>
    <mergeCell ref="V22:W22"/>
    <mergeCell ref="X22:Y22"/>
    <mergeCell ref="Z22:AA22"/>
    <mergeCell ref="X9:Y9"/>
    <mergeCell ref="AE22:AF22"/>
    <mergeCell ref="AB9:AC9"/>
    <mergeCell ref="AB22:AC22"/>
    <mergeCell ref="AE29:AF29"/>
    <mergeCell ref="T29:U29"/>
    <mergeCell ref="V29:W29"/>
    <mergeCell ref="N29:O29"/>
    <mergeCell ref="P29:Q29"/>
    <mergeCell ref="R29:S29"/>
    <mergeCell ref="X29:Y29"/>
    <mergeCell ref="Z29:AA29"/>
    <mergeCell ref="AB29:AC29"/>
  </mergeCells>
  <phoneticPr fontId="0" type="noConversion"/>
  <printOptions horizontalCentered="1" verticalCentered="1"/>
  <pageMargins left="0.5" right="0.5" top="0.5" bottom="0.5" header="0.5" footer="0.25"/>
  <pageSetup scale="81" fitToHeight="0" orientation="landscape" horizontalDpi="4294967292" verticalDpi="4294967292" r:id="rId1"/>
  <headerFooter alignWithMargins="0">
    <oddFooter>&amp;L&amp;8Prepared by Planning and Analysis&amp;C&amp;8&amp;P of &amp;N&amp;R&amp;8Updated &amp;D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Dean_Ag</vt:lpstr>
      <vt:lpstr>Ag_Econ</vt:lpstr>
      <vt:lpstr>Agronomy</vt:lpstr>
      <vt:lpstr>Animal_Sci</vt:lpstr>
      <vt:lpstr>CommAgEd</vt:lpstr>
      <vt:lpstr>Entomology</vt:lpstr>
      <vt:lpstr>Grain_Sci</vt:lpstr>
      <vt:lpstr>Horticulture</vt:lpstr>
      <vt:lpstr>Plant_Path</vt:lpstr>
      <vt:lpstr>Summary</vt:lpstr>
      <vt:lpstr>Ag_Econ!Print_Area</vt:lpstr>
      <vt:lpstr>Agronomy!Print_Area</vt:lpstr>
      <vt:lpstr>Animal_Sci!Print_Area</vt:lpstr>
      <vt:lpstr>CommAgEd!Print_Area</vt:lpstr>
      <vt:lpstr>Dean_Ag!Print_Area</vt:lpstr>
      <vt:lpstr>Entomology!Print_Area</vt:lpstr>
      <vt:lpstr>Grain_Sci!Print_Area</vt:lpstr>
      <vt:lpstr>Horticulture!Print_Area</vt:lpstr>
      <vt:lpstr>Plant_Path!Print_Area</vt:lpstr>
      <vt:lpstr>Summary!Print_Area</vt:lpstr>
      <vt:lpstr>Ag_Econ!Print_Titles</vt:lpstr>
      <vt:lpstr>Agronomy!Print_Titles</vt:lpstr>
      <vt:lpstr>Animal_Sci!Print_Titles</vt:lpstr>
      <vt:lpstr>CommAgEd!Print_Titles</vt:lpstr>
      <vt:lpstr>Dean_Ag!Print_Titles</vt:lpstr>
      <vt:lpstr>Entomology!Print_Titles</vt:lpstr>
      <vt:lpstr>Grain_Sci!Print_Titles</vt:lpstr>
      <vt:lpstr>Horticulture!Print_Titles</vt:lpstr>
      <vt:lpstr>Plant_Path!Print_Titles</vt:lpstr>
      <vt:lpstr>Summary!Print_Titles</vt:lpstr>
    </vt:vector>
  </TitlesOfParts>
  <Company>Computing &amp; Network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Cox</dc:creator>
  <cp:lastModifiedBy>Nancy Baker</cp:lastModifiedBy>
  <cp:lastPrinted>2016-11-09T19:22:38Z</cp:lastPrinted>
  <dcterms:created xsi:type="dcterms:W3CDTF">1998-07-17T17:12:40Z</dcterms:created>
  <dcterms:modified xsi:type="dcterms:W3CDTF">2016-11-09T19:25:44Z</dcterms:modified>
</cp:coreProperties>
</file>